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svillegs\Desktop\"/>
    </mc:Choice>
  </mc:AlternateContent>
  <xr:revisionPtr revIDLastSave="0" documentId="13_ncr:1_{C2E28049-626C-4FB0-A97C-A67387EF79AF}" xr6:coauthVersionLast="47" xr6:coauthVersionMax="47" xr10:uidLastSave="{00000000-0000-0000-0000-000000000000}"/>
  <bookViews>
    <workbookView xWindow="-120" yWindow="-120" windowWidth="29040" windowHeight="15720" tabRatio="992" activeTab="6" xr2:uid="{00000000-000D-0000-FFFF-FFFF00000000}"/>
  </bookViews>
  <sheets>
    <sheet name="EVALUACIÓN JURÍDICA" sheetId="9" r:id="rId1"/>
    <sheet name="RESUMEN INDICADORES" sheetId="5" r:id="rId2"/>
    <sheet name="INDICADORES" sheetId="4" r:id="rId3"/>
    <sheet name="DETALLADA FINANCIERA CONSORCIOS" sheetId="6" r:id="rId4"/>
    <sheet name="EXPERIENCIA" sheetId="7" r:id="rId5"/>
    <sheet name="K RESIDUAL" sheetId="8" r:id="rId6"/>
    <sheet name="RESUMEN" sheetId="3" r:id="rId7"/>
  </sheets>
  <externalReferences>
    <externalReference r:id="rId8"/>
    <externalReference r:id="rId9"/>
  </externalReferences>
  <definedNames>
    <definedName name="_xlnm._FilterDatabase" localSheetId="6" hidden="1">RESUMEN!$B$9:$G$60</definedName>
    <definedName name="CANT">#REF!</definedName>
    <definedName name="CANT.">#REF!</definedName>
    <definedName name="menor">'[1]ECONOMICA MV'!#REF!</definedName>
    <definedName name="minor">'[1]ECONOMICA MV'!$J$12:$J$21</definedName>
    <definedName name="NAME">#REF!</definedName>
    <definedName name="name.">#REF!</definedName>
    <definedName name="PRESUPUESTO">'[1]ECONOMICA MED'!$J$7:$J$17</definedName>
    <definedName name="RAZON">'[1]ECONOMICA MED'!$B$7:$B$17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8" i="3" l="1"/>
  <c r="F386" i="7" l="1"/>
  <c r="F387" i="7" s="1"/>
  <c r="F379" i="7"/>
  <c r="F377" i="7"/>
  <c r="F371" i="7"/>
  <c r="F370" i="7"/>
  <c r="F372" i="7" s="1"/>
  <c r="F364" i="7"/>
  <c r="F363" i="7"/>
  <c r="F362" i="7"/>
  <c r="F365" i="7" s="1"/>
  <c r="F357" i="7"/>
  <c r="F348" i="7"/>
  <c r="F347" i="7"/>
  <c r="F349" i="7" s="1"/>
  <c r="F345" i="7"/>
  <c r="F340" i="7"/>
  <c r="F333" i="7"/>
  <c r="F326" i="7"/>
  <c r="F319" i="7"/>
  <c r="F320" i="7" s="1"/>
  <c r="F312" i="7"/>
  <c r="F311" i="7"/>
  <c r="F310" i="7"/>
  <c r="F309" i="7"/>
  <c r="F313" i="7" s="1"/>
  <c r="F303" i="7"/>
  <c r="F302" i="7"/>
  <c r="F301" i="7"/>
  <c r="F300" i="7"/>
  <c r="F299" i="7"/>
  <c r="F293" i="7"/>
  <c r="F292" i="7"/>
  <c r="F291" i="7"/>
  <c r="F290" i="7"/>
  <c r="F294" i="7" s="1"/>
  <c r="F283" i="7"/>
  <c r="F282" i="7"/>
  <c r="F285" i="7" s="1"/>
  <c r="F281" i="7"/>
  <c r="F274" i="7"/>
  <c r="F266" i="7"/>
  <c r="F265" i="7"/>
  <c r="F264" i="7"/>
  <c r="F263" i="7"/>
  <c r="F267" i="7" s="1"/>
  <c r="F257" i="7"/>
  <c r="F258" i="7" s="1"/>
  <c r="F256" i="7"/>
  <c r="F250" i="7"/>
  <c r="F251" i="7" s="1"/>
  <c r="F249" i="7"/>
  <c r="F248" i="7"/>
  <c r="F241" i="7"/>
  <c r="F243" i="7" s="1"/>
  <c r="F235" i="7"/>
  <c r="F234" i="7"/>
  <c r="F236" i="7" s="1"/>
  <c r="F224" i="7"/>
  <c r="F229" i="7" s="1"/>
  <c r="F217" i="7"/>
  <c r="F219" i="7" s="1"/>
  <c r="F198" i="7"/>
  <c r="F197" i="7"/>
  <c r="F196" i="7"/>
  <c r="F190" i="7"/>
  <c r="F189" i="7"/>
  <c r="F188" i="7"/>
  <c r="F191" i="7" s="1"/>
  <c r="F181" i="7"/>
  <c r="F183" i="7" s="1"/>
  <c r="F175" i="7"/>
  <c r="F174" i="7"/>
  <c r="F168" i="7"/>
  <c r="F169" i="7" s="1"/>
  <c r="F167" i="7"/>
  <c r="F153" i="7"/>
  <c r="F152" i="7"/>
  <c r="F154" i="7" s="1"/>
  <c r="F144" i="7"/>
  <c r="F145" i="7" s="1"/>
  <c r="F143" i="7"/>
  <c r="F137" i="7"/>
  <c r="F138" i="7" s="1"/>
  <c r="F130" i="7"/>
  <c r="F131" i="7" s="1"/>
  <c r="F129" i="7"/>
  <c r="F114" i="7"/>
  <c r="F117" i="7" s="1"/>
  <c r="F109" i="7"/>
  <c r="F101" i="7"/>
  <c r="F98" i="7"/>
  <c r="F102" i="7" s="1"/>
  <c r="F92" i="7"/>
  <c r="F91" i="7"/>
  <c r="F90" i="7"/>
  <c r="F88" i="7"/>
  <c r="F87" i="7"/>
  <c r="F93" i="7" s="1"/>
  <c r="F80" i="7"/>
  <c r="F82" i="7" s="1"/>
  <c r="F75" i="7"/>
  <c r="F68" i="7"/>
  <c r="F58" i="7"/>
  <c r="F61" i="7" s="1"/>
  <c r="F46" i="7"/>
  <c r="F37" i="7"/>
  <c r="F39" i="7" s="1"/>
  <c r="F32" i="7"/>
  <c r="F22" i="7"/>
  <c r="F24" i="7" s="1"/>
  <c r="F16" i="7"/>
  <c r="F15" i="7"/>
  <c r="F14" i="7"/>
  <c r="F17" i="7" s="1"/>
  <c r="F9" i="7"/>
  <c r="K9" i="7" s="1"/>
  <c r="I9" i="7" l="1"/>
  <c r="J9" i="7"/>
  <c r="Q22" i="3" l="1"/>
  <c r="G1035" i="6"/>
  <c r="D1035" i="6"/>
  <c r="G1032" i="6"/>
  <c r="D1032" i="6"/>
  <c r="G1031" i="6"/>
  <c r="G1034" i="6" s="1"/>
  <c r="D1031" i="6"/>
  <c r="D1034" i="6" s="1"/>
  <c r="I1026" i="6"/>
  <c r="F1026" i="6"/>
  <c r="K1026" i="6" s="1"/>
  <c r="H1021" i="6"/>
  <c r="E1021" i="6"/>
  <c r="I1020" i="6"/>
  <c r="F1020" i="6"/>
  <c r="D1015" i="6"/>
  <c r="G1012" i="6"/>
  <c r="D1012" i="6"/>
  <c r="G1009" i="6"/>
  <c r="D1009" i="6"/>
  <c r="G1008" i="6"/>
  <c r="G1011" i="6" s="1"/>
  <c r="D1008" i="6"/>
  <c r="D1011" i="6" s="1"/>
  <c r="K1003" i="6"/>
  <c r="J1003" i="6"/>
  <c r="I1003" i="6"/>
  <c r="F1003" i="6"/>
  <c r="I1000" i="6"/>
  <c r="H1000" i="6"/>
  <c r="H1001" i="6" s="1"/>
  <c r="H998" i="6"/>
  <c r="I998" i="6" s="1"/>
  <c r="E998" i="6"/>
  <c r="I997" i="6"/>
  <c r="F997" i="6"/>
  <c r="J997" i="6" s="1"/>
  <c r="D992" i="6"/>
  <c r="G989" i="6"/>
  <c r="D989" i="6"/>
  <c r="G988" i="6"/>
  <c r="G986" i="6"/>
  <c r="D986" i="6"/>
  <c r="G985" i="6"/>
  <c r="D985" i="6"/>
  <c r="D988" i="6" s="1"/>
  <c r="I980" i="6"/>
  <c r="K980" i="6" s="1"/>
  <c r="F980" i="6"/>
  <c r="H975" i="6"/>
  <c r="E975" i="6"/>
  <c r="I974" i="6"/>
  <c r="F974" i="6"/>
  <c r="D969" i="6"/>
  <c r="G966" i="6"/>
  <c r="D966" i="6"/>
  <c r="G963" i="6"/>
  <c r="D963" i="6"/>
  <c r="G962" i="6"/>
  <c r="G965" i="6" s="1"/>
  <c r="D962" i="6"/>
  <c r="D965" i="6" s="1"/>
  <c r="K957" i="6"/>
  <c r="I957" i="6"/>
  <c r="J957" i="6" s="1"/>
  <c r="F957" i="6"/>
  <c r="I954" i="6"/>
  <c r="H954" i="6"/>
  <c r="H955" i="6" s="1"/>
  <c r="I952" i="6"/>
  <c r="H952" i="6"/>
  <c r="E952" i="6"/>
  <c r="E954" i="6" s="1"/>
  <c r="E955" i="6" s="1"/>
  <c r="E959" i="6" s="1"/>
  <c r="F959" i="6" s="1"/>
  <c r="I951" i="6"/>
  <c r="F951" i="6"/>
  <c r="D946" i="6"/>
  <c r="G943" i="6"/>
  <c r="D943" i="6"/>
  <c r="G942" i="6"/>
  <c r="G940" i="6"/>
  <c r="D940" i="6"/>
  <c r="G939" i="6"/>
  <c r="D939" i="6"/>
  <c r="D942" i="6" s="1"/>
  <c r="I934" i="6"/>
  <c r="F934" i="6"/>
  <c r="H929" i="6"/>
  <c r="E929" i="6"/>
  <c r="I928" i="6"/>
  <c r="F928" i="6"/>
  <c r="D923" i="6"/>
  <c r="G920" i="6"/>
  <c r="D920" i="6"/>
  <c r="G917" i="6"/>
  <c r="D917" i="6"/>
  <c r="G916" i="6"/>
  <c r="G919" i="6" s="1"/>
  <c r="D916" i="6"/>
  <c r="D919" i="6" s="1"/>
  <c r="K911" i="6"/>
  <c r="I911" i="6"/>
  <c r="J911" i="6" s="1"/>
  <c r="F911" i="6"/>
  <c r="I908" i="6"/>
  <c r="H908" i="6"/>
  <c r="H909" i="6" s="1"/>
  <c r="I906" i="6"/>
  <c r="H906" i="6"/>
  <c r="E906" i="6"/>
  <c r="E908" i="6" s="1"/>
  <c r="E909" i="6" s="1"/>
  <c r="E913" i="6" s="1"/>
  <c r="F913" i="6" s="1"/>
  <c r="I905" i="6"/>
  <c r="F905" i="6"/>
  <c r="D900" i="6"/>
  <c r="G897" i="6"/>
  <c r="D897" i="6"/>
  <c r="G896" i="6"/>
  <c r="G894" i="6"/>
  <c r="G893" i="6"/>
  <c r="D893" i="6"/>
  <c r="D896" i="6" s="1"/>
  <c r="I888" i="6"/>
  <c r="F888" i="6"/>
  <c r="E885" i="6"/>
  <c r="E886" i="6" s="1"/>
  <c r="D885" i="6"/>
  <c r="I883" i="6"/>
  <c r="H883" i="6"/>
  <c r="H885" i="6" s="1"/>
  <c r="E883" i="6"/>
  <c r="F883" i="6" s="1"/>
  <c r="I882" i="6"/>
  <c r="F882" i="6"/>
  <c r="D877" i="6"/>
  <c r="J874" i="6"/>
  <c r="G874" i="6"/>
  <c r="D874" i="6"/>
  <c r="J873" i="6"/>
  <c r="G873" i="6"/>
  <c r="J871" i="6"/>
  <c r="G871" i="6"/>
  <c r="D871" i="6"/>
  <c r="J870" i="6"/>
  <c r="G870" i="6"/>
  <c r="D870" i="6"/>
  <c r="D873" i="6" s="1"/>
  <c r="L865" i="6"/>
  <c r="I865" i="6"/>
  <c r="F865" i="6"/>
  <c r="K863" i="6"/>
  <c r="K868" i="6" s="1"/>
  <c r="L862" i="6"/>
  <c r="K862" i="6"/>
  <c r="K860" i="6"/>
  <c r="L860" i="6" s="1"/>
  <c r="H860" i="6"/>
  <c r="E860" i="6"/>
  <c r="L859" i="6"/>
  <c r="I859" i="6"/>
  <c r="F859" i="6"/>
  <c r="D854" i="6"/>
  <c r="G851" i="6"/>
  <c r="D851" i="6"/>
  <c r="G848" i="6"/>
  <c r="D848" i="6"/>
  <c r="G847" i="6"/>
  <c r="G850" i="6" s="1"/>
  <c r="D847" i="6"/>
  <c r="D850" i="6" s="1"/>
  <c r="I842" i="6"/>
  <c r="F842" i="6"/>
  <c r="K842" i="6" s="1"/>
  <c r="H840" i="6"/>
  <c r="E839" i="6"/>
  <c r="E840" i="6" s="1"/>
  <c r="I837" i="6"/>
  <c r="H837" i="6"/>
  <c r="H839" i="6" s="1"/>
  <c r="I839" i="6" s="1"/>
  <c r="F837" i="6"/>
  <c r="E837" i="6"/>
  <c r="I836" i="6"/>
  <c r="F836" i="6"/>
  <c r="J836" i="6" s="1"/>
  <c r="D831" i="6"/>
  <c r="G828" i="6"/>
  <c r="D828" i="6"/>
  <c r="G825" i="6"/>
  <c r="D825" i="6"/>
  <c r="G824" i="6"/>
  <c r="G827" i="6" s="1"/>
  <c r="D824" i="6"/>
  <c r="D827" i="6" s="1"/>
  <c r="K819" i="6"/>
  <c r="I819" i="6"/>
  <c r="F819" i="6"/>
  <c r="H814" i="6"/>
  <c r="I814" i="6" s="1"/>
  <c r="F814" i="6"/>
  <c r="E814" i="6"/>
  <c r="E816" i="6" s="1"/>
  <c r="I813" i="6"/>
  <c r="F813" i="6"/>
  <c r="J813" i="6" s="1"/>
  <c r="D808" i="6"/>
  <c r="J804" i="6"/>
  <c r="G804" i="6"/>
  <c r="D804" i="6"/>
  <c r="J801" i="6"/>
  <c r="G801" i="6"/>
  <c r="D801" i="6"/>
  <c r="J800" i="6"/>
  <c r="J803" i="6" s="1"/>
  <c r="G800" i="6"/>
  <c r="D800" i="6"/>
  <c r="L795" i="6"/>
  <c r="I795" i="6"/>
  <c r="F795" i="6"/>
  <c r="H792" i="6"/>
  <c r="K790" i="6"/>
  <c r="K792" i="6" s="1"/>
  <c r="H790" i="6"/>
  <c r="I790" i="6" s="1"/>
  <c r="E790" i="6"/>
  <c r="L789" i="6"/>
  <c r="I789" i="6"/>
  <c r="F789" i="6"/>
  <c r="M789" i="6" s="1"/>
  <c r="D784" i="6"/>
  <c r="G781" i="6"/>
  <c r="D781" i="6"/>
  <c r="G780" i="6"/>
  <c r="G778" i="6"/>
  <c r="D778" i="6"/>
  <c r="G777" i="6"/>
  <c r="D777" i="6"/>
  <c r="D780" i="6" s="1"/>
  <c r="I772" i="6"/>
  <c r="F772" i="6"/>
  <c r="H769" i="6"/>
  <c r="H770" i="6" s="1"/>
  <c r="H775" i="6" s="1"/>
  <c r="E769" i="6"/>
  <c r="F769" i="6" s="1"/>
  <c r="H767" i="6"/>
  <c r="I767" i="6" s="1"/>
  <c r="J767" i="6" s="1"/>
  <c r="F767" i="6"/>
  <c r="E767" i="6"/>
  <c r="I766" i="6"/>
  <c r="F766" i="6"/>
  <c r="D761" i="6"/>
  <c r="G758" i="6"/>
  <c r="D758" i="6"/>
  <c r="G755" i="6"/>
  <c r="D755" i="6"/>
  <c r="G754" i="6"/>
  <c r="G757" i="6" s="1"/>
  <c r="D754" i="6"/>
  <c r="D757" i="6" s="1"/>
  <c r="I749" i="6"/>
  <c r="F749" i="6"/>
  <c r="K749" i="6" s="1"/>
  <c r="H744" i="6"/>
  <c r="H746" i="6" s="1"/>
  <c r="I746" i="6" s="1"/>
  <c r="E744" i="6"/>
  <c r="I743" i="6"/>
  <c r="F743" i="6"/>
  <c r="J743" i="6" s="1"/>
  <c r="D738" i="6"/>
  <c r="G735" i="6"/>
  <c r="D735" i="6"/>
  <c r="G732" i="6"/>
  <c r="D732" i="6"/>
  <c r="G731" i="6"/>
  <c r="G734" i="6" s="1"/>
  <c r="D731" i="6"/>
  <c r="D734" i="6" s="1"/>
  <c r="I726" i="6"/>
  <c r="F726" i="6"/>
  <c r="J726" i="6" s="1"/>
  <c r="H723" i="6"/>
  <c r="H724" i="6" s="1"/>
  <c r="H721" i="6"/>
  <c r="I721" i="6" s="1"/>
  <c r="F721" i="6"/>
  <c r="E721" i="6"/>
  <c r="E723" i="6" s="1"/>
  <c r="I720" i="6"/>
  <c r="F720" i="6"/>
  <c r="D715" i="6"/>
  <c r="G712" i="6"/>
  <c r="D712" i="6"/>
  <c r="D711" i="6"/>
  <c r="G709" i="6"/>
  <c r="D709" i="6"/>
  <c r="G708" i="6"/>
  <c r="D708" i="6"/>
  <c r="K703" i="6"/>
  <c r="I703" i="6"/>
  <c r="F703" i="6"/>
  <c r="J703" i="6" s="1"/>
  <c r="H698" i="6"/>
  <c r="H700" i="6" s="1"/>
  <c r="E698" i="6"/>
  <c r="E700" i="6" s="1"/>
  <c r="J697" i="6"/>
  <c r="I697" i="6"/>
  <c r="F697" i="6"/>
  <c r="D692" i="6"/>
  <c r="J689" i="6"/>
  <c r="G689" i="6"/>
  <c r="D689" i="6"/>
  <c r="G688" i="6"/>
  <c r="J686" i="6"/>
  <c r="G686" i="6"/>
  <c r="D686" i="6"/>
  <c r="J685" i="6"/>
  <c r="G685" i="6"/>
  <c r="D685" i="6"/>
  <c r="D688" i="6" s="1"/>
  <c r="L680" i="6"/>
  <c r="I680" i="6"/>
  <c r="F680" i="6"/>
  <c r="H677" i="6"/>
  <c r="H678" i="6" s="1"/>
  <c r="H682" i="6" s="1"/>
  <c r="I682" i="6" s="1"/>
  <c r="K675" i="6"/>
  <c r="I675" i="6"/>
  <c r="H675" i="6"/>
  <c r="E675" i="6"/>
  <c r="F675" i="6" s="1"/>
  <c r="L674" i="6"/>
  <c r="I674" i="6"/>
  <c r="F674" i="6"/>
  <c r="D669" i="6"/>
  <c r="J666" i="6"/>
  <c r="G666" i="6"/>
  <c r="D666" i="6"/>
  <c r="J665" i="6"/>
  <c r="J663" i="6"/>
  <c r="G663" i="6"/>
  <c r="D663" i="6"/>
  <c r="J662" i="6"/>
  <c r="G662" i="6"/>
  <c r="D662" i="6"/>
  <c r="L657" i="6"/>
  <c r="I657" i="6"/>
  <c r="F657" i="6"/>
  <c r="K652" i="6"/>
  <c r="K654" i="6" s="1"/>
  <c r="L654" i="6" s="1"/>
  <c r="I652" i="6"/>
  <c r="H652" i="6"/>
  <c r="H654" i="6" s="1"/>
  <c r="E652" i="6"/>
  <c r="L651" i="6"/>
  <c r="I651" i="6"/>
  <c r="F651" i="6"/>
  <c r="D646" i="6"/>
  <c r="G643" i="6"/>
  <c r="D643" i="6"/>
  <c r="G642" i="6"/>
  <c r="G640" i="6"/>
  <c r="D640" i="6"/>
  <c r="G639" i="6"/>
  <c r="D639" i="6"/>
  <c r="D642" i="6" s="1"/>
  <c r="I634" i="6"/>
  <c r="K634" i="6" s="1"/>
  <c r="F634" i="6"/>
  <c r="H629" i="6"/>
  <c r="I629" i="6" s="1"/>
  <c r="E629" i="6"/>
  <c r="E631" i="6" s="1"/>
  <c r="I628" i="6"/>
  <c r="F628" i="6"/>
  <c r="J628" i="6" s="1"/>
  <c r="D623" i="6"/>
  <c r="G620" i="6"/>
  <c r="D620" i="6"/>
  <c r="G619" i="6"/>
  <c r="G617" i="6"/>
  <c r="D617" i="6"/>
  <c r="G616" i="6"/>
  <c r="D616" i="6"/>
  <c r="D619" i="6" s="1"/>
  <c r="I611" i="6"/>
  <c r="F611" i="6"/>
  <c r="K611" i="6" s="1"/>
  <c r="E608" i="6"/>
  <c r="H606" i="6"/>
  <c r="H608" i="6" s="1"/>
  <c r="H609" i="6" s="1"/>
  <c r="E606" i="6"/>
  <c r="F606" i="6" s="1"/>
  <c r="I605" i="6"/>
  <c r="F605" i="6"/>
  <c r="D600" i="6"/>
  <c r="D597" i="6"/>
  <c r="D594" i="6"/>
  <c r="G593" i="6"/>
  <c r="G596" i="6" s="1"/>
  <c r="D593" i="6"/>
  <c r="D596" i="6" s="1"/>
  <c r="I588" i="6"/>
  <c r="F588" i="6"/>
  <c r="K588" i="6" s="1"/>
  <c r="G586" i="6"/>
  <c r="G597" i="6" s="1"/>
  <c r="H583" i="6"/>
  <c r="H585" i="6" s="1"/>
  <c r="E583" i="6"/>
  <c r="E585" i="6" s="1"/>
  <c r="F585" i="6" s="1"/>
  <c r="I582" i="6"/>
  <c r="F582" i="6"/>
  <c r="J582" i="6" s="1"/>
  <c r="D577" i="6"/>
  <c r="G574" i="6"/>
  <c r="D574" i="6"/>
  <c r="G573" i="6"/>
  <c r="G571" i="6"/>
  <c r="D571" i="6"/>
  <c r="G570" i="6"/>
  <c r="D570" i="6"/>
  <c r="I565" i="6"/>
  <c r="F565" i="6"/>
  <c r="H562" i="6"/>
  <c r="H563" i="6" s="1"/>
  <c r="E562" i="6"/>
  <c r="H560" i="6"/>
  <c r="I560" i="6" s="1"/>
  <c r="E560" i="6"/>
  <c r="F560" i="6" s="1"/>
  <c r="J560" i="6" s="1"/>
  <c r="I559" i="6"/>
  <c r="F559" i="6"/>
  <c r="J559" i="6" s="1"/>
  <c r="D554" i="6"/>
  <c r="G551" i="6"/>
  <c r="D551" i="6"/>
  <c r="G548" i="6"/>
  <c r="D548" i="6"/>
  <c r="G547" i="6"/>
  <c r="G550" i="6" s="1"/>
  <c r="D547" i="6"/>
  <c r="D550" i="6" s="1"/>
  <c r="I542" i="6"/>
  <c r="J542" i="6" s="1"/>
  <c r="F542" i="6"/>
  <c r="F540" i="6"/>
  <c r="H537" i="6"/>
  <c r="E537" i="6"/>
  <c r="E539" i="6" s="1"/>
  <c r="E540" i="6" s="1"/>
  <c r="I536" i="6"/>
  <c r="F536" i="6"/>
  <c r="J536" i="6" s="1"/>
  <c r="D531" i="6"/>
  <c r="J529" i="6"/>
  <c r="G529" i="6"/>
  <c r="G528" i="6"/>
  <c r="J526" i="6"/>
  <c r="G526" i="6"/>
  <c r="J525" i="6"/>
  <c r="G525" i="6"/>
  <c r="D525" i="6"/>
  <c r="L520" i="6"/>
  <c r="I520" i="6"/>
  <c r="F520" i="6"/>
  <c r="D518" i="6"/>
  <c r="L517" i="6"/>
  <c r="H517" i="6"/>
  <c r="E517" i="6"/>
  <c r="E518" i="6" s="1"/>
  <c r="K515" i="6"/>
  <c r="K517" i="6" s="1"/>
  <c r="K518" i="6" s="1"/>
  <c r="H515" i="6"/>
  <c r="I515" i="6" s="1"/>
  <c r="F515" i="6"/>
  <c r="E515" i="6"/>
  <c r="L514" i="6"/>
  <c r="I514" i="6"/>
  <c r="F514" i="6"/>
  <c r="M514" i="6" s="1"/>
  <c r="D509" i="6"/>
  <c r="G506" i="6"/>
  <c r="D506" i="6"/>
  <c r="G505" i="6"/>
  <c r="G503" i="6"/>
  <c r="D503" i="6"/>
  <c r="G502" i="6"/>
  <c r="D502" i="6"/>
  <c r="D505" i="6" s="1"/>
  <c r="I497" i="6"/>
  <c r="F497" i="6"/>
  <c r="J497" i="6" s="1"/>
  <c r="E495" i="6"/>
  <c r="E500" i="6" s="1"/>
  <c r="H492" i="6"/>
  <c r="H494" i="6" s="1"/>
  <c r="E492" i="6"/>
  <c r="E494" i="6" s="1"/>
  <c r="F494" i="6" s="1"/>
  <c r="I491" i="6"/>
  <c r="F491" i="6"/>
  <c r="J491" i="6" s="1"/>
  <c r="D486" i="6"/>
  <c r="J484" i="6"/>
  <c r="G484" i="6"/>
  <c r="D484" i="6"/>
  <c r="J481" i="6"/>
  <c r="G481" i="6"/>
  <c r="D481" i="6"/>
  <c r="J480" i="6"/>
  <c r="J483" i="6" s="1"/>
  <c r="G480" i="6"/>
  <c r="D480" i="6"/>
  <c r="D483" i="6" s="1"/>
  <c r="L475" i="6"/>
  <c r="M475" i="6" s="1"/>
  <c r="N475" i="6" s="1"/>
  <c r="I475" i="6"/>
  <c r="F475" i="6"/>
  <c r="L472" i="6"/>
  <c r="K470" i="6"/>
  <c r="K472" i="6" s="1"/>
  <c r="K473" i="6" s="1"/>
  <c r="H470" i="6"/>
  <c r="I470" i="6" s="1"/>
  <c r="E470" i="6"/>
  <c r="F470" i="6" s="1"/>
  <c r="L469" i="6"/>
  <c r="I469" i="6"/>
  <c r="F469" i="6"/>
  <c r="D464" i="6"/>
  <c r="G461" i="6"/>
  <c r="D461" i="6"/>
  <c r="G460" i="6"/>
  <c r="G458" i="6"/>
  <c r="D458" i="6"/>
  <c r="G457" i="6"/>
  <c r="D457" i="6"/>
  <c r="I452" i="6"/>
  <c r="F452" i="6"/>
  <c r="K452" i="6" s="1"/>
  <c r="E450" i="6"/>
  <c r="H449" i="6"/>
  <c r="I447" i="6"/>
  <c r="H447" i="6"/>
  <c r="E447" i="6"/>
  <c r="E449" i="6" s="1"/>
  <c r="F449" i="6" s="1"/>
  <c r="I446" i="6"/>
  <c r="F446" i="6"/>
  <c r="D441" i="6"/>
  <c r="J438" i="6"/>
  <c r="G438" i="6"/>
  <c r="D438" i="6"/>
  <c r="J437" i="6"/>
  <c r="J435" i="6"/>
  <c r="G435" i="6"/>
  <c r="J434" i="6"/>
  <c r="G434" i="6"/>
  <c r="G437" i="6" s="1"/>
  <c r="D434" i="6"/>
  <c r="D437" i="6" s="1"/>
  <c r="L429" i="6"/>
  <c r="I429" i="6"/>
  <c r="F429" i="6"/>
  <c r="D426" i="6"/>
  <c r="D435" i="6" s="1"/>
  <c r="L424" i="6"/>
  <c r="K424" i="6"/>
  <c r="K426" i="6" s="1"/>
  <c r="H424" i="6"/>
  <c r="H426" i="6" s="1"/>
  <c r="E424" i="6"/>
  <c r="F424" i="6" s="1"/>
  <c r="L423" i="6"/>
  <c r="I423" i="6"/>
  <c r="F423" i="6"/>
  <c r="D418" i="6"/>
  <c r="G415" i="6"/>
  <c r="D415" i="6"/>
  <c r="G412" i="6"/>
  <c r="D412" i="6"/>
  <c r="G411" i="6"/>
  <c r="G414" i="6" s="1"/>
  <c r="D411" i="6"/>
  <c r="D414" i="6" s="1"/>
  <c r="I406" i="6"/>
  <c r="F406" i="6"/>
  <c r="K406" i="6" s="1"/>
  <c r="H401" i="6"/>
  <c r="H403" i="6" s="1"/>
  <c r="H404" i="6" s="1"/>
  <c r="E401" i="6"/>
  <c r="E403" i="6" s="1"/>
  <c r="I400" i="6"/>
  <c r="F400" i="6"/>
  <c r="J400" i="6" s="1"/>
  <c r="D395" i="6"/>
  <c r="G392" i="6"/>
  <c r="D392" i="6"/>
  <c r="G389" i="6"/>
  <c r="D389" i="6"/>
  <c r="G388" i="6"/>
  <c r="G391" i="6" s="1"/>
  <c r="D388" i="6"/>
  <c r="D391" i="6" s="1"/>
  <c r="I383" i="6"/>
  <c r="F383" i="6"/>
  <c r="H378" i="6"/>
  <c r="H380" i="6" s="1"/>
  <c r="I380" i="6" s="1"/>
  <c r="F378" i="6"/>
  <c r="E378" i="6"/>
  <c r="E380" i="6" s="1"/>
  <c r="I377" i="6"/>
  <c r="F377" i="6"/>
  <c r="J377" i="6" s="1"/>
  <c r="D372" i="6"/>
  <c r="G369" i="6"/>
  <c r="D369" i="6"/>
  <c r="G368" i="6"/>
  <c r="G366" i="6"/>
  <c r="D366" i="6"/>
  <c r="G365" i="6"/>
  <c r="D365" i="6"/>
  <c r="D368" i="6" s="1"/>
  <c r="I360" i="6"/>
  <c r="J360" i="6" s="1"/>
  <c r="F360" i="6"/>
  <c r="H355" i="6"/>
  <c r="E355" i="6"/>
  <c r="E357" i="6" s="1"/>
  <c r="I354" i="6"/>
  <c r="F354" i="6"/>
  <c r="D349" i="6"/>
  <c r="G346" i="6"/>
  <c r="D346" i="6"/>
  <c r="G343" i="6"/>
  <c r="D343" i="6"/>
  <c r="G342" i="6"/>
  <c r="G345" i="6" s="1"/>
  <c r="D342" i="6"/>
  <c r="I337" i="6"/>
  <c r="F337" i="6"/>
  <c r="K337" i="6" s="1"/>
  <c r="F334" i="6"/>
  <c r="H332" i="6"/>
  <c r="H334" i="6" s="1"/>
  <c r="F332" i="6"/>
  <c r="E332" i="6"/>
  <c r="E334" i="6" s="1"/>
  <c r="E335" i="6" s="1"/>
  <c r="E339" i="6" s="1"/>
  <c r="F339" i="6" s="1"/>
  <c r="J331" i="6"/>
  <c r="I331" i="6"/>
  <c r="F331" i="6"/>
  <c r="D326" i="6"/>
  <c r="J323" i="6"/>
  <c r="G323" i="6"/>
  <c r="D323" i="6"/>
  <c r="J322" i="6"/>
  <c r="G322" i="6"/>
  <c r="J320" i="6"/>
  <c r="G320" i="6"/>
  <c r="D320" i="6"/>
  <c r="J319" i="6"/>
  <c r="G319" i="6"/>
  <c r="D319" i="6"/>
  <c r="D322" i="6" s="1"/>
  <c r="L314" i="6"/>
  <c r="I314" i="6"/>
  <c r="F314" i="6"/>
  <c r="H311" i="6"/>
  <c r="H312" i="6" s="1"/>
  <c r="E311" i="6"/>
  <c r="E312" i="6" s="1"/>
  <c r="K309" i="6"/>
  <c r="K311" i="6" s="1"/>
  <c r="H309" i="6"/>
  <c r="I309" i="6" s="1"/>
  <c r="F309" i="6"/>
  <c r="E309" i="6"/>
  <c r="L308" i="6"/>
  <c r="I308" i="6"/>
  <c r="F308" i="6"/>
  <c r="M308" i="6" s="1"/>
  <c r="D303" i="6"/>
  <c r="G300" i="6"/>
  <c r="D300" i="6"/>
  <c r="D299" i="6"/>
  <c r="G297" i="6"/>
  <c r="D297" i="6"/>
  <c r="G296" i="6"/>
  <c r="G299" i="6" s="1"/>
  <c r="D296" i="6"/>
  <c r="I291" i="6"/>
  <c r="F291" i="6"/>
  <c r="I288" i="6"/>
  <c r="H286" i="6"/>
  <c r="H288" i="6" s="1"/>
  <c r="H289" i="6" s="1"/>
  <c r="E286" i="6"/>
  <c r="E288" i="6" s="1"/>
  <c r="F288" i="6" s="1"/>
  <c r="J288" i="6" s="1"/>
  <c r="I285" i="6"/>
  <c r="F285" i="6"/>
  <c r="D280" i="6"/>
  <c r="M276" i="6"/>
  <c r="J276" i="6"/>
  <c r="G276" i="6"/>
  <c r="D276" i="6"/>
  <c r="M275" i="6"/>
  <c r="D275" i="6"/>
  <c r="M273" i="6"/>
  <c r="J273" i="6"/>
  <c r="G273" i="6"/>
  <c r="D273" i="6"/>
  <c r="J272" i="6"/>
  <c r="G272" i="6"/>
  <c r="D272" i="6"/>
  <c r="L267" i="6"/>
  <c r="I267" i="6"/>
  <c r="F267" i="6"/>
  <c r="E265" i="6"/>
  <c r="N262" i="6"/>
  <c r="N264" i="6" s="1"/>
  <c r="K262" i="6"/>
  <c r="K264" i="6" s="1"/>
  <c r="H262" i="6"/>
  <c r="I262" i="6" s="1"/>
  <c r="F262" i="6"/>
  <c r="E262" i="6"/>
  <c r="E264" i="6" s="1"/>
  <c r="F264" i="6" s="1"/>
  <c r="O261" i="6"/>
  <c r="L261" i="6"/>
  <c r="I261" i="6"/>
  <c r="F261" i="6"/>
  <c r="D256" i="6"/>
  <c r="G253" i="6"/>
  <c r="D253" i="6"/>
  <c r="G252" i="6"/>
  <c r="D252" i="6"/>
  <c r="G250" i="6"/>
  <c r="D250" i="6"/>
  <c r="G249" i="6"/>
  <c r="D249" i="6"/>
  <c r="I244" i="6"/>
  <c r="F244" i="6"/>
  <c r="E241" i="6"/>
  <c r="E242" i="6" s="1"/>
  <c r="H239" i="6"/>
  <c r="I239" i="6" s="1"/>
  <c r="E239" i="6"/>
  <c r="F239" i="6" s="1"/>
  <c r="I238" i="6"/>
  <c r="J238" i="6" s="1"/>
  <c r="F238" i="6"/>
  <c r="D233" i="6"/>
  <c r="G230" i="6"/>
  <c r="D230" i="6"/>
  <c r="G229" i="6"/>
  <c r="G227" i="6"/>
  <c r="D227" i="6"/>
  <c r="G226" i="6"/>
  <c r="D226" i="6"/>
  <c r="I221" i="6"/>
  <c r="F221" i="6"/>
  <c r="I216" i="6"/>
  <c r="H216" i="6"/>
  <c r="H218" i="6" s="1"/>
  <c r="E216" i="6"/>
  <c r="E218" i="6" s="1"/>
  <c r="I215" i="6"/>
  <c r="F215" i="6"/>
  <c r="D210" i="6"/>
  <c r="G207" i="6"/>
  <c r="D207" i="6"/>
  <c r="G204" i="6"/>
  <c r="D204" i="6"/>
  <c r="G203" i="6"/>
  <c r="G206" i="6" s="1"/>
  <c r="D203" i="6"/>
  <c r="D206" i="6" s="1"/>
  <c r="J198" i="6"/>
  <c r="I198" i="6"/>
  <c r="K198" i="6" s="1"/>
  <c r="F198" i="6"/>
  <c r="I193" i="6"/>
  <c r="H193" i="6"/>
  <c r="H195" i="6" s="1"/>
  <c r="E193" i="6"/>
  <c r="E195" i="6" s="1"/>
  <c r="I192" i="6"/>
  <c r="F192" i="6"/>
  <c r="J192" i="6" s="1"/>
  <c r="D187" i="6"/>
  <c r="G184" i="6"/>
  <c r="D184" i="6"/>
  <c r="G183" i="6"/>
  <c r="G181" i="6"/>
  <c r="D181" i="6"/>
  <c r="G180" i="6"/>
  <c r="D180" i="6"/>
  <c r="D183" i="6" s="1"/>
  <c r="I175" i="6"/>
  <c r="F175" i="6"/>
  <c r="H172" i="6"/>
  <c r="H173" i="6" s="1"/>
  <c r="I170" i="6"/>
  <c r="H170" i="6"/>
  <c r="E170" i="6"/>
  <c r="F170" i="6" s="1"/>
  <c r="I169" i="6"/>
  <c r="F169" i="6"/>
  <c r="J169" i="6" s="1"/>
  <c r="D164" i="6"/>
  <c r="G161" i="6"/>
  <c r="D161" i="6"/>
  <c r="G158" i="6"/>
  <c r="D158" i="6"/>
  <c r="G157" i="6"/>
  <c r="G160" i="6" s="1"/>
  <c r="D157" i="6"/>
  <c r="D160" i="6" s="1"/>
  <c r="I152" i="6"/>
  <c r="F152" i="6"/>
  <c r="K152" i="6" s="1"/>
  <c r="H147" i="6"/>
  <c r="H149" i="6" s="1"/>
  <c r="E147" i="6"/>
  <c r="F147" i="6" s="1"/>
  <c r="I146" i="6"/>
  <c r="J146" i="6" s="1"/>
  <c r="F146" i="6"/>
  <c r="D141" i="6"/>
  <c r="J137" i="6"/>
  <c r="G137" i="6"/>
  <c r="D137" i="6"/>
  <c r="G136" i="6"/>
  <c r="J134" i="6"/>
  <c r="G134" i="6"/>
  <c r="D134" i="6"/>
  <c r="J133" i="6"/>
  <c r="J136" i="6" s="1"/>
  <c r="G133" i="6"/>
  <c r="D133" i="6"/>
  <c r="D136" i="6" s="1"/>
  <c r="L128" i="6"/>
  <c r="I128" i="6"/>
  <c r="F128" i="6"/>
  <c r="K125" i="6"/>
  <c r="L125" i="6" s="1"/>
  <c r="K123" i="6"/>
  <c r="L123" i="6" s="1"/>
  <c r="H123" i="6"/>
  <c r="H125" i="6" s="1"/>
  <c r="E123" i="6"/>
  <c r="L122" i="6"/>
  <c r="I122" i="6"/>
  <c r="M122" i="6" s="1"/>
  <c r="F122" i="6"/>
  <c r="D117" i="6"/>
  <c r="G114" i="6"/>
  <c r="D114" i="6"/>
  <c r="G111" i="6"/>
  <c r="D111" i="6"/>
  <c r="G110" i="6"/>
  <c r="G113" i="6" s="1"/>
  <c r="D110" i="6"/>
  <c r="D113" i="6" s="1"/>
  <c r="I105" i="6"/>
  <c r="K105" i="6" s="1"/>
  <c r="F105" i="6"/>
  <c r="E102" i="6"/>
  <c r="F102" i="6" s="1"/>
  <c r="H100" i="6"/>
  <c r="H102" i="6" s="1"/>
  <c r="E100" i="6"/>
  <c r="F100" i="6" s="1"/>
  <c r="I99" i="6"/>
  <c r="F99" i="6"/>
  <c r="D94" i="6"/>
  <c r="G91" i="6"/>
  <c r="D91" i="6"/>
  <c r="G90" i="6"/>
  <c r="G88" i="6"/>
  <c r="D88" i="6"/>
  <c r="G87" i="6"/>
  <c r="D87" i="6"/>
  <c r="D90" i="6" s="1"/>
  <c r="I82" i="6"/>
  <c r="F82" i="6"/>
  <c r="K82" i="6" s="1"/>
  <c r="H79" i="6"/>
  <c r="H80" i="6" s="1"/>
  <c r="I77" i="6"/>
  <c r="H77" i="6"/>
  <c r="E77" i="6"/>
  <c r="F77" i="6" s="1"/>
  <c r="J77" i="6" s="1"/>
  <c r="I76" i="6"/>
  <c r="F76" i="6"/>
  <c r="D71" i="6"/>
  <c r="G68" i="6"/>
  <c r="D68" i="6"/>
  <c r="G65" i="6"/>
  <c r="D65" i="6"/>
  <c r="G64" i="6"/>
  <c r="G67" i="6" s="1"/>
  <c r="D64" i="6"/>
  <c r="D67" i="6" s="1"/>
  <c r="I59" i="6"/>
  <c r="F59" i="6"/>
  <c r="E56" i="6"/>
  <c r="F56" i="6" s="1"/>
  <c r="H54" i="6"/>
  <c r="H56" i="6" s="1"/>
  <c r="E54" i="6"/>
  <c r="F54" i="6" s="1"/>
  <c r="I53" i="6"/>
  <c r="J53" i="6" s="1"/>
  <c r="F53" i="6"/>
  <c r="D48" i="6"/>
  <c r="G45" i="6"/>
  <c r="D45" i="6"/>
  <c r="G42" i="6"/>
  <c r="D42" i="6"/>
  <c r="G41" i="6"/>
  <c r="G44" i="6" s="1"/>
  <c r="D41" i="6"/>
  <c r="D44" i="6" s="1"/>
  <c r="I36" i="6"/>
  <c r="F36" i="6"/>
  <c r="K36" i="6" s="1"/>
  <c r="H31" i="6"/>
  <c r="H33" i="6" s="1"/>
  <c r="H34" i="6" s="1"/>
  <c r="E31" i="6"/>
  <c r="F31" i="6" s="1"/>
  <c r="I30" i="6"/>
  <c r="F30" i="6"/>
  <c r="J30" i="6" s="1"/>
  <c r="D25" i="6"/>
  <c r="J21" i="6"/>
  <c r="G21" i="6"/>
  <c r="D21" i="6"/>
  <c r="J20" i="6"/>
  <c r="J18" i="6"/>
  <c r="G18" i="6"/>
  <c r="D18" i="6"/>
  <c r="J17" i="6"/>
  <c r="G17" i="6"/>
  <c r="G20" i="6" s="1"/>
  <c r="D17" i="6"/>
  <c r="D20" i="6" s="1"/>
  <c r="L12" i="6"/>
  <c r="I12" i="6"/>
  <c r="F12" i="6"/>
  <c r="H9" i="6"/>
  <c r="H10" i="6" s="1"/>
  <c r="K7" i="6"/>
  <c r="L7" i="6" s="1"/>
  <c r="I7" i="6"/>
  <c r="H7" i="6"/>
  <c r="E7" i="6"/>
  <c r="E9" i="6" s="1"/>
  <c r="L6" i="6"/>
  <c r="I6" i="6"/>
  <c r="F6" i="6"/>
  <c r="G4" i="6"/>
  <c r="D1" i="6"/>
  <c r="E190" i="4"/>
  <c r="E189" i="4"/>
  <c r="E192" i="4" s="1"/>
  <c r="F186" i="4"/>
  <c r="E184" i="4"/>
  <c r="E196" i="4" s="1"/>
  <c r="E183" i="4"/>
  <c r="E182" i="4"/>
  <c r="E181" i="4"/>
  <c r="E180" i="4"/>
  <c r="G180" i="4" s="1"/>
  <c r="K174" i="4"/>
  <c r="H174" i="4"/>
  <c r="E174" i="4"/>
  <c r="T171" i="4"/>
  <c r="K171" i="4"/>
  <c r="H171" i="4"/>
  <c r="K170" i="4"/>
  <c r="K173" i="4" s="1"/>
  <c r="M173" i="4" s="1"/>
  <c r="H170" i="4"/>
  <c r="H173" i="4" s="1"/>
  <c r="J173" i="4" s="1"/>
  <c r="T168" i="4"/>
  <c r="Q168" i="4"/>
  <c r="N168" i="4"/>
  <c r="E168" i="4"/>
  <c r="T167" i="4"/>
  <c r="Q167" i="4"/>
  <c r="Q170" i="4" s="1"/>
  <c r="N167" i="4"/>
  <c r="M167" i="4"/>
  <c r="J167" i="4"/>
  <c r="E167" i="4"/>
  <c r="E170" i="4" s="1"/>
  <c r="U164" i="4"/>
  <c r="R164" i="4"/>
  <c r="O164" i="4"/>
  <c r="L164" i="4"/>
  <c r="I164" i="4"/>
  <c r="F164" i="4"/>
  <c r="T162" i="4"/>
  <c r="T174" i="4" s="1"/>
  <c r="Q162" i="4"/>
  <c r="Q174" i="4" s="1"/>
  <c r="N162" i="4"/>
  <c r="E162" i="4"/>
  <c r="T161" i="4"/>
  <c r="Q161" i="4"/>
  <c r="N161" i="4"/>
  <c r="M161" i="4"/>
  <c r="J161" i="4"/>
  <c r="E161" i="4"/>
  <c r="G161" i="4" s="1"/>
  <c r="T160" i="4"/>
  <c r="Q160" i="4"/>
  <c r="N160" i="4"/>
  <c r="E160" i="4"/>
  <c r="T159" i="4"/>
  <c r="Q159" i="4"/>
  <c r="N159" i="4"/>
  <c r="E159" i="4"/>
  <c r="T158" i="4"/>
  <c r="Q158" i="4"/>
  <c r="N158" i="4"/>
  <c r="M158" i="4"/>
  <c r="J158" i="4"/>
  <c r="E158" i="4"/>
  <c r="G158" i="4" s="1"/>
  <c r="T152" i="4"/>
  <c r="Q152" i="4"/>
  <c r="N152" i="4"/>
  <c r="T149" i="4"/>
  <c r="Q149" i="4"/>
  <c r="T148" i="4"/>
  <c r="Q148" i="4"/>
  <c r="Q151" i="4" s="1"/>
  <c r="K148" i="4"/>
  <c r="K151" i="4" s="1"/>
  <c r="H148" i="4"/>
  <c r="H151" i="4" s="1"/>
  <c r="N146" i="4"/>
  <c r="P145" i="4" s="1"/>
  <c r="K146" i="4"/>
  <c r="M145" i="4" s="1"/>
  <c r="H146" i="4"/>
  <c r="J145" i="4" s="1"/>
  <c r="E146" i="4"/>
  <c r="V145" i="4"/>
  <c r="N145" i="4"/>
  <c r="N148" i="4" s="1"/>
  <c r="K145" i="4"/>
  <c r="H145" i="4"/>
  <c r="E145" i="4"/>
  <c r="E148" i="4" s="1"/>
  <c r="U142" i="4"/>
  <c r="R142" i="4"/>
  <c r="O142" i="4"/>
  <c r="L142" i="4"/>
  <c r="I142" i="4"/>
  <c r="F142" i="4"/>
  <c r="N140" i="4"/>
  <c r="N149" i="4" s="1"/>
  <c r="K140" i="4"/>
  <c r="H140" i="4"/>
  <c r="H152" i="4" s="1"/>
  <c r="E140" i="4"/>
  <c r="E152" i="4" s="1"/>
  <c r="V139" i="4"/>
  <c r="S139" i="4"/>
  <c r="N139" i="4"/>
  <c r="K139" i="4"/>
  <c r="M139" i="4" s="1"/>
  <c r="H139" i="4"/>
  <c r="J139" i="4" s="1"/>
  <c r="G139" i="4"/>
  <c r="E139" i="4"/>
  <c r="E149" i="4" s="1"/>
  <c r="N138" i="4"/>
  <c r="K138" i="4"/>
  <c r="H138" i="4"/>
  <c r="E138" i="4"/>
  <c r="N137" i="4"/>
  <c r="K137" i="4"/>
  <c r="M136" i="4" s="1"/>
  <c r="H137" i="4"/>
  <c r="E137" i="4"/>
  <c r="V136" i="4"/>
  <c r="S136" i="4"/>
  <c r="N136" i="4"/>
  <c r="K136" i="4"/>
  <c r="H136" i="4"/>
  <c r="J136" i="4" s="1"/>
  <c r="E136" i="4"/>
  <c r="G136" i="4" s="1"/>
  <c r="H126" i="4"/>
  <c r="H129" i="4" s="1"/>
  <c r="J129" i="4" s="1"/>
  <c r="T124" i="4"/>
  <c r="Q124" i="4"/>
  <c r="N124" i="4"/>
  <c r="K124" i="4"/>
  <c r="H124" i="4"/>
  <c r="E124" i="4"/>
  <c r="T123" i="4"/>
  <c r="T126" i="4" s="1"/>
  <c r="Q123" i="4"/>
  <c r="Q126" i="4" s="1"/>
  <c r="N123" i="4"/>
  <c r="N126" i="4" s="1"/>
  <c r="K123" i="4"/>
  <c r="H123" i="4"/>
  <c r="E123" i="4"/>
  <c r="U120" i="4"/>
  <c r="R120" i="4"/>
  <c r="O120" i="4"/>
  <c r="L120" i="4"/>
  <c r="I120" i="4"/>
  <c r="F120" i="4"/>
  <c r="T118" i="4"/>
  <c r="Q118" i="4"/>
  <c r="Q130" i="4" s="1"/>
  <c r="N118" i="4"/>
  <c r="N130" i="4" s="1"/>
  <c r="K118" i="4"/>
  <c r="H118" i="4"/>
  <c r="H130" i="4" s="1"/>
  <c r="E118" i="4"/>
  <c r="T117" i="4"/>
  <c r="Q117" i="4"/>
  <c r="S117" i="4" s="1"/>
  <c r="N117" i="4"/>
  <c r="P117" i="4" s="1"/>
  <c r="M117" i="4"/>
  <c r="K117" i="4"/>
  <c r="H117" i="4"/>
  <c r="J117" i="4" s="1"/>
  <c r="E117" i="4"/>
  <c r="Q116" i="4"/>
  <c r="N116" i="4"/>
  <c r="K116" i="4"/>
  <c r="H116" i="4"/>
  <c r="E116" i="4"/>
  <c r="T115" i="4"/>
  <c r="V114" i="4" s="1"/>
  <c r="Q115" i="4"/>
  <c r="N115" i="4"/>
  <c r="K115" i="4"/>
  <c r="H115" i="4"/>
  <c r="E115" i="4"/>
  <c r="T114" i="4"/>
  <c r="Q114" i="4"/>
  <c r="N114" i="4"/>
  <c r="K114" i="4"/>
  <c r="H114" i="4"/>
  <c r="J114" i="4" s="1"/>
  <c r="E114" i="4"/>
  <c r="N108" i="4"/>
  <c r="H108" i="4"/>
  <c r="N105" i="4"/>
  <c r="N104" i="4"/>
  <c r="N107" i="4" s="1"/>
  <c r="K104" i="4"/>
  <c r="K107" i="4" s="1"/>
  <c r="T102" i="4"/>
  <c r="Q102" i="4"/>
  <c r="K102" i="4"/>
  <c r="H102" i="4"/>
  <c r="E102" i="4"/>
  <c r="T101" i="4"/>
  <c r="T104" i="4" s="1"/>
  <c r="Q101" i="4"/>
  <c r="Q104" i="4" s="1"/>
  <c r="Q107" i="4" s="1"/>
  <c r="P101" i="4"/>
  <c r="K101" i="4"/>
  <c r="H101" i="4"/>
  <c r="E101" i="4"/>
  <c r="E104" i="4" s="1"/>
  <c r="U98" i="4"/>
  <c r="R98" i="4"/>
  <c r="O98" i="4"/>
  <c r="L98" i="4"/>
  <c r="I98" i="4"/>
  <c r="F98" i="4"/>
  <c r="T96" i="4"/>
  <c r="T108" i="4" s="1"/>
  <c r="Q96" i="4"/>
  <c r="Q108" i="4" s="1"/>
  <c r="K96" i="4"/>
  <c r="H96" i="4"/>
  <c r="E96" i="4"/>
  <c r="G95" i="4" s="1"/>
  <c r="T95" i="4"/>
  <c r="Q95" i="4"/>
  <c r="S95" i="4" s="1"/>
  <c r="P95" i="4"/>
  <c r="K95" i="4"/>
  <c r="M95" i="4" s="1"/>
  <c r="H95" i="4"/>
  <c r="J95" i="4" s="1"/>
  <c r="E95" i="4"/>
  <c r="T94" i="4"/>
  <c r="Q94" i="4"/>
  <c r="K94" i="4"/>
  <c r="H94" i="4"/>
  <c r="E94" i="4"/>
  <c r="T93" i="4"/>
  <c r="Q93" i="4"/>
  <c r="K93" i="4"/>
  <c r="H93" i="4"/>
  <c r="E93" i="4"/>
  <c r="G92" i="4" s="1"/>
  <c r="T92" i="4"/>
  <c r="Q92" i="4"/>
  <c r="P92" i="4"/>
  <c r="K92" i="4"/>
  <c r="H92" i="4"/>
  <c r="J92" i="4" s="1"/>
  <c r="E92" i="4"/>
  <c r="N82" i="4"/>
  <c r="N85" i="4" s="1"/>
  <c r="K82" i="4"/>
  <c r="K85" i="4" s="1"/>
  <c r="T80" i="4"/>
  <c r="Q80" i="4"/>
  <c r="N80" i="4"/>
  <c r="K80" i="4"/>
  <c r="H80" i="4"/>
  <c r="E80" i="4"/>
  <c r="T79" i="4"/>
  <c r="T82" i="4" s="1"/>
  <c r="S79" i="4"/>
  <c r="Q79" i="4"/>
  <c r="Q82" i="4" s="1"/>
  <c r="N79" i="4"/>
  <c r="P79" i="4" s="1"/>
  <c r="K79" i="4"/>
  <c r="M79" i="4" s="1"/>
  <c r="H79" i="4"/>
  <c r="H82" i="4" s="1"/>
  <c r="E79" i="4"/>
  <c r="E82" i="4" s="1"/>
  <c r="U76" i="4"/>
  <c r="R76" i="4"/>
  <c r="O76" i="4"/>
  <c r="L76" i="4"/>
  <c r="I76" i="4"/>
  <c r="F76" i="4"/>
  <c r="T74" i="4"/>
  <c r="T86" i="4" s="1"/>
  <c r="Q74" i="4"/>
  <c r="Q86" i="4" s="1"/>
  <c r="N74" i="4"/>
  <c r="N86" i="4" s="1"/>
  <c r="K74" i="4"/>
  <c r="K83" i="4" s="1"/>
  <c r="H74" i="4"/>
  <c r="H83" i="4" s="1"/>
  <c r="E74" i="4"/>
  <c r="T73" i="4"/>
  <c r="Q73" i="4"/>
  <c r="S73" i="4" s="1"/>
  <c r="N73" i="4"/>
  <c r="K73" i="4"/>
  <c r="H73" i="4"/>
  <c r="E73" i="4"/>
  <c r="G73" i="4" s="1"/>
  <c r="Q72" i="4"/>
  <c r="N72" i="4"/>
  <c r="K72" i="4"/>
  <c r="H72" i="4"/>
  <c r="E72" i="4"/>
  <c r="T71" i="4"/>
  <c r="Q71" i="4"/>
  <c r="N71" i="4"/>
  <c r="K71" i="4"/>
  <c r="H71" i="4"/>
  <c r="E71" i="4"/>
  <c r="T70" i="4"/>
  <c r="V70" i="4" s="1"/>
  <c r="Q70" i="4"/>
  <c r="S70" i="4" s="1"/>
  <c r="N70" i="4"/>
  <c r="P70" i="4" s="1"/>
  <c r="K70" i="4"/>
  <c r="M70" i="4" s="1"/>
  <c r="H70" i="4"/>
  <c r="J70" i="4" s="1"/>
  <c r="E70" i="4"/>
  <c r="E59" i="4"/>
  <c r="T58" i="4"/>
  <c r="V57" i="4" s="1"/>
  <c r="Q58" i="4"/>
  <c r="S57" i="4" s="1"/>
  <c r="N58" i="4"/>
  <c r="K58" i="4"/>
  <c r="H58" i="4"/>
  <c r="E58" i="4"/>
  <c r="T57" i="4"/>
  <c r="T60" i="4" s="1"/>
  <c r="Q57" i="4"/>
  <c r="Q60" i="4" s="1"/>
  <c r="Q63" i="4" s="1"/>
  <c r="N57" i="4"/>
  <c r="N60" i="4" s="1"/>
  <c r="K57" i="4"/>
  <c r="K60" i="4" s="1"/>
  <c r="H57" i="4"/>
  <c r="H60" i="4" s="1"/>
  <c r="H63" i="4" s="1"/>
  <c r="J63" i="4" s="1"/>
  <c r="E57" i="4"/>
  <c r="G57" i="4" s="1"/>
  <c r="U54" i="4"/>
  <c r="R54" i="4"/>
  <c r="O54" i="4"/>
  <c r="L54" i="4"/>
  <c r="I54" i="4"/>
  <c r="F54" i="4"/>
  <c r="T52" i="4"/>
  <c r="T64" i="4" s="1"/>
  <c r="Q52" i="4"/>
  <c r="N52" i="4"/>
  <c r="K52" i="4"/>
  <c r="K64" i="4" s="1"/>
  <c r="H52" i="4"/>
  <c r="H64" i="4" s="1"/>
  <c r="E52" i="4"/>
  <c r="E64" i="4" s="1"/>
  <c r="T51" i="4"/>
  <c r="Q51" i="4"/>
  <c r="N51" i="4"/>
  <c r="P51" i="4" s="1"/>
  <c r="K51" i="4"/>
  <c r="K61" i="4" s="1"/>
  <c r="H51" i="4"/>
  <c r="E51" i="4"/>
  <c r="Q50" i="4"/>
  <c r="K50" i="4"/>
  <c r="E50" i="4"/>
  <c r="T49" i="4"/>
  <c r="Q49" i="4"/>
  <c r="N49" i="4"/>
  <c r="P48" i="4" s="1"/>
  <c r="K49" i="4"/>
  <c r="H49" i="4"/>
  <c r="E49" i="4"/>
  <c r="T48" i="4"/>
  <c r="Q48" i="4"/>
  <c r="N48" i="4"/>
  <c r="K48" i="4"/>
  <c r="M48" i="4" s="1"/>
  <c r="H48" i="4"/>
  <c r="E48" i="4"/>
  <c r="H39" i="4"/>
  <c r="K38" i="4"/>
  <c r="K41" i="4" s="1"/>
  <c r="H38" i="4"/>
  <c r="H41" i="4" s="1"/>
  <c r="H37" i="4"/>
  <c r="T36" i="4"/>
  <c r="Q36" i="4"/>
  <c r="N36" i="4"/>
  <c r="K36" i="4"/>
  <c r="M35" i="4" s="1"/>
  <c r="H36" i="4"/>
  <c r="E36" i="4"/>
  <c r="T35" i="4"/>
  <c r="T38" i="4" s="1"/>
  <c r="Q35" i="4"/>
  <c r="Q38" i="4" s="1"/>
  <c r="N35" i="4"/>
  <c r="N38" i="4" s="1"/>
  <c r="K35" i="4"/>
  <c r="H35" i="4"/>
  <c r="E35" i="4"/>
  <c r="U32" i="4"/>
  <c r="R32" i="4"/>
  <c r="O32" i="4"/>
  <c r="L32" i="4"/>
  <c r="I32" i="4"/>
  <c r="F32" i="4"/>
  <c r="T30" i="4"/>
  <c r="T42" i="4" s="1"/>
  <c r="Q30" i="4"/>
  <c r="Q42" i="4" s="1"/>
  <c r="N30" i="4"/>
  <c r="N42" i="4" s="1"/>
  <c r="K30" i="4"/>
  <c r="K42" i="4" s="1"/>
  <c r="H30" i="4"/>
  <c r="H42" i="4" s="1"/>
  <c r="E30" i="4"/>
  <c r="E42" i="4" s="1"/>
  <c r="T29" i="4"/>
  <c r="Q29" i="4"/>
  <c r="N29" i="4"/>
  <c r="N39" i="4" s="1"/>
  <c r="M29" i="4"/>
  <c r="K29" i="4"/>
  <c r="H29" i="4"/>
  <c r="J29" i="4" s="1"/>
  <c r="E29" i="4"/>
  <c r="G29" i="4" s="1"/>
  <c r="T28" i="4"/>
  <c r="Q28" i="4"/>
  <c r="N28" i="4"/>
  <c r="T27" i="4"/>
  <c r="Q27" i="4"/>
  <c r="N27" i="4"/>
  <c r="K27" i="4"/>
  <c r="M26" i="4" s="1"/>
  <c r="H27" i="4"/>
  <c r="E27" i="4"/>
  <c r="T26" i="4"/>
  <c r="Q26" i="4"/>
  <c r="N26" i="4"/>
  <c r="P26" i="4" s="1"/>
  <c r="K26" i="4"/>
  <c r="H26" i="4"/>
  <c r="E26" i="4"/>
  <c r="T17" i="4"/>
  <c r="T14" i="4"/>
  <c r="Q14" i="4"/>
  <c r="N14" i="4"/>
  <c r="K14" i="4"/>
  <c r="H14" i="4"/>
  <c r="E14" i="4"/>
  <c r="T13" i="4"/>
  <c r="T16" i="4" s="1"/>
  <c r="Q13" i="4"/>
  <c r="Q16" i="4" s="1"/>
  <c r="N13" i="4"/>
  <c r="K13" i="4"/>
  <c r="M13" i="4" s="1"/>
  <c r="H13" i="4"/>
  <c r="J13" i="4" s="1"/>
  <c r="E13" i="4"/>
  <c r="E16" i="4" s="1"/>
  <c r="U10" i="4"/>
  <c r="R10" i="4"/>
  <c r="O10" i="4"/>
  <c r="L10" i="4"/>
  <c r="I10" i="4"/>
  <c r="F10" i="4"/>
  <c r="T8" i="4"/>
  <c r="T20" i="4" s="1"/>
  <c r="Q8" i="4"/>
  <c r="Q20" i="4" s="1"/>
  <c r="N8" i="4"/>
  <c r="K8" i="4"/>
  <c r="K20" i="4" s="1"/>
  <c r="H8" i="4"/>
  <c r="E8" i="4"/>
  <c r="E17" i="4" s="1"/>
  <c r="T7" i="4"/>
  <c r="Q7" i="4"/>
  <c r="S7" i="4" s="1"/>
  <c r="N7" i="4"/>
  <c r="K7" i="4"/>
  <c r="H7" i="4"/>
  <c r="J7" i="4" s="1"/>
  <c r="E7" i="4"/>
  <c r="T6" i="4"/>
  <c r="N6" i="4"/>
  <c r="H6" i="4"/>
  <c r="E6" i="4"/>
  <c r="T5" i="4"/>
  <c r="Q5" i="4"/>
  <c r="S4" i="4" s="1"/>
  <c r="N5" i="4"/>
  <c r="K5" i="4"/>
  <c r="H5" i="4"/>
  <c r="E5" i="4"/>
  <c r="T4" i="4"/>
  <c r="Q4" i="4"/>
  <c r="N4" i="4"/>
  <c r="P4" i="4" s="1"/>
  <c r="K4" i="4"/>
  <c r="M4" i="4" s="1"/>
  <c r="H4" i="4"/>
  <c r="J4" i="4" s="1"/>
  <c r="E4" i="4"/>
  <c r="G4" i="4" s="1"/>
  <c r="N106" i="5"/>
  <c r="M106" i="5"/>
  <c r="L106" i="5"/>
  <c r="K106" i="5"/>
  <c r="J106" i="5"/>
  <c r="I106" i="5"/>
  <c r="H105" i="5"/>
  <c r="H106" i="5" s="1"/>
  <c r="G105" i="5"/>
  <c r="G106" i="5" s="1"/>
  <c r="F105" i="5"/>
  <c r="F106" i="5" s="1"/>
  <c r="E105" i="5"/>
  <c r="E106" i="5" s="1"/>
  <c r="D105" i="5"/>
  <c r="D106" i="5" s="1"/>
  <c r="C105" i="5"/>
  <c r="C106" i="5" s="1"/>
  <c r="B105" i="5"/>
  <c r="N104" i="5"/>
  <c r="M104" i="5"/>
  <c r="L104" i="5"/>
  <c r="K104" i="5"/>
  <c r="J104" i="5"/>
  <c r="I104" i="5"/>
  <c r="H103" i="5"/>
  <c r="H104" i="5" s="1"/>
  <c r="G103" i="5"/>
  <c r="G104" i="5" s="1"/>
  <c r="F103" i="5"/>
  <c r="F104" i="5" s="1"/>
  <c r="E103" i="5"/>
  <c r="E104" i="5" s="1"/>
  <c r="D103" i="5"/>
  <c r="D104" i="5" s="1"/>
  <c r="C103" i="5"/>
  <c r="C104" i="5" s="1"/>
  <c r="B103" i="5"/>
  <c r="N102" i="5"/>
  <c r="M102" i="5"/>
  <c r="L102" i="5"/>
  <c r="K102" i="5"/>
  <c r="J102" i="5"/>
  <c r="I102" i="5"/>
  <c r="H102" i="5"/>
  <c r="G102" i="5"/>
  <c r="F102" i="5"/>
  <c r="E102" i="5"/>
  <c r="D102" i="5"/>
  <c r="H101" i="5"/>
  <c r="G101" i="5"/>
  <c r="F101" i="5"/>
  <c r="E101" i="5"/>
  <c r="D101" i="5"/>
  <c r="C101" i="5"/>
  <c r="C102" i="5" s="1"/>
  <c r="B101" i="5"/>
  <c r="N100" i="5"/>
  <c r="M100" i="5"/>
  <c r="L100" i="5"/>
  <c r="K100" i="5"/>
  <c r="J100" i="5"/>
  <c r="I100" i="5"/>
  <c r="C100" i="5"/>
  <c r="H99" i="5"/>
  <c r="H100" i="5" s="1"/>
  <c r="G99" i="5"/>
  <c r="G100" i="5" s="1"/>
  <c r="F99" i="5"/>
  <c r="F100" i="5" s="1"/>
  <c r="E99" i="5"/>
  <c r="E100" i="5" s="1"/>
  <c r="D99" i="5"/>
  <c r="D100" i="5" s="1"/>
  <c r="C99" i="5"/>
  <c r="B99" i="5"/>
  <c r="N98" i="5"/>
  <c r="M98" i="5"/>
  <c r="L98" i="5"/>
  <c r="K98" i="5"/>
  <c r="J98" i="5"/>
  <c r="I98" i="5"/>
  <c r="H97" i="5"/>
  <c r="H98" i="5" s="1"/>
  <c r="G97" i="5"/>
  <c r="G98" i="5" s="1"/>
  <c r="F97" i="5"/>
  <c r="F98" i="5" s="1"/>
  <c r="E97" i="5"/>
  <c r="E98" i="5" s="1"/>
  <c r="D97" i="5"/>
  <c r="D98" i="5" s="1"/>
  <c r="C97" i="5"/>
  <c r="C98" i="5" s="1"/>
  <c r="B97" i="5"/>
  <c r="N96" i="5"/>
  <c r="M96" i="5"/>
  <c r="L96" i="5"/>
  <c r="K96" i="5"/>
  <c r="J96" i="5"/>
  <c r="I96" i="5"/>
  <c r="H96" i="5"/>
  <c r="G96" i="5"/>
  <c r="F96" i="5"/>
  <c r="D96" i="5"/>
  <c r="H95" i="5"/>
  <c r="G95" i="5"/>
  <c r="F95" i="5"/>
  <c r="E95" i="5"/>
  <c r="E96" i="5" s="1"/>
  <c r="D95" i="5"/>
  <c r="C95" i="5"/>
  <c r="C96" i="5" s="1"/>
  <c r="B95" i="5"/>
  <c r="N94" i="5"/>
  <c r="M94" i="5"/>
  <c r="L94" i="5"/>
  <c r="K94" i="5"/>
  <c r="J94" i="5"/>
  <c r="I94" i="5"/>
  <c r="H93" i="5"/>
  <c r="H94" i="5" s="1"/>
  <c r="G93" i="5"/>
  <c r="G94" i="5" s="1"/>
  <c r="F93" i="5"/>
  <c r="F94" i="5" s="1"/>
  <c r="E93" i="5"/>
  <c r="E94" i="5" s="1"/>
  <c r="D93" i="5"/>
  <c r="D94" i="5" s="1"/>
  <c r="C93" i="5"/>
  <c r="C94" i="5" s="1"/>
  <c r="B93" i="5"/>
  <c r="N92" i="5"/>
  <c r="M92" i="5"/>
  <c r="L92" i="5"/>
  <c r="K92" i="5"/>
  <c r="J92" i="5"/>
  <c r="I92" i="5"/>
  <c r="O91" i="5"/>
  <c r="B91" i="5"/>
  <c r="N90" i="5"/>
  <c r="M90" i="5"/>
  <c r="L90" i="5"/>
  <c r="K90" i="5"/>
  <c r="J90" i="5"/>
  <c r="I90" i="5"/>
  <c r="F90" i="5"/>
  <c r="H89" i="5"/>
  <c r="H90" i="5" s="1"/>
  <c r="G89" i="5"/>
  <c r="G90" i="5" s="1"/>
  <c r="F89" i="5"/>
  <c r="E89" i="5"/>
  <c r="E90" i="5" s="1"/>
  <c r="D89" i="5"/>
  <c r="D90" i="5" s="1"/>
  <c r="C89" i="5"/>
  <c r="C90" i="5" s="1"/>
  <c r="B89" i="5"/>
  <c r="N88" i="5"/>
  <c r="M88" i="5"/>
  <c r="L88" i="5"/>
  <c r="K88" i="5"/>
  <c r="J88" i="5"/>
  <c r="I88" i="5"/>
  <c r="F88" i="5"/>
  <c r="E88" i="5"/>
  <c r="D88" i="5"/>
  <c r="C88" i="5"/>
  <c r="H87" i="5"/>
  <c r="H88" i="5" s="1"/>
  <c r="G87" i="5"/>
  <c r="G88" i="5" s="1"/>
  <c r="F87" i="5"/>
  <c r="E87" i="5"/>
  <c r="D87" i="5"/>
  <c r="C87" i="5"/>
  <c r="B87" i="5"/>
  <c r="N86" i="5"/>
  <c r="M86" i="5"/>
  <c r="L86" i="5"/>
  <c r="K86" i="5"/>
  <c r="J86" i="5"/>
  <c r="I86" i="5"/>
  <c r="H85" i="5"/>
  <c r="H86" i="5" s="1"/>
  <c r="G85" i="5"/>
  <c r="G86" i="5" s="1"/>
  <c r="F85" i="5"/>
  <c r="F86" i="5" s="1"/>
  <c r="E85" i="5"/>
  <c r="E86" i="5" s="1"/>
  <c r="D85" i="5"/>
  <c r="D86" i="5" s="1"/>
  <c r="C85" i="5"/>
  <c r="C86" i="5" s="1"/>
  <c r="B85" i="5"/>
  <c r="N84" i="5"/>
  <c r="M84" i="5"/>
  <c r="L84" i="5"/>
  <c r="K84" i="5"/>
  <c r="J84" i="5"/>
  <c r="I84" i="5"/>
  <c r="F84" i="5"/>
  <c r="E84" i="5"/>
  <c r="H83" i="5"/>
  <c r="H84" i="5" s="1"/>
  <c r="G83" i="5"/>
  <c r="G84" i="5" s="1"/>
  <c r="F83" i="5"/>
  <c r="E83" i="5"/>
  <c r="D83" i="5"/>
  <c r="D84" i="5" s="1"/>
  <c r="C83" i="5"/>
  <c r="C84" i="5" s="1"/>
  <c r="B83" i="5"/>
  <c r="N82" i="5"/>
  <c r="M82" i="5"/>
  <c r="L82" i="5"/>
  <c r="K82" i="5"/>
  <c r="J82" i="5"/>
  <c r="I82" i="5"/>
  <c r="E82" i="5"/>
  <c r="D82" i="5"/>
  <c r="H81" i="5"/>
  <c r="H82" i="5" s="1"/>
  <c r="G81" i="5"/>
  <c r="G82" i="5" s="1"/>
  <c r="F81" i="5"/>
  <c r="F82" i="5" s="1"/>
  <c r="E81" i="5"/>
  <c r="D81" i="5"/>
  <c r="C81" i="5"/>
  <c r="C82" i="5" s="1"/>
  <c r="B81" i="5"/>
  <c r="N80" i="5"/>
  <c r="M80" i="5"/>
  <c r="L80" i="5"/>
  <c r="K80" i="5"/>
  <c r="J80" i="5"/>
  <c r="I80" i="5"/>
  <c r="H79" i="5"/>
  <c r="H80" i="5" s="1"/>
  <c r="G79" i="5"/>
  <c r="G80" i="5" s="1"/>
  <c r="F79" i="5"/>
  <c r="F80" i="5" s="1"/>
  <c r="E79" i="5"/>
  <c r="E80" i="5" s="1"/>
  <c r="D79" i="5"/>
  <c r="D80" i="5" s="1"/>
  <c r="C79" i="5"/>
  <c r="C80" i="5" s="1"/>
  <c r="B79" i="5"/>
  <c r="N78" i="5"/>
  <c r="M78" i="5"/>
  <c r="L78" i="5"/>
  <c r="K78" i="5"/>
  <c r="J78" i="5"/>
  <c r="I78" i="5"/>
  <c r="E78" i="5"/>
  <c r="H77" i="5"/>
  <c r="H78" i="5" s="1"/>
  <c r="G77" i="5"/>
  <c r="G78" i="5" s="1"/>
  <c r="F77" i="5"/>
  <c r="F78" i="5" s="1"/>
  <c r="E77" i="5"/>
  <c r="D77" i="5"/>
  <c r="D78" i="5" s="1"/>
  <c r="C77" i="5"/>
  <c r="C78" i="5" s="1"/>
  <c r="B77" i="5"/>
  <c r="N76" i="5"/>
  <c r="M76" i="5"/>
  <c r="L76" i="5"/>
  <c r="K76" i="5"/>
  <c r="J76" i="5"/>
  <c r="I76" i="5"/>
  <c r="E76" i="5"/>
  <c r="D76" i="5"/>
  <c r="C76" i="5"/>
  <c r="H75" i="5"/>
  <c r="H76" i="5" s="1"/>
  <c r="G75" i="5"/>
  <c r="G76" i="5" s="1"/>
  <c r="F75" i="5"/>
  <c r="F76" i="5" s="1"/>
  <c r="E75" i="5"/>
  <c r="D75" i="5"/>
  <c r="C75" i="5"/>
  <c r="B75" i="5"/>
  <c r="N74" i="5"/>
  <c r="M74" i="5"/>
  <c r="L74" i="5"/>
  <c r="K74" i="5"/>
  <c r="J74" i="5"/>
  <c r="I74" i="5"/>
  <c r="H73" i="5"/>
  <c r="H74" i="5" s="1"/>
  <c r="G73" i="5"/>
  <c r="G74" i="5" s="1"/>
  <c r="F73" i="5"/>
  <c r="F74" i="5" s="1"/>
  <c r="E73" i="5"/>
  <c r="E74" i="5" s="1"/>
  <c r="D73" i="5"/>
  <c r="D74" i="5" s="1"/>
  <c r="C73" i="5"/>
  <c r="C74" i="5" s="1"/>
  <c r="B73" i="5"/>
  <c r="N72" i="5"/>
  <c r="M72" i="5"/>
  <c r="L72" i="5"/>
  <c r="K72" i="5"/>
  <c r="J72" i="5"/>
  <c r="I72" i="5"/>
  <c r="H72" i="5"/>
  <c r="H71" i="5"/>
  <c r="G71" i="5"/>
  <c r="G72" i="5" s="1"/>
  <c r="F71" i="5"/>
  <c r="F72" i="5" s="1"/>
  <c r="E71" i="5"/>
  <c r="E72" i="5" s="1"/>
  <c r="D71" i="5"/>
  <c r="D72" i="5" s="1"/>
  <c r="C71" i="5"/>
  <c r="C72" i="5" s="1"/>
  <c r="B71" i="5"/>
  <c r="N70" i="5"/>
  <c r="M70" i="5"/>
  <c r="L70" i="5"/>
  <c r="K70" i="5"/>
  <c r="J70" i="5"/>
  <c r="I70" i="5"/>
  <c r="D70" i="5"/>
  <c r="C70" i="5"/>
  <c r="H69" i="5"/>
  <c r="H70" i="5" s="1"/>
  <c r="G69" i="5"/>
  <c r="G70" i="5" s="1"/>
  <c r="F69" i="5"/>
  <c r="F70" i="5" s="1"/>
  <c r="E69" i="5"/>
  <c r="E70" i="5" s="1"/>
  <c r="D69" i="5"/>
  <c r="C69" i="5"/>
  <c r="B69" i="5"/>
  <c r="N68" i="5"/>
  <c r="M68" i="5"/>
  <c r="L68" i="5"/>
  <c r="K68" i="5"/>
  <c r="J68" i="5"/>
  <c r="I68" i="5"/>
  <c r="H67" i="5"/>
  <c r="H68" i="5" s="1"/>
  <c r="G67" i="5"/>
  <c r="G68" i="5" s="1"/>
  <c r="F67" i="5"/>
  <c r="F68" i="5" s="1"/>
  <c r="E67" i="5"/>
  <c r="E68" i="5" s="1"/>
  <c r="D67" i="5"/>
  <c r="D68" i="5" s="1"/>
  <c r="C67" i="5"/>
  <c r="C68" i="5" s="1"/>
  <c r="B67" i="5"/>
  <c r="N66" i="5"/>
  <c r="M66" i="5"/>
  <c r="L66" i="5"/>
  <c r="K66" i="5"/>
  <c r="J66" i="5"/>
  <c r="I66" i="5"/>
  <c r="H66" i="5"/>
  <c r="F66" i="5"/>
  <c r="H65" i="5"/>
  <c r="G65" i="5"/>
  <c r="G66" i="5" s="1"/>
  <c r="F65" i="5"/>
  <c r="E65" i="5"/>
  <c r="E66" i="5" s="1"/>
  <c r="D65" i="5"/>
  <c r="D66" i="5" s="1"/>
  <c r="C65" i="5"/>
  <c r="C66" i="5" s="1"/>
  <c r="B65" i="5"/>
  <c r="N64" i="5"/>
  <c r="M64" i="5"/>
  <c r="L64" i="5"/>
  <c r="K64" i="5"/>
  <c r="J64" i="5"/>
  <c r="I64" i="5"/>
  <c r="H63" i="5"/>
  <c r="H64" i="5" s="1"/>
  <c r="G63" i="5"/>
  <c r="G64" i="5" s="1"/>
  <c r="F63" i="5"/>
  <c r="F64" i="5" s="1"/>
  <c r="E63" i="5"/>
  <c r="E64" i="5" s="1"/>
  <c r="D63" i="5"/>
  <c r="D64" i="5" s="1"/>
  <c r="C63" i="5"/>
  <c r="C64" i="5" s="1"/>
  <c r="B63" i="5"/>
  <c r="N62" i="5"/>
  <c r="M62" i="5"/>
  <c r="L62" i="5"/>
  <c r="K62" i="5"/>
  <c r="J62" i="5"/>
  <c r="I62" i="5"/>
  <c r="H61" i="5"/>
  <c r="H62" i="5" s="1"/>
  <c r="G61" i="5"/>
  <c r="G62" i="5" s="1"/>
  <c r="F61" i="5"/>
  <c r="F62" i="5" s="1"/>
  <c r="E61" i="5"/>
  <c r="E62" i="5" s="1"/>
  <c r="D61" i="5"/>
  <c r="D62" i="5" s="1"/>
  <c r="C61" i="5"/>
  <c r="C62" i="5" s="1"/>
  <c r="B61" i="5"/>
  <c r="N60" i="5"/>
  <c r="M60" i="5"/>
  <c r="L60" i="5"/>
  <c r="K60" i="5"/>
  <c r="J60" i="5"/>
  <c r="I60" i="5"/>
  <c r="H60" i="5"/>
  <c r="G60" i="5"/>
  <c r="F60" i="5"/>
  <c r="E60" i="5"/>
  <c r="H59" i="5"/>
  <c r="G59" i="5"/>
  <c r="F59" i="5"/>
  <c r="E59" i="5"/>
  <c r="D59" i="5"/>
  <c r="D60" i="5" s="1"/>
  <c r="C59" i="5"/>
  <c r="C60" i="5" s="1"/>
  <c r="B59" i="5"/>
  <c r="N58" i="5"/>
  <c r="M58" i="5"/>
  <c r="L58" i="5"/>
  <c r="K58" i="5"/>
  <c r="J58" i="5"/>
  <c r="I58" i="5"/>
  <c r="H57" i="5"/>
  <c r="H58" i="5" s="1"/>
  <c r="G57" i="5"/>
  <c r="G58" i="5" s="1"/>
  <c r="F57" i="5"/>
  <c r="F58" i="5" s="1"/>
  <c r="E57" i="5"/>
  <c r="E58" i="5" s="1"/>
  <c r="D57" i="5"/>
  <c r="D58" i="5" s="1"/>
  <c r="C57" i="5"/>
  <c r="C58" i="5" s="1"/>
  <c r="B57" i="5"/>
  <c r="N56" i="5"/>
  <c r="M56" i="5"/>
  <c r="L56" i="5"/>
  <c r="K56" i="5"/>
  <c r="J56" i="5"/>
  <c r="I56" i="5"/>
  <c r="H55" i="5"/>
  <c r="H56" i="5" s="1"/>
  <c r="G55" i="5"/>
  <c r="G56" i="5" s="1"/>
  <c r="F55" i="5"/>
  <c r="F56" i="5" s="1"/>
  <c r="E55" i="5"/>
  <c r="E56" i="5" s="1"/>
  <c r="D55" i="5"/>
  <c r="D56" i="5" s="1"/>
  <c r="C55" i="5"/>
  <c r="C56" i="5" s="1"/>
  <c r="B55" i="5"/>
  <c r="N54" i="5"/>
  <c r="M54" i="5"/>
  <c r="L54" i="5"/>
  <c r="K54" i="5"/>
  <c r="J54" i="5"/>
  <c r="I54" i="5"/>
  <c r="G54" i="5"/>
  <c r="F54" i="5"/>
  <c r="E54" i="5"/>
  <c r="H53" i="5"/>
  <c r="H54" i="5" s="1"/>
  <c r="G53" i="5"/>
  <c r="F53" i="5"/>
  <c r="E53" i="5"/>
  <c r="D53" i="5"/>
  <c r="D54" i="5" s="1"/>
  <c r="C53" i="5"/>
  <c r="C54" i="5" s="1"/>
  <c r="B53" i="5"/>
  <c r="N52" i="5"/>
  <c r="M52" i="5"/>
  <c r="L52" i="5"/>
  <c r="K52" i="5"/>
  <c r="J52" i="5"/>
  <c r="I52" i="5"/>
  <c r="D52" i="5"/>
  <c r="C52" i="5"/>
  <c r="H51" i="5"/>
  <c r="H52" i="5" s="1"/>
  <c r="G51" i="5"/>
  <c r="G52" i="5" s="1"/>
  <c r="F51" i="5"/>
  <c r="F52" i="5" s="1"/>
  <c r="E51" i="5"/>
  <c r="E52" i="5" s="1"/>
  <c r="D51" i="5"/>
  <c r="C51" i="5"/>
  <c r="B51" i="5"/>
  <c r="N50" i="5"/>
  <c r="M50" i="5"/>
  <c r="L50" i="5"/>
  <c r="K50" i="5"/>
  <c r="J50" i="5"/>
  <c r="I50" i="5"/>
  <c r="H49" i="5"/>
  <c r="H50" i="5" s="1"/>
  <c r="G49" i="5"/>
  <c r="G50" i="5" s="1"/>
  <c r="F49" i="5"/>
  <c r="F50" i="5" s="1"/>
  <c r="E49" i="5"/>
  <c r="E50" i="5" s="1"/>
  <c r="D49" i="5"/>
  <c r="D50" i="5" s="1"/>
  <c r="C49" i="5"/>
  <c r="C50" i="5" s="1"/>
  <c r="B49" i="5"/>
  <c r="N48" i="5"/>
  <c r="M48" i="5"/>
  <c r="L48" i="5"/>
  <c r="K48" i="5"/>
  <c r="J48" i="5"/>
  <c r="I48" i="5"/>
  <c r="H48" i="5"/>
  <c r="F48" i="5"/>
  <c r="E48" i="5"/>
  <c r="H47" i="5"/>
  <c r="G47" i="5"/>
  <c r="G48" i="5" s="1"/>
  <c r="F47" i="5"/>
  <c r="E47" i="5"/>
  <c r="D47" i="5"/>
  <c r="D48" i="5" s="1"/>
  <c r="C47" i="5"/>
  <c r="C48" i="5" s="1"/>
  <c r="B47" i="5"/>
  <c r="N46" i="5"/>
  <c r="M46" i="5"/>
  <c r="L46" i="5"/>
  <c r="K46" i="5"/>
  <c r="J46" i="5"/>
  <c r="I46" i="5"/>
  <c r="C46" i="5"/>
  <c r="H45" i="5"/>
  <c r="H46" i="5" s="1"/>
  <c r="G45" i="5"/>
  <c r="G46" i="5" s="1"/>
  <c r="F45" i="5"/>
  <c r="F46" i="5" s="1"/>
  <c r="E45" i="5"/>
  <c r="E46" i="5" s="1"/>
  <c r="D45" i="5"/>
  <c r="D46" i="5" s="1"/>
  <c r="C45" i="5"/>
  <c r="B45" i="5"/>
  <c r="N44" i="5"/>
  <c r="M44" i="5"/>
  <c r="L44" i="5"/>
  <c r="K44" i="5"/>
  <c r="J44" i="5"/>
  <c r="I44" i="5"/>
  <c r="H43" i="5"/>
  <c r="H44" i="5" s="1"/>
  <c r="G43" i="5"/>
  <c r="G44" i="5" s="1"/>
  <c r="F43" i="5"/>
  <c r="F44" i="5" s="1"/>
  <c r="E43" i="5"/>
  <c r="E44" i="5" s="1"/>
  <c r="D43" i="5"/>
  <c r="D44" i="5" s="1"/>
  <c r="C43" i="5"/>
  <c r="C44" i="5" s="1"/>
  <c r="B43" i="5"/>
  <c r="N42" i="5"/>
  <c r="M42" i="5"/>
  <c r="L42" i="5"/>
  <c r="K42" i="5"/>
  <c r="J42" i="5"/>
  <c r="I42" i="5"/>
  <c r="H42" i="5"/>
  <c r="G42" i="5"/>
  <c r="F42" i="5"/>
  <c r="E42" i="5"/>
  <c r="H41" i="5"/>
  <c r="G41" i="5"/>
  <c r="F41" i="5"/>
  <c r="E41" i="5"/>
  <c r="D41" i="5"/>
  <c r="D42" i="5" s="1"/>
  <c r="C41" i="5"/>
  <c r="C42" i="5" s="1"/>
  <c r="B41" i="5"/>
  <c r="N40" i="5"/>
  <c r="M40" i="5"/>
  <c r="L40" i="5"/>
  <c r="K40" i="5"/>
  <c r="J40" i="5"/>
  <c r="I40" i="5"/>
  <c r="F40" i="5"/>
  <c r="H39" i="5"/>
  <c r="H40" i="5" s="1"/>
  <c r="G39" i="5"/>
  <c r="G40" i="5" s="1"/>
  <c r="F39" i="5"/>
  <c r="E39" i="5"/>
  <c r="E40" i="5" s="1"/>
  <c r="D39" i="5"/>
  <c r="D40" i="5" s="1"/>
  <c r="C39" i="5"/>
  <c r="C40" i="5" s="1"/>
  <c r="B39" i="5"/>
  <c r="N38" i="5"/>
  <c r="M38" i="5"/>
  <c r="L38" i="5"/>
  <c r="K38" i="5"/>
  <c r="J38" i="5"/>
  <c r="I38" i="5"/>
  <c r="B37" i="5"/>
  <c r="N36" i="5"/>
  <c r="M36" i="5"/>
  <c r="L36" i="5"/>
  <c r="K36" i="5"/>
  <c r="J36" i="5"/>
  <c r="I36" i="5"/>
  <c r="H36" i="5"/>
  <c r="G36" i="5"/>
  <c r="H35" i="5"/>
  <c r="G35" i="5"/>
  <c r="F35" i="5"/>
  <c r="F36" i="5" s="1"/>
  <c r="E35" i="5"/>
  <c r="E36" i="5" s="1"/>
  <c r="D35" i="5"/>
  <c r="D36" i="5" s="1"/>
  <c r="C35" i="5"/>
  <c r="C36" i="5" s="1"/>
  <c r="B35" i="5"/>
  <c r="N34" i="5"/>
  <c r="M34" i="5"/>
  <c r="L34" i="5"/>
  <c r="K34" i="5"/>
  <c r="J34" i="5"/>
  <c r="I34" i="5"/>
  <c r="D34" i="5"/>
  <c r="C34" i="5"/>
  <c r="H33" i="5"/>
  <c r="H34" i="5" s="1"/>
  <c r="G33" i="5"/>
  <c r="G34" i="5" s="1"/>
  <c r="F33" i="5"/>
  <c r="F34" i="5" s="1"/>
  <c r="E33" i="5"/>
  <c r="E34" i="5" s="1"/>
  <c r="D33" i="5"/>
  <c r="C33" i="5"/>
  <c r="B33" i="5"/>
  <c r="N32" i="5"/>
  <c r="M32" i="5"/>
  <c r="L32" i="5"/>
  <c r="K32" i="5"/>
  <c r="J32" i="5"/>
  <c r="I32" i="5"/>
  <c r="H31" i="5"/>
  <c r="H32" i="5" s="1"/>
  <c r="G31" i="5"/>
  <c r="G32" i="5" s="1"/>
  <c r="F31" i="5"/>
  <c r="F32" i="5" s="1"/>
  <c r="E31" i="5"/>
  <c r="E32" i="5" s="1"/>
  <c r="D31" i="5"/>
  <c r="D32" i="5" s="1"/>
  <c r="C31" i="5"/>
  <c r="C32" i="5" s="1"/>
  <c r="B31" i="5"/>
  <c r="N30" i="5"/>
  <c r="M30" i="5"/>
  <c r="L30" i="5"/>
  <c r="K30" i="5"/>
  <c r="J30" i="5"/>
  <c r="I30" i="5"/>
  <c r="H30" i="5"/>
  <c r="G30" i="5"/>
  <c r="H29" i="5"/>
  <c r="G29" i="5"/>
  <c r="F29" i="5"/>
  <c r="F30" i="5" s="1"/>
  <c r="E29" i="5"/>
  <c r="E30" i="5" s="1"/>
  <c r="D29" i="5"/>
  <c r="D30" i="5" s="1"/>
  <c r="C29" i="5"/>
  <c r="C30" i="5" s="1"/>
  <c r="B29" i="5"/>
  <c r="N28" i="5"/>
  <c r="M28" i="5"/>
  <c r="L28" i="5"/>
  <c r="K28" i="5"/>
  <c r="J28" i="5"/>
  <c r="I28" i="5"/>
  <c r="H27" i="5"/>
  <c r="H28" i="5" s="1"/>
  <c r="G27" i="5"/>
  <c r="G28" i="5" s="1"/>
  <c r="F27" i="5"/>
  <c r="F28" i="5" s="1"/>
  <c r="E27" i="5"/>
  <c r="E28" i="5" s="1"/>
  <c r="D27" i="5"/>
  <c r="D28" i="5" s="1"/>
  <c r="C27" i="5"/>
  <c r="C28" i="5" s="1"/>
  <c r="B27" i="5"/>
  <c r="N26" i="5"/>
  <c r="M26" i="5"/>
  <c r="L26" i="5"/>
  <c r="K26" i="5"/>
  <c r="J26" i="5"/>
  <c r="I26" i="5"/>
  <c r="H25" i="5"/>
  <c r="H26" i="5" s="1"/>
  <c r="G25" i="5"/>
  <c r="G26" i="5" s="1"/>
  <c r="F25" i="5"/>
  <c r="F26" i="5" s="1"/>
  <c r="E25" i="5"/>
  <c r="E26" i="5" s="1"/>
  <c r="D25" i="5"/>
  <c r="D26" i="5" s="1"/>
  <c r="C25" i="5"/>
  <c r="C26" i="5" s="1"/>
  <c r="B25" i="5"/>
  <c r="N24" i="5"/>
  <c r="M24" i="5"/>
  <c r="L24" i="5"/>
  <c r="K24" i="5"/>
  <c r="J24" i="5"/>
  <c r="I24" i="5"/>
  <c r="H24" i="5"/>
  <c r="G24" i="5"/>
  <c r="F24" i="5"/>
  <c r="E24" i="5"/>
  <c r="H23" i="5"/>
  <c r="G23" i="5"/>
  <c r="F23" i="5"/>
  <c r="E23" i="5"/>
  <c r="D23" i="5"/>
  <c r="D24" i="5" s="1"/>
  <c r="C23" i="5"/>
  <c r="C24" i="5" s="1"/>
  <c r="B23" i="5"/>
  <c r="N22" i="5"/>
  <c r="M22" i="5"/>
  <c r="L22" i="5"/>
  <c r="K22" i="5"/>
  <c r="J22" i="5"/>
  <c r="I22" i="5"/>
  <c r="H21" i="5"/>
  <c r="H22" i="5" s="1"/>
  <c r="G21" i="5"/>
  <c r="G22" i="5" s="1"/>
  <c r="F21" i="5"/>
  <c r="F22" i="5" s="1"/>
  <c r="E21" i="5"/>
  <c r="E22" i="5" s="1"/>
  <c r="D21" i="5"/>
  <c r="D22" i="5" s="1"/>
  <c r="C21" i="5"/>
  <c r="C22" i="5" s="1"/>
  <c r="B21" i="5"/>
  <c r="N20" i="5"/>
  <c r="M20" i="5"/>
  <c r="L20" i="5"/>
  <c r="K20" i="5"/>
  <c r="J20" i="5"/>
  <c r="I20" i="5"/>
  <c r="H19" i="5"/>
  <c r="H20" i="5" s="1"/>
  <c r="G19" i="5"/>
  <c r="G20" i="5" s="1"/>
  <c r="F19" i="5"/>
  <c r="F20" i="5" s="1"/>
  <c r="E19" i="5"/>
  <c r="E20" i="5" s="1"/>
  <c r="D19" i="5"/>
  <c r="D20" i="5" s="1"/>
  <c r="C19" i="5"/>
  <c r="C20" i="5" s="1"/>
  <c r="B19" i="5"/>
  <c r="N18" i="5"/>
  <c r="M18" i="5"/>
  <c r="L18" i="5"/>
  <c r="K18" i="5"/>
  <c r="J18" i="5"/>
  <c r="I18" i="5"/>
  <c r="G18" i="5"/>
  <c r="F18" i="5"/>
  <c r="H17" i="5"/>
  <c r="H18" i="5" s="1"/>
  <c r="G17" i="5"/>
  <c r="F17" i="5"/>
  <c r="E17" i="5"/>
  <c r="E18" i="5" s="1"/>
  <c r="D17" i="5"/>
  <c r="D18" i="5" s="1"/>
  <c r="C17" i="5"/>
  <c r="C18" i="5" s="1"/>
  <c r="B17" i="5"/>
  <c r="N16" i="5"/>
  <c r="M16" i="5"/>
  <c r="L16" i="5"/>
  <c r="K16" i="5"/>
  <c r="J16" i="5"/>
  <c r="I16" i="5"/>
  <c r="D16" i="5"/>
  <c r="C16" i="5"/>
  <c r="H15" i="5"/>
  <c r="H16" i="5" s="1"/>
  <c r="G15" i="5"/>
  <c r="G16" i="5" s="1"/>
  <c r="F15" i="5"/>
  <c r="F16" i="5" s="1"/>
  <c r="E15" i="5"/>
  <c r="E16" i="5" s="1"/>
  <c r="D15" i="5"/>
  <c r="C15" i="5"/>
  <c r="B15" i="5"/>
  <c r="N14" i="5"/>
  <c r="M14" i="5"/>
  <c r="L14" i="5"/>
  <c r="K14" i="5"/>
  <c r="J14" i="5"/>
  <c r="I14" i="5"/>
  <c r="H13" i="5"/>
  <c r="H14" i="5" s="1"/>
  <c r="G13" i="5"/>
  <c r="G14" i="5" s="1"/>
  <c r="F13" i="5"/>
  <c r="F14" i="5" s="1"/>
  <c r="E13" i="5"/>
  <c r="E14" i="5" s="1"/>
  <c r="D13" i="5"/>
  <c r="D14" i="5" s="1"/>
  <c r="C13" i="5"/>
  <c r="C14" i="5" s="1"/>
  <c r="B13" i="5"/>
  <c r="H11" i="5"/>
  <c r="H12" i="5" s="1"/>
  <c r="G11" i="5"/>
  <c r="G12" i="5" s="1"/>
  <c r="F11" i="5"/>
  <c r="F12" i="5" s="1"/>
  <c r="E11" i="5"/>
  <c r="E12" i="5" s="1"/>
  <c r="D11" i="5"/>
  <c r="D12" i="5" s="1"/>
  <c r="C11" i="5"/>
  <c r="C12" i="5" s="1"/>
  <c r="B11" i="5"/>
  <c r="A11" i="5"/>
  <c r="A13" i="5" s="1"/>
  <c r="A15" i="5" s="1"/>
  <c r="A17" i="5" s="1"/>
  <c r="A19" i="5" s="1"/>
  <c r="A21" i="5" s="1"/>
  <c r="A23" i="5" s="1"/>
  <c r="A25" i="5" s="1"/>
  <c r="A27" i="5" s="1"/>
  <c r="A29" i="5" s="1"/>
  <c r="A31" i="5" s="1"/>
  <c r="A33" i="5" s="1"/>
  <c r="A35" i="5" s="1"/>
  <c r="A37" i="5" s="1"/>
  <c r="A39" i="5" s="1"/>
  <c r="A41" i="5" s="1"/>
  <c r="A43" i="5" s="1"/>
  <c r="A45" i="5" s="1"/>
  <c r="A47" i="5" s="1"/>
  <c r="A49" i="5" s="1"/>
  <c r="A51" i="5" s="1"/>
  <c r="A53" i="5" s="1"/>
  <c r="A55" i="5" s="1"/>
  <c r="A57" i="5" s="1"/>
  <c r="A59" i="5" s="1"/>
  <c r="A61" i="5" s="1"/>
  <c r="A63" i="5" s="1"/>
  <c r="A65" i="5" s="1"/>
  <c r="A67" i="5" s="1"/>
  <c r="A69" i="5" s="1"/>
  <c r="A71" i="5" s="1"/>
  <c r="A73" i="5" s="1"/>
  <c r="A75" i="5" s="1"/>
  <c r="A77" i="5" s="1"/>
  <c r="A79" i="5" s="1"/>
  <c r="A81" i="5" s="1"/>
  <c r="A83" i="5" s="1"/>
  <c r="A85" i="5" s="1"/>
  <c r="A87" i="5" s="1"/>
  <c r="A89" i="5" s="1"/>
  <c r="A91" i="5" s="1"/>
  <c r="A93" i="5" s="1"/>
  <c r="A95" i="5" s="1"/>
  <c r="A97" i="5" s="1"/>
  <c r="A99" i="5" s="1"/>
  <c r="A101" i="5" s="1"/>
  <c r="A103" i="5" s="1"/>
  <c r="A105" i="5" s="1"/>
  <c r="N10" i="5"/>
  <c r="M10" i="5"/>
  <c r="L10" i="5"/>
  <c r="K10" i="5"/>
  <c r="J10" i="5"/>
  <c r="I10" i="5"/>
  <c r="H9" i="5"/>
  <c r="H10" i="5" s="1"/>
  <c r="G9" i="5"/>
  <c r="G10" i="5" s="1"/>
  <c r="F9" i="5"/>
  <c r="F10" i="5" s="1"/>
  <c r="E9" i="5"/>
  <c r="E10" i="5" s="1"/>
  <c r="D9" i="5"/>
  <c r="D10" i="5" s="1"/>
  <c r="C9" i="5"/>
  <c r="C10" i="5" s="1"/>
  <c r="B9" i="5"/>
  <c r="J934" i="6" l="1"/>
  <c r="K934" i="6"/>
  <c r="M795" i="6"/>
  <c r="N795" i="6" s="1"/>
  <c r="V4" i="4"/>
  <c r="G183" i="4"/>
  <c r="F286" i="6"/>
  <c r="M314" i="6"/>
  <c r="N314" i="6" s="1"/>
  <c r="I517" i="6"/>
  <c r="H518" i="6"/>
  <c r="H523" i="6" s="1"/>
  <c r="H525" i="6" s="1"/>
  <c r="M657" i="6"/>
  <c r="N657" i="6" s="1"/>
  <c r="F885" i="6"/>
  <c r="D894" i="6"/>
  <c r="N20" i="4"/>
  <c r="N17" i="4"/>
  <c r="E38" i="4"/>
  <c r="E41" i="4" s="1"/>
  <c r="G41" i="4" s="1"/>
  <c r="G35" i="4"/>
  <c r="E746" i="6"/>
  <c r="E747" i="6" s="1"/>
  <c r="E752" i="6" s="1"/>
  <c r="F744" i="6"/>
  <c r="E862" i="6"/>
  <c r="F860" i="6"/>
  <c r="H862" i="6"/>
  <c r="H863" i="6" s="1"/>
  <c r="I863" i="6" s="1"/>
  <c r="I860" i="6"/>
  <c r="N83" i="4"/>
  <c r="H104" i="4"/>
  <c r="J101" i="4"/>
  <c r="I311" i="6"/>
  <c r="Q105" i="4"/>
  <c r="E890" i="6"/>
  <c r="F890" i="6" s="1"/>
  <c r="F886" i="6"/>
  <c r="J38" i="4"/>
  <c r="J73" i="4"/>
  <c r="E108" i="4"/>
  <c r="T151" i="4"/>
  <c r="V151" i="4" s="1"/>
  <c r="V148" i="4"/>
  <c r="K169" i="6"/>
  <c r="J221" i="6"/>
  <c r="K221" i="6"/>
  <c r="O262" i="6"/>
  <c r="O267" i="6" s="1"/>
  <c r="P267" i="6" s="1"/>
  <c r="Q267" i="6" s="1"/>
  <c r="D529" i="6"/>
  <c r="D526" i="6"/>
  <c r="I606" i="6"/>
  <c r="J888" i="6"/>
  <c r="K888" i="6"/>
  <c r="V26" i="4"/>
  <c r="J57" i="4"/>
  <c r="M73" i="4"/>
  <c r="S101" i="4"/>
  <c r="M12" i="6"/>
  <c r="N12" i="6" s="1"/>
  <c r="F265" i="6"/>
  <c r="E269" i="6"/>
  <c r="F269" i="6" s="1"/>
  <c r="E609" i="6"/>
  <c r="F608" i="6"/>
  <c r="E770" i="6"/>
  <c r="L863" i="6"/>
  <c r="K997" i="6"/>
  <c r="G48" i="4"/>
  <c r="S92" i="4"/>
  <c r="E105" i="4"/>
  <c r="G104" i="4" s="1"/>
  <c r="V123" i="4"/>
  <c r="E171" i="4"/>
  <c r="Q171" i="4"/>
  <c r="E149" i="6"/>
  <c r="F149" i="6" s="1"/>
  <c r="J149" i="6" s="1"/>
  <c r="J170" i="6"/>
  <c r="E455" i="6"/>
  <c r="E454" i="6"/>
  <c r="F454" i="6" s="1"/>
  <c r="M469" i="6"/>
  <c r="J588" i="6"/>
  <c r="M865" i="6"/>
  <c r="N865" i="6" s="1"/>
  <c r="V7" i="4"/>
  <c r="J48" i="4"/>
  <c r="Q61" i="4"/>
  <c r="G114" i="4"/>
  <c r="E130" i="4"/>
  <c r="E127" i="4"/>
  <c r="G123" i="4"/>
  <c r="E126" i="4"/>
  <c r="E129" i="4" s="1"/>
  <c r="N171" i="4"/>
  <c r="P161" i="4"/>
  <c r="P167" i="4"/>
  <c r="N170" i="4"/>
  <c r="N173" i="4" s="1"/>
  <c r="F123" i="6"/>
  <c r="E125" i="6"/>
  <c r="J928" i="6"/>
  <c r="E1000" i="6"/>
  <c r="E1001" i="6" s="1"/>
  <c r="E1005" i="6" s="1"/>
  <c r="F1005" i="6" s="1"/>
  <c r="F998" i="6"/>
  <c r="J998" i="6" s="1"/>
  <c r="E39" i="4"/>
  <c r="G38" i="4" s="1"/>
  <c r="V73" i="4"/>
  <c r="K126" i="4"/>
  <c r="K129" i="4" s="1"/>
  <c r="M129" i="4" s="1"/>
  <c r="M123" i="4"/>
  <c r="T170" i="4"/>
  <c r="V170" i="4" s="1"/>
  <c r="V167" i="4"/>
  <c r="J452" i="6"/>
  <c r="H17" i="4"/>
  <c r="H16" i="4"/>
  <c r="H19" i="4" s="1"/>
  <c r="Q39" i="4"/>
  <c r="K130" i="4"/>
  <c r="K127" i="4"/>
  <c r="M126" i="4" s="1"/>
  <c r="K17" i="4"/>
  <c r="J51" i="4"/>
  <c r="E83" i="4"/>
  <c r="G82" i="4" s="1"/>
  <c r="P114" i="4"/>
  <c r="J76" i="6"/>
  <c r="K76" i="6" s="1"/>
  <c r="K542" i="6"/>
  <c r="G7" i="4"/>
  <c r="P13" i="4"/>
  <c r="S26" i="4"/>
  <c r="N61" i="4"/>
  <c r="Q83" i="4"/>
  <c r="V92" i="4"/>
  <c r="V95" i="4"/>
  <c r="M114" i="4"/>
  <c r="J123" i="4"/>
  <c r="P139" i="4"/>
  <c r="S151" i="4"/>
  <c r="K59" i="6"/>
  <c r="J152" i="6"/>
  <c r="J239" i="6"/>
  <c r="K238" i="6" s="1"/>
  <c r="H264" i="6"/>
  <c r="H265" i="6" s="1"/>
  <c r="H270" i="6" s="1"/>
  <c r="H272" i="6" s="1"/>
  <c r="H273" i="6" s="1"/>
  <c r="I273" i="6" s="1"/>
  <c r="K360" i="6"/>
  <c r="E426" i="6"/>
  <c r="M674" i="6"/>
  <c r="J772" i="6"/>
  <c r="J905" i="6"/>
  <c r="K905" i="6" s="1"/>
  <c r="J951" i="6"/>
  <c r="J980" i="6"/>
  <c r="M7" i="4"/>
  <c r="V13" i="4"/>
  <c r="J26" i="4"/>
  <c r="J35" i="4"/>
  <c r="S48" i="4"/>
  <c r="K105" i="4"/>
  <c r="M101" i="4"/>
  <c r="P104" i="4"/>
  <c r="S114" i="4"/>
  <c r="H127" i="4"/>
  <c r="S158" i="4"/>
  <c r="M128" i="6"/>
  <c r="N128" i="6" s="1"/>
  <c r="I172" i="6"/>
  <c r="I378" i="6"/>
  <c r="J378" i="6" s="1"/>
  <c r="K377" i="6" s="1"/>
  <c r="I562" i="6"/>
  <c r="M651" i="6"/>
  <c r="F698" i="6"/>
  <c r="H816" i="6"/>
  <c r="F906" i="6"/>
  <c r="J906" i="6" s="1"/>
  <c r="F952" i="6"/>
  <c r="J952" i="6" s="1"/>
  <c r="G26" i="4"/>
  <c r="G51" i="4"/>
  <c r="T61" i="4"/>
  <c r="H105" i="4"/>
  <c r="P107" i="4"/>
  <c r="P136" i="4"/>
  <c r="P158" i="4"/>
  <c r="J99" i="6"/>
  <c r="P261" i="6"/>
  <c r="M520" i="6"/>
  <c r="N520" i="6" s="1"/>
  <c r="J814" i="6"/>
  <c r="K813" i="6" s="1"/>
  <c r="P7" i="4"/>
  <c r="V48" i="4"/>
  <c r="G70" i="4"/>
  <c r="P73" i="4"/>
  <c r="J79" i="4"/>
  <c r="M92" i="4"/>
  <c r="G117" i="4"/>
  <c r="T127" i="4"/>
  <c r="V126" i="4" s="1"/>
  <c r="V158" i="4"/>
  <c r="M6" i="6"/>
  <c r="K175" i="6"/>
  <c r="K244" i="6"/>
  <c r="K383" i="6"/>
  <c r="M423" i="6"/>
  <c r="M429" i="6"/>
  <c r="N429" i="6" s="1"/>
  <c r="J446" i="6"/>
  <c r="K497" i="6"/>
  <c r="K565" i="6"/>
  <c r="J611" i="6"/>
  <c r="I744" i="6"/>
  <c r="J766" i="6"/>
  <c r="J819" i="6"/>
  <c r="J882" i="6"/>
  <c r="K149" i="4"/>
  <c r="J170" i="4"/>
  <c r="J215" i="6"/>
  <c r="K215" i="6" s="1"/>
  <c r="E472" i="6"/>
  <c r="E473" i="6" s="1"/>
  <c r="F473" i="6" s="1"/>
  <c r="J720" i="6"/>
  <c r="K720" i="6" s="1"/>
  <c r="J837" i="6"/>
  <c r="K836" i="6" s="1"/>
  <c r="S161" i="4"/>
  <c r="I31" i="6"/>
  <c r="J31" i="6" s="1"/>
  <c r="K30" i="6" s="1"/>
  <c r="F583" i="6"/>
  <c r="J605" i="6"/>
  <c r="K152" i="4"/>
  <c r="M151" i="4" s="1"/>
  <c r="V161" i="4"/>
  <c r="F539" i="6"/>
  <c r="J1020" i="6"/>
  <c r="J285" i="6"/>
  <c r="J606" i="6"/>
  <c r="M680" i="6"/>
  <c r="N680" i="6" s="1"/>
  <c r="J721" i="6"/>
  <c r="J974" i="6"/>
  <c r="H317" i="6"/>
  <c r="I312" i="6"/>
  <c r="H316" i="6"/>
  <c r="I316" i="6" s="1"/>
  <c r="O264" i="6"/>
  <c r="N265" i="6"/>
  <c r="L264" i="6"/>
  <c r="K265" i="6"/>
  <c r="H294" i="6"/>
  <c r="I289" i="6"/>
  <c r="H293" i="6"/>
  <c r="I293" i="6" s="1"/>
  <c r="H14" i="6"/>
  <c r="I14" i="6" s="1"/>
  <c r="I10" i="6"/>
  <c r="H15" i="6"/>
  <c r="I80" i="6"/>
  <c r="H84" i="6"/>
  <c r="I84" i="6" s="1"/>
  <c r="H85" i="6"/>
  <c r="H177" i="6"/>
  <c r="I177" i="6" s="1"/>
  <c r="I173" i="6"/>
  <c r="H178" i="6"/>
  <c r="K192" i="6"/>
  <c r="E247" i="6"/>
  <c r="F242" i="6"/>
  <c r="E246" i="6"/>
  <c r="F246" i="6" s="1"/>
  <c r="H219" i="6"/>
  <c r="I218" i="6"/>
  <c r="I56" i="6"/>
  <c r="J56" i="6" s="1"/>
  <c r="H57" i="6"/>
  <c r="I102" i="6"/>
  <c r="J102" i="6" s="1"/>
  <c r="H103" i="6"/>
  <c r="E196" i="6"/>
  <c r="F195" i="6"/>
  <c r="I195" i="6"/>
  <c r="H196" i="6"/>
  <c r="I149" i="6"/>
  <c r="H150" i="6"/>
  <c r="E10" i="6"/>
  <c r="F9" i="6"/>
  <c r="I125" i="6"/>
  <c r="H126" i="6"/>
  <c r="I34" i="6"/>
  <c r="H38" i="6"/>
  <c r="I38" i="6" s="1"/>
  <c r="H39" i="6"/>
  <c r="E219" i="6"/>
  <c r="F218" i="6"/>
  <c r="J218" i="6" s="1"/>
  <c r="I123" i="6"/>
  <c r="F193" i="6"/>
  <c r="J193" i="6" s="1"/>
  <c r="F216" i="6"/>
  <c r="J216" i="6" s="1"/>
  <c r="J244" i="6"/>
  <c r="L262" i="6"/>
  <c r="P262" i="6" s="1"/>
  <c r="Q261" i="6" s="1"/>
  <c r="F311" i="6"/>
  <c r="E340" i="6"/>
  <c r="I426" i="6"/>
  <c r="H427" i="6"/>
  <c r="I9" i="6"/>
  <c r="E33" i="6"/>
  <c r="E57" i="6"/>
  <c r="E79" i="6"/>
  <c r="E103" i="6"/>
  <c r="E150" i="6"/>
  <c r="E172" i="6"/>
  <c r="F241" i="6"/>
  <c r="E381" i="6"/>
  <c r="F380" i="6"/>
  <c r="J380" i="6" s="1"/>
  <c r="E404" i="6"/>
  <c r="F403" i="6"/>
  <c r="K9" i="6"/>
  <c r="J36" i="6"/>
  <c r="J82" i="6"/>
  <c r="J175" i="6"/>
  <c r="D229" i="6"/>
  <c r="H241" i="6"/>
  <c r="H335" i="6"/>
  <c r="I334" i="6"/>
  <c r="H408" i="6"/>
  <c r="I408" i="6" s="1"/>
  <c r="H409" i="6"/>
  <c r="I404" i="6"/>
  <c r="E563" i="6"/>
  <c r="F562" i="6"/>
  <c r="E289" i="6"/>
  <c r="I332" i="6"/>
  <c r="J332" i="6" s="1"/>
  <c r="K331" i="6" s="1"/>
  <c r="D345" i="6"/>
  <c r="I403" i="6"/>
  <c r="D460" i="6"/>
  <c r="E316" i="6"/>
  <c r="F316" i="6" s="1"/>
  <c r="E317" i="6"/>
  <c r="F7" i="6"/>
  <c r="M7" i="6" s="1"/>
  <c r="I33" i="6"/>
  <c r="I79" i="6"/>
  <c r="K126" i="6"/>
  <c r="F312" i="6"/>
  <c r="J334" i="6"/>
  <c r="E427" i="6"/>
  <c r="F426" i="6"/>
  <c r="L518" i="6"/>
  <c r="K523" i="6"/>
  <c r="K522" i="6"/>
  <c r="L522" i="6" s="1"/>
  <c r="I54" i="6"/>
  <c r="J54" i="6" s="1"/>
  <c r="K53" i="6" s="1"/>
  <c r="I100" i="6"/>
  <c r="J100" i="6" s="1"/>
  <c r="I147" i="6"/>
  <c r="J147" i="6" s="1"/>
  <c r="K146" i="6" s="1"/>
  <c r="F335" i="6"/>
  <c r="J354" i="6"/>
  <c r="K427" i="6"/>
  <c r="L426" i="6"/>
  <c r="M470" i="6"/>
  <c r="N469" i="6" s="1"/>
  <c r="E544" i="6"/>
  <c r="F544" i="6" s="1"/>
  <c r="E545" i="6"/>
  <c r="G275" i="6"/>
  <c r="J275" i="6"/>
  <c r="H381" i="6"/>
  <c r="J449" i="6"/>
  <c r="H495" i="6"/>
  <c r="I494" i="6"/>
  <c r="J494" i="6" s="1"/>
  <c r="E523" i="6"/>
  <c r="F518" i="6"/>
  <c r="E522" i="6"/>
  <c r="F522" i="6" s="1"/>
  <c r="E358" i="6"/>
  <c r="F357" i="6"/>
  <c r="K478" i="6"/>
  <c r="L473" i="6"/>
  <c r="K477" i="6"/>
  <c r="L477" i="6" s="1"/>
  <c r="F500" i="6"/>
  <c r="E502" i="6"/>
  <c r="J59" i="6"/>
  <c r="J105" i="6"/>
  <c r="E270" i="6"/>
  <c r="K291" i="6"/>
  <c r="J291" i="6"/>
  <c r="L311" i="6"/>
  <c r="K312" i="6"/>
  <c r="F355" i="6"/>
  <c r="D528" i="6"/>
  <c r="E754" i="6"/>
  <c r="E755" i="6" s="1"/>
  <c r="E757" i="6" s="1"/>
  <c r="E758" i="6" s="1"/>
  <c r="F758" i="6" s="1"/>
  <c r="F752" i="6"/>
  <c r="I270" i="6"/>
  <c r="I286" i="6"/>
  <c r="J286" i="6" s="1"/>
  <c r="K285" i="6" s="1"/>
  <c r="L309" i="6"/>
  <c r="M309" i="6" s="1"/>
  <c r="N308" i="6" s="1"/>
  <c r="H357" i="6"/>
  <c r="I355" i="6"/>
  <c r="H450" i="6"/>
  <c r="I449" i="6"/>
  <c r="J337" i="6"/>
  <c r="E457" i="6"/>
  <c r="E458" i="6" s="1"/>
  <c r="E460" i="6" s="1"/>
  <c r="E461" i="6" s="1"/>
  <c r="F461" i="6" s="1"/>
  <c r="F455" i="6"/>
  <c r="F401" i="6"/>
  <c r="J401" i="6" s="1"/>
  <c r="K400" i="6" s="1"/>
  <c r="F492" i="6"/>
  <c r="F517" i="6"/>
  <c r="M517" i="6" s="1"/>
  <c r="I563" i="6"/>
  <c r="H567" i="6"/>
  <c r="I567" i="6" s="1"/>
  <c r="I724" i="6"/>
  <c r="H729" i="6"/>
  <c r="H728" i="6"/>
  <c r="I728" i="6" s="1"/>
  <c r="I401" i="6"/>
  <c r="I424" i="6"/>
  <c r="M424" i="6" s="1"/>
  <c r="N423" i="6" s="1"/>
  <c r="F450" i="6"/>
  <c r="I492" i="6"/>
  <c r="J585" i="6"/>
  <c r="F631" i="6"/>
  <c r="E632" i="6"/>
  <c r="L675" i="6"/>
  <c r="M675" i="6" s="1"/>
  <c r="K677" i="6"/>
  <c r="K793" i="6"/>
  <c r="L792" i="6"/>
  <c r="J383" i="6"/>
  <c r="E499" i="6"/>
  <c r="F499" i="6" s="1"/>
  <c r="J769" i="6"/>
  <c r="J1005" i="6"/>
  <c r="J406" i="6"/>
  <c r="J565" i="6"/>
  <c r="I585" i="6"/>
  <c r="H586" i="6"/>
  <c r="H701" i="6"/>
  <c r="I700" i="6"/>
  <c r="I775" i="6"/>
  <c r="H777" i="6"/>
  <c r="H778" i="6" s="1"/>
  <c r="F447" i="6"/>
  <c r="J447" i="6" s="1"/>
  <c r="L470" i="6"/>
  <c r="F537" i="6"/>
  <c r="J537" i="6" s="1"/>
  <c r="K536" i="6" s="1"/>
  <c r="K559" i="6"/>
  <c r="G483" i="6"/>
  <c r="H539" i="6"/>
  <c r="I537" i="6"/>
  <c r="H568" i="6"/>
  <c r="E586" i="6"/>
  <c r="E614" i="6"/>
  <c r="F609" i="6"/>
  <c r="E613" i="6"/>
  <c r="F613" i="6" s="1"/>
  <c r="H844" i="6"/>
  <c r="I844" i="6" s="1"/>
  <c r="H845" i="6"/>
  <c r="I840" i="6"/>
  <c r="E477" i="6"/>
  <c r="F477" i="6" s="1"/>
  <c r="E478" i="6"/>
  <c r="I523" i="6"/>
  <c r="G594" i="6"/>
  <c r="I586" i="6"/>
  <c r="F495" i="6"/>
  <c r="D573" i="6"/>
  <c r="I609" i="6"/>
  <c r="H613" i="6"/>
  <c r="I613" i="6" s="1"/>
  <c r="H614" i="6"/>
  <c r="E654" i="6"/>
  <c r="F652" i="6"/>
  <c r="H472" i="6"/>
  <c r="L515" i="6"/>
  <c r="M515" i="6" s="1"/>
  <c r="N514" i="6" s="1"/>
  <c r="I654" i="6"/>
  <c r="H655" i="6"/>
  <c r="I792" i="6"/>
  <c r="H793" i="6"/>
  <c r="G803" i="6"/>
  <c r="E914" i="6"/>
  <c r="F909" i="6"/>
  <c r="F629" i="6"/>
  <c r="J629" i="6" s="1"/>
  <c r="K628" i="6" s="1"/>
  <c r="J634" i="6"/>
  <c r="E677" i="6"/>
  <c r="E931" i="6"/>
  <c r="F929" i="6"/>
  <c r="J929" i="6" s="1"/>
  <c r="K928" i="6" s="1"/>
  <c r="E960" i="6"/>
  <c r="F955" i="6"/>
  <c r="H683" i="6"/>
  <c r="I698" i="6"/>
  <c r="I723" i="6"/>
  <c r="I770" i="6"/>
  <c r="H774" i="6"/>
  <c r="I774" i="6" s="1"/>
  <c r="M859" i="6"/>
  <c r="H931" i="6"/>
  <c r="I929" i="6"/>
  <c r="I583" i="6"/>
  <c r="J583" i="6" s="1"/>
  <c r="K582" i="6" s="1"/>
  <c r="I608" i="6"/>
  <c r="J608" i="6" s="1"/>
  <c r="L652" i="6"/>
  <c r="K655" i="6"/>
  <c r="I677" i="6"/>
  <c r="I769" i="6"/>
  <c r="F908" i="6"/>
  <c r="J908" i="6" s="1"/>
  <c r="E977" i="6"/>
  <c r="F975" i="6"/>
  <c r="E1006" i="6"/>
  <c r="F1001" i="6"/>
  <c r="J1001" i="6" s="1"/>
  <c r="J528" i="6"/>
  <c r="H631" i="6"/>
  <c r="E701" i="6"/>
  <c r="F700" i="6"/>
  <c r="J700" i="6" s="1"/>
  <c r="I777" i="6"/>
  <c r="H914" i="6"/>
  <c r="I909" i="6"/>
  <c r="H913" i="6"/>
  <c r="I913" i="6" s="1"/>
  <c r="J913" i="6" s="1"/>
  <c r="H977" i="6"/>
  <c r="I975" i="6"/>
  <c r="J688" i="6"/>
  <c r="F754" i="6"/>
  <c r="F816" i="6"/>
  <c r="E817" i="6"/>
  <c r="L868" i="6"/>
  <c r="K870" i="6"/>
  <c r="K871" i="6" s="1"/>
  <c r="F954" i="6"/>
  <c r="J954" i="6" s="1"/>
  <c r="E1023" i="6"/>
  <c r="F1021" i="6"/>
  <c r="D665" i="6"/>
  <c r="F747" i="6"/>
  <c r="E751" i="6"/>
  <c r="F751" i="6" s="1"/>
  <c r="H960" i="6"/>
  <c r="I955" i="6"/>
  <c r="H959" i="6"/>
  <c r="I959" i="6" s="1"/>
  <c r="J959" i="6" s="1"/>
  <c r="H1023" i="6"/>
  <c r="I1021" i="6"/>
  <c r="K766" i="6"/>
  <c r="E891" i="6"/>
  <c r="F1000" i="6"/>
  <c r="J1000" i="6" s="1"/>
  <c r="G711" i="6"/>
  <c r="H747" i="6"/>
  <c r="K772" i="6"/>
  <c r="E792" i="6"/>
  <c r="F790" i="6"/>
  <c r="J883" i="6"/>
  <c r="K882" i="6" s="1"/>
  <c r="H1006" i="6"/>
  <c r="I1001" i="6"/>
  <c r="H1005" i="6"/>
  <c r="I1005" i="6" s="1"/>
  <c r="G665" i="6"/>
  <c r="I678" i="6"/>
  <c r="F723" i="6"/>
  <c r="E724" i="6"/>
  <c r="K726" i="6"/>
  <c r="F755" i="6"/>
  <c r="H817" i="6"/>
  <c r="I816" i="6"/>
  <c r="F840" i="6"/>
  <c r="J840" i="6" s="1"/>
  <c r="E844" i="6"/>
  <c r="F844" i="6" s="1"/>
  <c r="J844" i="6" s="1"/>
  <c r="E845" i="6"/>
  <c r="I885" i="6"/>
  <c r="H886" i="6"/>
  <c r="K867" i="6"/>
  <c r="L867" i="6" s="1"/>
  <c r="D803" i="6"/>
  <c r="F746" i="6"/>
  <c r="J746" i="6" s="1"/>
  <c r="J749" i="6"/>
  <c r="L790" i="6"/>
  <c r="F839" i="6"/>
  <c r="J839" i="6" s="1"/>
  <c r="J842" i="6"/>
  <c r="J1026" i="6"/>
  <c r="J104" i="4"/>
  <c r="H107" i="4"/>
  <c r="J107" i="4" s="1"/>
  <c r="V16" i="4"/>
  <c r="T19" i="4"/>
  <c r="V19" i="4" s="1"/>
  <c r="T85" i="4"/>
  <c r="V85" i="4" s="1"/>
  <c r="Q19" i="4"/>
  <c r="S19" i="4" s="1"/>
  <c r="S16" i="4"/>
  <c r="P60" i="4"/>
  <c r="N63" i="4"/>
  <c r="P63" i="4" s="1"/>
  <c r="T63" i="4"/>
  <c r="V63" i="4" s="1"/>
  <c r="V60" i="4"/>
  <c r="N129" i="4"/>
  <c r="P129" i="4" s="1"/>
  <c r="E151" i="4"/>
  <c r="G151" i="4" s="1"/>
  <c r="G148" i="4"/>
  <c r="S107" i="4"/>
  <c r="Q129" i="4"/>
  <c r="S129" i="4" s="1"/>
  <c r="P148" i="4"/>
  <c r="N151" i="4"/>
  <c r="P151" i="4" s="1"/>
  <c r="J41" i="4"/>
  <c r="T129" i="4"/>
  <c r="J151" i="4"/>
  <c r="N41" i="4"/>
  <c r="P41" i="4" s="1"/>
  <c r="P38" i="4"/>
  <c r="M41" i="4"/>
  <c r="G170" i="4"/>
  <c r="E173" i="4"/>
  <c r="G173" i="4" s="1"/>
  <c r="S38" i="4"/>
  <c r="Q41" i="4"/>
  <c r="S41" i="4" s="1"/>
  <c r="T107" i="4"/>
  <c r="V107" i="4" s="1"/>
  <c r="G16" i="4"/>
  <c r="E19" i="4"/>
  <c r="V38" i="4"/>
  <c r="T41" i="4"/>
  <c r="V41" i="4" s="1"/>
  <c r="E85" i="4"/>
  <c r="H85" i="4"/>
  <c r="J82" i="4"/>
  <c r="P85" i="4"/>
  <c r="Q173" i="4"/>
  <c r="S173" i="4" s="1"/>
  <c r="S170" i="4"/>
  <c r="M148" i="4"/>
  <c r="T173" i="4"/>
  <c r="V173" i="4" s="1"/>
  <c r="E195" i="4"/>
  <c r="G195" i="4" s="1"/>
  <c r="M60" i="4"/>
  <c r="K63" i="4"/>
  <c r="M63" i="4" s="1"/>
  <c r="Q85" i="4"/>
  <c r="S85" i="4" s="1"/>
  <c r="S82" i="4"/>
  <c r="E107" i="4"/>
  <c r="G107" i="4" s="1"/>
  <c r="G129" i="4"/>
  <c r="T130" i="4"/>
  <c r="S60" i="4"/>
  <c r="N64" i="4"/>
  <c r="M104" i="4"/>
  <c r="T105" i="4"/>
  <c r="V104" i="4" s="1"/>
  <c r="S148" i="4"/>
  <c r="S167" i="4"/>
  <c r="M170" i="4"/>
  <c r="S13" i="4"/>
  <c r="K16" i="4"/>
  <c r="Q17" i="4"/>
  <c r="P29" i="4"/>
  <c r="P35" i="4"/>
  <c r="K39" i="4"/>
  <c r="M38" i="4" s="1"/>
  <c r="M51" i="4"/>
  <c r="M57" i="4"/>
  <c r="Q64" i="4"/>
  <c r="S63" i="4" s="1"/>
  <c r="V79" i="4"/>
  <c r="M82" i="4"/>
  <c r="T83" i="4"/>
  <c r="V82" i="4" s="1"/>
  <c r="V101" i="4"/>
  <c r="P123" i="4"/>
  <c r="G126" i="4"/>
  <c r="E86" i="4"/>
  <c r="N16" i="4"/>
  <c r="E20" i="4"/>
  <c r="S29" i="4"/>
  <c r="P57" i="4"/>
  <c r="E60" i="4"/>
  <c r="E61" i="4"/>
  <c r="G79" i="4"/>
  <c r="P82" i="4"/>
  <c r="H86" i="4"/>
  <c r="K108" i="4"/>
  <c r="M107" i="4" s="1"/>
  <c r="S123" i="4"/>
  <c r="J126" i="4"/>
  <c r="N127" i="4"/>
  <c r="P126" i="4" s="1"/>
  <c r="G145" i="4"/>
  <c r="G13" i="4"/>
  <c r="H20" i="4"/>
  <c r="T39" i="4"/>
  <c r="H61" i="4"/>
  <c r="J60" i="4" s="1"/>
  <c r="K86" i="4"/>
  <c r="M85" i="4" s="1"/>
  <c r="G101" i="4"/>
  <c r="S104" i="4"/>
  <c r="Q127" i="4"/>
  <c r="S126" i="4" s="1"/>
  <c r="H149" i="4"/>
  <c r="J148" i="4" s="1"/>
  <c r="N174" i="4"/>
  <c r="V29" i="4"/>
  <c r="S51" i="4"/>
  <c r="V117" i="4"/>
  <c r="G167" i="4"/>
  <c r="V51" i="4"/>
  <c r="E193" i="4"/>
  <c r="G192" i="4" s="1"/>
  <c r="F125" i="6" l="1"/>
  <c r="M125" i="6" s="1"/>
  <c r="E126" i="6"/>
  <c r="M860" i="6"/>
  <c r="E863" i="6"/>
  <c r="F862" i="6"/>
  <c r="M862" i="6" s="1"/>
  <c r="K446" i="6"/>
  <c r="J744" i="6"/>
  <c r="K743" i="6" s="1"/>
  <c r="K99" i="6"/>
  <c r="M790" i="6"/>
  <c r="N789" i="6" s="1"/>
  <c r="J492" i="6"/>
  <c r="K491" i="6" s="1"/>
  <c r="H868" i="6"/>
  <c r="I868" i="6" s="1"/>
  <c r="H522" i="6"/>
  <c r="I522" i="6" s="1"/>
  <c r="H275" i="6"/>
  <c r="H276" i="6" s="1"/>
  <c r="I276" i="6" s="1"/>
  <c r="J562" i="6"/>
  <c r="I862" i="6"/>
  <c r="H867" i="6"/>
  <c r="I867" i="6" s="1"/>
  <c r="I264" i="6"/>
  <c r="P264" i="6" s="1"/>
  <c r="J85" i="4"/>
  <c r="N859" i="6"/>
  <c r="F757" i="6"/>
  <c r="I518" i="6"/>
  <c r="M518" i="6" s="1"/>
  <c r="N517" i="6" s="1"/>
  <c r="J613" i="6"/>
  <c r="F458" i="6"/>
  <c r="J355" i="6"/>
  <c r="K951" i="6"/>
  <c r="P170" i="4"/>
  <c r="F770" i="6"/>
  <c r="E775" i="6"/>
  <c r="E774" i="6"/>
  <c r="F774" i="6" s="1"/>
  <c r="J19" i="4"/>
  <c r="G85" i="4"/>
  <c r="J723" i="6"/>
  <c r="J774" i="6"/>
  <c r="J609" i="6"/>
  <c r="K608" i="6" s="1"/>
  <c r="I272" i="6"/>
  <c r="M123" i="6"/>
  <c r="N122" i="6" s="1"/>
  <c r="J770" i="6"/>
  <c r="F472" i="6"/>
  <c r="I275" i="6"/>
  <c r="N6" i="6"/>
  <c r="J885" i="6"/>
  <c r="J698" i="6"/>
  <c r="K697" i="6" s="1"/>
  <c r="H269" i="6"/>
  <c r="I269" i="6" s="1"/>
  <c r="P173" i="4"/>
  <c r="J16" i="4"/>
  <c r="N674" i="6"/>
  <c r="I265" i="6"/>
  <c r="K605" i="6"/>
  <c r="J955" i="6"/>
  <c r="K954" i="6" s="1"/>
  <c r="F792" i="6"/>
  <c r="M792" i="6" s="1"/>
  <c r="E793" i="6"/>
  <c r="L655" i="6"/>
  <c r="K660" i="6"/>
  <c r="K659" i="6"/>
  <c r="L659" i="6" s="1"/>
  <c r="E932" i="6"/>
  <c r="F931" i="6"/>
  <c r="E637" i="6"/>
  <c r="F632" i="6"/>
  <c r="E636" i="6"/>
  <c r="F636" i="6" s="1"/>
  <c r="E547" i="6"/>
  <c r="F545" i="6"/>
  <c r="K10" i="6"/>
  <c r="L9" i="6"/>
  <c r="M9" i="6" s="1"/>
  <c r="H432" i="6"/>
  <c r="I427" i="6"/>
  <c r="H431" i="6"/>
  <c r="I431" i="6" s="1"/>
  <c r="H41" i="6"/>
  <c r="I39" i="6"/>
  <c r="H339" i="6"/>
  <c r="I339" i="6" s="1"/>
  <c r="J339" i="6" s="1"/>
  <c r="I335" i="6"/>
  <c r="J335" i="6" s="1"/>
  <c r="K334" i="6" s="1"/>
  <c r="H340" i="6"/>
  <c r="H890" i="6"/>
  <c r="I890" i="6" s="1"/>
  <c r="J890" i="6" s="1"/>
  <c r="H891" i="6"/>
  <c r="I886" i="6"/>
  <c r="J886" i="6" s="1"/>
  <c r="L871" i="6"/>
  <c r="K873" i="6"/>
  <c r="E678" i="6"/>
  <c r="F677" i="6"/>
  <c r="E616" i="6"/>
  <c r="F614" i="6"/>
  <c r="J614" i="6" s="1"/>
  <c r="H780" i="6"/>
  <c r="I778" i="6"/>
  <c r="K317" i="6"/>
  <c r="K316" i="6"/>
  <c r="L316" i="6" s="1"/>
  <c r="L312" i="6"/>
  <c r="H499" i="6"/>
  <c r="I499" i="6" s="1"/>
  <c r="J499" i="6" s="1"/>
  <c r="I495" i="6"/>
  <c r="J495" i="6" s="1"/>
  <c r="K494" i="6" s="1"/>
  <c r="H500" i="6"/>
  <c r="E568" i="6"/>
  <c r="F563" i="6"/>
  <c r="J563" i="6" s="1"/>
  <c r="K562" i="6" s="1"/>
  <c r="E567" i="6"/>
  <c r="F567" i="6" s="1"/>
  <c r="J567" i="6" s="1"/>
  <c r="H201" i="6"/>
  <c r="H200" i="6"/>
  <c r="I200" i="6" s="1"/>
  <c r="I196" i="6"/>
  <c r="F724" i="6"/>
  <c r="J724" i="6" s="1"/>
  <c r="E729" i="6"/>
  <c r="E728" i="6"/>
  <c r="F728" i="6" s="1"/>
  <c r="J728" i="6" s="1"/>
  <c r="H660" i="6"/>
  <c r="I655" i="6"/>
  <c r="H659" i="6"/>
  <c r="I659" i="6" s="1"/>
  <c r="M652" i="6"/>
  <c r="N651" i="6" s="1"/>
  <c r="F478" i="6"/>
  <c r="E480" i="6"/>
  <c r="E590" i="6"/>
  <c r="F590" i="6" s="1"/>
  <c r="E591" i="6"/>
  <c r="F586" i="6"/>
  <c r="J586" i="6" s="1"/>
  <c r="K585" i="6" s="1"/>
  <c r="I729" i="6"/>
  <c r="H731" i="6"/>
  <c r="F457" i="6"/>
  <c r="H242" i="6"/>
  <c r="I241" i="6"/>
  <c r="J241" i="6" s="1"/>
  <c r="J195" i="6"/>
  <c r="H180" i="6"/>
  <c r="I178" i="6"/>
  <c r="M316" i="6"/>
  <c r="F247" i="6"/>
  <c r="E249" i="6"/>
  <c r="E847" i="6"/>
  <c r="F845" i="6"/>
  <c r="I1023" i="6"/>
  <c r="H1024" i="6"/>
  <c r="I977" i="6"/>
  <c r="H978" i="6"/>
  <c r="F701" i="6"/>
  <c r="J701" i="6" s="1"/>
  <c r="K700" i="6" s="1"/>
  <c r="E706" i="6"/>
  <c r="E705" i="6"/>
  <c r="F705" i="6" s="1"/>
  <c r="J705" i="6" s="1"/>
  <c r="I793" i="6"/>
  <c r="H797" i="6"/>
  <c r="I797" i="6" s="1"/>
  <c r="H798" i="6"/>
  <c r="F654" i="6"/>
  <c r="M654" i="6" s="1"/>
  <c r="E655" i="6"/>
  <c r="L478" i="6"/>
  <c r="K480" i="6"/>
  <c r="F460" i="6"/>
  <c r="E173" i="6"/>
  <c r="F172" i="6"/>
  <c r="J172" i="6" s="1"/>
  <c r="F196" i="6"/>
  <c r="J196" i="6" s="1"/>
  <c r="E200" i="6"/>
  <c r="F200" i="6" s="1"/>
  <c r="J200" i="6" s="1"/>
  <c r="E201" i="6"/>
  <c r="K270" i="6"/>
  <c r="K269" i="6"/>
  <c r="L269" i="6" s="1"/>
  <c r="L265" i="6"/>
  <c r="H358" i="6"/>
  <c r="I357" i="6"/>
  <c r="J357" i="6" s="1"/>
  <c r="H570" i="6"/>
  <c r="I568" i="6"/>
  <c r="M312" i="6"/>
  <c r="E154" i="6"/>
  <c r="F154" i="6" s="1"/>
  <c r="E155" i="6"/>
  <c r="F150" i="6"/>
  <c r="E342" i="6"/>
  <c r="F340" i="6"/>
  <c r="H131" i="6"/>
  <c r="I126" i="6"/>
  <c r="H130" i="6"/>
  <c r="I130" i="6" s="1"/>
  <c r="I15" i="6"/>
  <c r="H17" i="6"/>
  <c r="N269" i="6"/>
  <c r="O269" i="6" s="1"/>
  <c r="O265" i="6"/>
  <c r="N270" i="6"/>
  <c r="H87" i="6"/>
  <c r="I85" i="6"/>
  <c r="I631" i="6"/>
  <c r="J631" i="6" s="1"/>
  <c r="H632" i="6"/>
  <c r="I701" i="6"/>
  <c r="H706" i="6"/>
  <c r="H705" i="6"/>
  <c r="I705" i="6" s="1"/>
  <c r="K1000" i="6"/>
  <c r="J1021" i="6"/>
  <c r="K1020" i="6" s="1"/>
  <c r="E822" i="6"/>
  <c r="F817" i="6"/>
  <c r="J817" i="6" s="1"/>
  <c r="E821" i="6"/>
  <c r="F821" i="6" s="1"/>
  <c r="I683" i="6"/>
  <c r="H685" i="6"/>
  <c r="F270" i="6"/>
  <c r="E272" i="6"/>
  <c r="E363" i="6"/>
  <c r="F358" i="6"/>
  <c r="E362" i="6"/>
  <c r="F362" i="6" s="1"/>
  <c r="H386" i="6"/>
  <c r="I381" i="6"/>
  <c r="H385" i="6"/>
  <c r="I385" i="6" s="1"/>
  <c r="J403" i="6"/>
  <c r="E224" i="6"/>
  <c r="F219" i="6"/>
  <c r="E223" i="6"/>
  <c r="F223" i="6" s="1"/>
  <c r="H108" i="6"/>
  <c r="I103" i="6"/>
  <c r="H107" i="6"/>
  <c r="I107" i="6" s="1"/>
  <c r="H319" i="6"/>
  <c r="I317" i="6"/>
  <c r="K769" i="6"/>
  <c r="E1024" i="6"/>
  <c r="F1023" i="6"/>
  <c r="J1023" i="6" s="1"/>
  <c r="J816" i="6"/>
  <c r="J909" i="6"/>
  <c r="H616" i="6"/>
  <c r="I614" i="6"/>
  <c r="I539" i="6"/>
  <c r="J539" i="6" s="1"/>
  <c r="H540" i="6"/>
  <c r="K432" i="6"/>
  <c r="L427" i="6"/>
  <c r="K431" i="6"/>
  <c r="L431" i="6" s="1"/>
  <c r="K525" i="6"/>
  <c r="L523" i="6"/>
  <c r="L126" i="6"/>
  <c r="K130" i="6"/>
  <c r="L130" i="6" s="1"/>
  <c r="K131" i="6"/>
  <c r="E408" i="6"/>
  <c r="F408" i="6" s="1"/>
  <c r="J408" i="6" s="1"/>
  <c r="E409" i="6"/>
  <c r="F404" i="6"/>
  <c r="J404" i="6" s="1"/>
  <c r="E107" i="6"/>
  <c r="F107" i="6" s="1"/>
  <c r="E108" i="6"/>
  <c r="F103" i="6"/>
  <c r="M311" i="6"/>
  <c r="N311" i="6" s="1"/>
  <c r="F10" i="6"/>
  <c r="E14" i="6"/>
  <c r="F14" i="6" s="1"/>
  <c r="E15" i="6"/>
  <c r="K908" i="6"/>
  <c r="I817" i="6"/>
  <c r="H821" i="6"/>
  <c r="I821" i="6" s="1"/>
  <c r="H822" i="6"/>
  <c r="I1006" i="6"/>
  <c r="H1008" i="6"/>
  <c r="I960" i="6"/>
  <c r="H962" i="6"/>
  <c r="I914" i="6"/>
  <c r="H916" i="6"/>
  <c r="F914" i="6"/>
  <c r="J914" i="6" s="1"/>
  <c r="K913" i="6" s="1"/>
  <c r="E916" i="6"/>
  <c r="H847" i="6"/>
  <c r="I845" i="6"/>
  <c r="K354" i="6"/>
  <c r="E80" i="6"/>
  <c r="F79" i="6"/>
  <c r="J79" i="6" s="1"/>
  <c r="H155" i="6"/>
  <c r="I150" i="6"/>
  <c r="H154" i="6"/>
  <c r="I154" i="6" s="1"/>
  <c r="H223" i="6"/>
  <c r="I223" i="6" s="1"/>
  <c r="I219" i="6"/>
  <c r="H224" i="6"/>
  <c r="I294" i="6"/>
  <c r="H296" i="6"/>
  <c r="E893" i="6"/>
  <c r="F891" i="6"/>
  <c r="L870" i="6"/>
  <c r="I931" i="6"/>
  <c r="H932" i="6"/>
  <c r="H591" i="6"/>
  <c r="H590" i="6"/>
  <c r="I590" i="6" s="1"/>
  <c r="L793" i="6"/>
  <c r="K797" i="6"/>
  <c r="L797" i="6" s="1"/>
  <c r="K798" i="6"/>
  <c r="H454" i="6"/>
  <c r="I454" i="6" s="1"/>
  <c r="J454" i="6" s="1"/>
  <c r="H455" i="6"/>
  <c r="I450" i="6"/>
  <c r="J450" i="6" s="1"/>
  <c r="K449" i="6" s="1"/>
  <c r="M522" i="6"/>
  <c r="H411" i="6"/>
  <c r="I409" i="6"/>
  <c r="F381" i="6"/>
  <c r="E385" i="6"/>
  <c r="F385" i="6" s="1"/>
  <c r="E386" i="6"/>
  <c r="E61" i="6"/>
  <c r="F61" i="6" s="1"/>
  <c r="E62" i="6"/>
  <c r="F57" i="6"/>
  <c r="E978" i="6"/>
  <c r="F977" i="6"/>
  <c r="H526" i="6"/>
  <c r="I525" i="6"/>
  <c r="E431" i="6"/>
  <c r="F431" i="6" s="1"/>
  <c r="F427" i="6"/>
  <c r="E432" i="6"/>
  <c r="H752" i="6"/>
  <c r="I747" i="6"/>
  <c r="J747" i="6" s="1"/>
  <c r="K746" i="6" s="1"/>
  <c r="H751" i="6"/>
  <c r="I751" i="6" s="1"/>
  <c r="J751" i="6" s="1"/>
  <c r="E293" i="6"/>
  <c r="F293" i="6" s="1"/>
  <c r="J293" i="6" s="1"/>
  <c r="E294" i="6"/>
  <c r="F289" i="6"/>
  <c r="J289" i="6" s="1"/>
  <c r="K288" i="6" s="1"/>
  <c r="E34" i="6"/>
  <c r="F33" i="6"/>
  <c r="J33" i="6" s="1"/>
  <c r="H62" i="6"/>
  <c r="I57" i="6"/>
  <c r="H61" i="6"/>
  <c r="I61" i="6" s="1"/>
  <c r="K723" i="6"/>
  <c r="F1006" i="6"/>
  <c r="J1006" i="6" s="1"/>
  <c r="K1005" i="6" s="1"/>
  <c r="E1008" i="6"/>
  <c r="I472" i="6"/>
  <c r="H473" i="6"/>
  <c r="K839" i="6"/>
  <c r="J975" i="6"/>
  <c r="K974" i="6" s="1"/>
  <c r="F960" i="6"/>
  <c r="E962" i="6"/>
  <c r="L677" i="6"/>
  <c r="K678" i="6"/>
  <c r="E503" i="6"/>
  <c r="F502" i="6"/>
  <c r="F523" i="6"/>
  <c r="E525" i="6"/>
  <c r="M426" i="6"/>
  <c r="F317" i="6"/>
  <c r="E319" i="6"/>
  <c r="K19" i="4"/>
  <c r="M19" i="4" s="1"/>
  <c r="M16" i="4"/>
  <c r="N19" i="4"/>
  <c r="P19" i="4" s="1"/>
  <c r="P16" i="4"/>
  <c r="G19" i="4"/>
  <c r="V129" i="4"/>
  <c r="E63" i="4"/>
  <c r="G63" i="4" s="1"/>
  <c r="G60" i="4"/>
  <c r="F775" i="6" l="1"/>
  <c r="J775" i="6" s="1"/>
  <c r="K774" i="6" s="1"/>
  <c r="E777" i="6"/>
  <c r="E868" i="6"/>
  <c r="F863" i="6"/>
  <c r="M863" i="6" s="1"/>
  <c r="E867" i="6"/>
  <c r="F867" i="6" s="1"/>
  <c r="M867" i="6" s="1"/>
  <c r="K195" i="6"/>
  <c r="J381" i="6"/>
  <c r="K380" i="6" s="1"/>
  <c r="M431" i="6"/>
  <c r="K885" i="6"/>
  <c r="N862" i="6"/>
  <c r="J960" i="6"/>
  <c r="K959" i="6" s="1"/>
  <c r="H870" i="6"/>
  <c r="H871" i="6" s="1"/>
  <c r="J977" i="6"/>
  <c r="P265" i="6"/>
  <c r="Q264" i="6" s="1"/>
  <c r="P269" i="6"/>
  <c r="M427" i="6"/>
  <c r="N426" i="6"/>
  <c r="M126" i="6"/>
  <c r="N125" i="6" s="1"/>
  <c r="M523" i="6"/>
  <c r="M472" i="6"/>
  <c r="E131" i="6"/>
  <c r="E130" i="6"/>
  <c r="F130" i="6" s="1"/>
  <c r="M130" i="6" s="1"/>
  <c r="F126" i="6"/>
  <c r="K613" i="6"/>
  <c r="E39" i="6"/>
  <c r="F34" i="6"/>
  <c r="J34" i="6" s="1"/>
  <c r="K33" i="6" s="1"/>
  <c r="E38" i="6"/>
  <c r="F38" i="6" s="1"/>
  <c r="J38" i="6" s="1"/>
  <c r="H226" i="6"/>
  <c r="I224" i="6"/>
  <c r="J107" i="6"/>
  <c r="F822" i="6"/>
  <c r="E824" i="6"/>
  <c r="I131" i="6"/>
  <c r="H133" i="6"/>
  <c r="K481" i="6"/>
  <c r="L480" i="6"/>
  <c r="F706" i="6"/>
  <c r="E708" i="6"/>
  <c r="H781" i="6"/>
  <c r="I781" i="6" s="1"/>
  <c r="I780" i="6"/>
  <c r="I340" i="6"/>
  <c r="J340" i="6" s="1"/>
  <c r="K339" i="6" s="1"/>
  <c r="H342" i="6"/>
  <c r="E798" i="6"/>
  <c r="F793" i="6"/>
  <c r="M793" i="6" s="1"/>
  <c r="N792" i="6" s="1"/>
  <c r="E797" i="6"/>
  <c r="F797" i="6" s="1"/>
  <c r="M797" i="6" s="1"/>
  <c r="K567" i="6"/>
  <c r="J362" i="6"/>
  <c r="I660" i="6"/>
  <c r="H662" i="6"/>
  <c r="E617" i="6"/>
  <c r="F616" i="6"/>
  <c r="H1009" i="6"/>
  <c r="I1008" i="6"/>
  <c r="H412" i="6"/>
  <c r="I411" i="6"/>
  <c r="H545" i="6"/>
  <c r="H544" i="6"/>
  <c r="I544" i="6" s="1"/>
  <c r="J544" i="6" s="1"/>
  <c r="I540" i="6"/>
  <c r="J540" i="6" s="1"/>
  <c r="K539" i="6" s="1"/>
  <c r="E982" i="6"/>
  <c r="F982" i="6" s="1"/>
  <c r="J982" i="6" s="1"/>
  <c r="F978" i="6"/>
  <c r="E983" i="6"/>
  <c r="E343" i="6"/>
  <c r="F342" i="6"/>
  <c r="I500" i="6"/>
  <c r="J500" i="6" s="1"/>
  <c r="K499" i="6" s="1"/>
  <c r="H502" i="6"/>
  <c r="H362" i="6"/>
  <c r="I362" i="6" s="1"/>
  <c r="H363" i="6"/>
  <c r="I358" i="6"/>
  <c r="J358" i="6" s="1"/>
  <c r="K357" i="6" s="1"/>
  <c r="E548" i="6"/>
  <c r="F547" i="6"/>
  <c r="I87" i="6"/>
  <c r="H88" i="6"/>
  <c r="H982" i="6"/>
  <c r="I982" i="6" s="1"/>
  <c r="H983" i="6"/>
  <c r="I978" i="6"/>
  <c r="N522" i="6"/>
  <c r="E917" i="6"/>
  <c r="F916" i="6"/>
  <c r="K133" i="6"/>
  <c r="L131" i="6"/>
  <c r="I616" i="6"/>
  <c r="H617" i="6"/>
  <c r="I108" i="6"/>
  <c r="H110" i="6"/>
  <c r="E365" i="6"/>
  <c r="F363" i="6"/>
  <c r="H708" i="6"/>
  <c r="I706" i="6"/>
  <c r="N272" i="6"/>
  <c r="O270" i="6"/>
  <c r="J150" i="6"/>
  <c r="K149" i="6" s="1"/>
  <c r="K272" i="6"/>
  <c r="L270" i="6"/>
  <c r="H1028" i="6"/>
  <c r="I1028" i="6" s="1"/>
  <c r="H1029" i="6"/>
  <c r="I1024" i="6"/>
  <c r="I180" i="6"/>
  <c r="H181" i="6"/>
  <c r="M677" i="6"/>
  <c r="E1009" i="6"/>
  <c r="F1008" i="6"/>
  <c r="E273" i="6"/>
  <c r="F272" i="6"/>
  <c r="E157" i="6"/>
  <c r="F155" i="6"/>
  <c r="E203" i="6"/>
  <c r="F201" i="6"/>
  <c r="F678" i="6"/>
  <c r="E682" i="6"/>
  <c r="F682" i="6" s="1"/>
  <c r="E683" i="6"/>
  <c r="I41" i="6"/>
  <c r="H42" i="6"/>
  <c r="L432" i="6"/>
  <c r="K434" i="6"/>
  <c r="E250" i="6"/>
  <c r="F249" i="6"/>
  <c r="I591" i="6"/>
  <c r="H593" i="6"/>
  <c r="I386" i="6"/>
  <c r="H388" i="6"/>
  <c r="E296" i="6"/>
  <c r="F294" i="6"/>
  <c r="J294" i="6" s="1"/>
  <c r="K293" i="6" s="1"/>
  <c r="H848" i="6"/>
  <c r="I847" i="6"/>
  <c r="I155" i="6"/>
  <c r="H157" i="6"/>
  <c r="E963" i="6"/>
  <c r="F962" i="6"/>
  <c r="J57" i="6"/>
  <c r="K56" i="6" s="1"/>
  <c r="I455" i="6"/>
  <c r="J455" i="6" s="1"/>
  <c r="H457" i="6"/>
  <c r="E17" i="6"/>
  <c r="F15" i="6"/>
  <c r="J223" i="6"/>
  <c r="P270" i="6"/>
  <c r="J154" i="6"/>
  <c r="E660" i="6"/>
  <c r="F655" i="6"/>
  <c r="M655" i="6" s="1"/>
  <c r="N654" i="6" s="1"/>
  <c r="E659" i="6"/>
  <c r="F659" i="6" s="1"/>
  <c r="M659" i="6" s="1"/>
  <c r="E593" i="6"/>
  <c r="F591" i="6"/>
  <c r="F729" i="6"/>
  <c r="J729" i="6" s="1"/>
  <c r="K728" i="6" s="1"/>
  <c r="E731" i="6"/>
  <c r="K874" i="6"/>
  <c r="L874" i="6" s="1"/>
  <c r="L873" i="6"/>
  <c r="F637" i="6"/>
  <c r="E639" i="6"/>
  <c r="H528" i="6"/>
  <c r="I526" i="6"/>
  <c r="F568" i="6"/>
  <c r="J568" i="6" s="1"/>
  <c r="E570" i="6"/>
  <c r="E320" i="6"/>
  <c r="F319" i="6"/>
  <c r="E64" i="6"/>
  <c r="F62" i="6"/>
  <c r="J62" i="6" s="1"/>
  <c r="K454" i="6"/>
  <c r="E894" i="6"/>
  <c r="F893" i="6"/>
  <c r="E85" i="6"/>
  <c r="F80" i="6"/>
  <c r="J80" i="6" s="1"/>
  <c r="K79" i="6" s="1"/>
  <c r="E84" i="6"/>
  <c r="F84" i="6" s="1"/>
  <c r="J84" i="6" s="1"/>
  <c r="H917" i="6"/>
  <c r="I916" i="6"/>
  <c r="K816" i="6"/>
  <c r="J219" i="6"/>
  <c r="K218" i="6" s="1"/>
  <c r="H18" i="6"/>
  <c r="I17" i="6"/>
  <c r="J590" i="6"/>
  <c r="J931" i="6"/>
  <c r="I822" i="6"/>
  <c r="H824" i="6"/>
  <c r="H732" i="6"/>
  <c r="I731" i="6"/>
  <c r="H754" i="6"/>
  <c r="I752" i="6"/>
  <c r="J752" i="6" s="1"/>
  <c r="K751" i="6" s="1"/>
  <c r="K526" i="6"/>
  <c r="L525" i="6"/>
  <c r="F224" i="6"/>
  <c r="E226" i="6"/>
  <c r="H686" i="6"/>
  <c r="I685" i="6"/>
  <c r="H636" i="6"/>
  <c r="I636" i="6" s="1"/>
  <c r="J636" i="6" s="1"/>
  <c r="I632" i="6"/>
  <c r="J632" i="6" s="1"/>
  <c r="K631" i="6" s="1"/>
  <c r="H637" i="6"/>
  <c r="H800" i="6"/>
  <c r="I798" i="6"/>
  <c r="J845" i="6"/>
  <c r="K844" i="6" s="1"/>
  <c r="E481" i="6"/>
  <c r="F480" i="6"/>
  <c r="K319" i="6"/>
  <c r="L317" i="6"/>
  <c r="H434" i="6"/>
  <c r="I432" i="6"/>
  <c r="E936" i="6"/>
  <c r="F936" i="6" s="1"/>
  <c r="E937" i="6"/>
  <c r="F932" i="6"/>
  <c r="H478" i="6"/>
  <c r="I473" i="6"/>
  <c r="M473" i="6" s="1"/>
  <c r="N472" i="6" s="1"/>
  <c r="H477" i="6"/>
  <c r="I477" i="6" s="1"/>
  <c r="M477" i="6" s="1"/>
  <c r="E110" i="6"/>
  <c r="F108" i="6"/>
  <c r="I570" i="6"/>
  <c r="H571" i="6"/>
  <c r="E505" i="6"/>
  <c r="F503" i="6"/>
  <c r="H320" i="6"/>
  <c r="I319" i="6"/>
  <c r="K682" i="6"/>
  <c r="L682" i="6" s="1"/>
  <c r="K683" i="6"/>
  <c r="L678" i="6"/>
  <c r="H963" i="6"/>
  <c r="I962" i="6"/>
  <c r="E178" i="6"/>
  <c r="F173" i="6"/>
  <c r="J173" i="6" s="1"/>
  <c r="K172" i="6" s="1"/>
  <c r="E177" i="6"/>
  <c r="F177" i="6" s="1"/>
  <c r="J177" i="6" s="1"/>
  <c r="E848" i="6"/>
  <c r="F847" i="6"/>
  <c r="H247" i="6"/>
  <c r="I242" i="6"/>
  <c r="J242" i="6" s="1"/>
  <c r="K241" i="6" s="1"/>
  <c r="H246" i="6"/>
  <c r="I246" i="6" s="1"/>
  <c r="J246" i="6" s="1"/>
  <c r="H936" i="6"/>
  <c r="I936" i="6" s="1"/>
  <c r="H937" i="6"/>
  <c r="I932" i="6"/>
  <c r="E411" i="6"/>
  <c r="F409" i="6"/>
  <c r="J409" i="6" s="1"/>
  <c r="K408" i="6" s="1"/>
  <c r="M317" i="6"/>
  <c r="N316" i="6" s="1"/>
  <c r="J61" i="6"/>
  <c r="F432" i="6"/>
  <c r="M432" i="6" s="1"/>
  <c r="N431" i="6" s="1"/>
  <c r="E434" i="6"/>
  <c r="E388" i="6"/>
  <c r="F386" i="6"/>
  <c r="L798" i="6"/>
  <c r="K800" i="6"/>
  <c r="E1028" i="6"/>
  <c r="F1028" i="6" s="1"/>
  <c r="E1029" i="6"/>
  <c r="F1024" i="6"/>
  <c r="E526" i="6"/>
  <c r="F525" i="6"/>
  <c r="I62" i="6"/>
  <c r="H64" i="6"/>
  <c r="J385" i="6"/>
  <c r="H297" i="6"/>
  <c r="I296" i="6"/>
  <c r="J103" i="6"/>
  <c r="K102" i="6" s="1"/>
  <c r="K403" i="6"/>
  <c r="J821" i="6"/>
  <c r="H203" i="6"/>
  <c r="I201" i="6"/>
  <c r="H893" i="6"/>
  <c r="I891" i="6"/>
  <c r="J891" i="6" s="1"/>
  <c r="K890" i="6" s="1"/>
  <c r="K14" i="6"/>
  <c r="L14" i="6" s="1"/>
  <c r="M14" i="6" s="1"/>
  <c r="K15" i="6"/>
  <c r="L10" i="6"/>
  <c r="M10" i="6" s="1"/>
  <c r="N9" i="6" s="1"/>
  <c r="L660" i="6"/>
  <c r="K662" i="6"/>
  <c r="K223" i="6" l="1"/>
  <c r="F131" i="6"/>
  <c r="M131" i="6" s="1"/>
  <c r="N130" i="6" s="1"/>
  <c r="E133" i="6"/>
  <c r="J224" i="6"/>
  <c r="J201" i="6"/>
  <c r="K200" i="6" s="1"/>
  <c r="J932" i="6"/>
  <c r="J962" i="6"/>
  <c r="J706" i="6"/>
  <c r="K705" i="6" s="1"/>
  <c r="J386" i="6"/>
  <c r="K385" i="6" s="1"/>
  <c r="J155" i="6"/>
  <c r="K154" i="6" s="1"/>
  <c r="J936" i="6"/>
  <c r="E870" i="6"/>
  <c r="F868" i="6"/>
  <c r="M868" i="6" s="1"/>
  <c r="N867" i="6" s="1"/>
  <c r="J847" i="6"/>
  <c r="I870" i="6"/>
  <c r="E778" i="6"/>
  <c r="F777" i="6"/>
  <c r="J777" i="6" s="1"/>
  <c r="K528" i="6"/>
  <c r="L526" i="6"/>
  <c r="H873" i="6"/>
  <c r="I871" i="6"/>
  <c r="E366" i="6"/>
  <c r="F365" i="6"/>
  <c r="E65" i="6"/>
  <c r="F64" i="6"/>
  <c r="J64" i="6" s="1"/>
  <c r="E965" i="6"/>
  <c r="F963" i="6"/>
  <c r="E252" i="6"/>
  <c r="F250" i="6"/>
  <c r="H111" i="6"/>
  <c r="I110" i="6"/>
  <c r="H965" i="6"/>
  <c r="I963" i="6"/>
  <c r="F731" i="6"/>
  <c r="J731" i="6" s="1"/>
  <c r="E732" i="6"/>
  <c r="H158" i="6"/>
  <c r="I157" i="6"/>
  <c r="L434" i="6"/>
  <c r="K435" i="6"/>
  <c r="E158" i="6"/>
  <c r="F157" i="6"/>
  <c r="H1031" i="6"/>
  <c r="I1029" i="6"/>
  <c r="I545" i="6"/>
  <c r="J545" i="6" s="1"/>
  <c r="K544" i="6" s="1"/>
  <c r="H547" i="6"/>
  <c r="E41" i="6"/>
  <c r="F39" i="6"/>
  <c r="J39" i="6" s="1"/>
  <c r="K38" i="6" s="1"/>
  <c r="N477" i="6"/>
  <c r="H365" i="6"/>
  <c r="I363" i="6"/>
  <c r="J363" i="6" s="1"/>
  <c r="K362" i="6" s="1"/>
  <c r="H480" i="6"/>
  <c r="I478" i="6"/>
  <c r="M478" i="6" s="1"/>
  <c r="H619" i="6"/>
  <c r="I617" i="6"/>
  <c r="I502" i="6"/>
  <c r="J502" i="6" s="1"/>
  <c r="H503" i="6"/>
  <c r="N797" i="6"/>
  <c r="K483" i="6"/>
  <c r="L481" i="6"/>
  <c r="H65" i="6"/>
  <c r="I64" i="6"/>
  <c r="K61" i="6"/>
  <c r="I247" i="6"/>
  <c r="J247" i="6" s="1"/>
  <c r="H249" i="6"/>
  <c r="H322" i="6"/>
  <c r="I320" i="6"/>
  <c r="J591" i="6"/>
  <c r="K590" i="6" s="1"/>
  <c r="F17" i="6"/>
  <c r="E18" i="6"/>
  <c r="E275" i="6"/>
  <c r="F273" i="6"/>
  <c r="H985" i="6"/>
  <c r="I983" i="6"/>
  <c r="H414" i="6"/>
  <c r="I412" i="6"/>
  <c r="I133" i="6"/>
  <c r="H134" i="6"/>
  <c r="E709" i="6"/>
  <c r="F708" i="6"/>
  <c r="E435" i="6"/>
  <c r="F434" i="6"/>
  <c r="H734" i="6"/>
  <c r="I732" i="6"/>
  <c r="H919" i="6"/>
  <c r="I917" i="6"/>
  <c r="E571" i="6"/>
  <c r="F570" i="6"/>
  <c r="J570" i="6" s="1"/>
  <c r="E594" i="6"/>
  <c r="F593" i="6"/>
  <c r="I848" i="6"/>
  <c r="H850" i="6"/>
  <c r="H44" i="6"/>
  <c r="I42" i="6"/>
  <c r="K273" i="6"/>
  <c r="L272" i="6"/>
  <c r="P272" i="6" s="1"/>
  <c r="E800" i="6"/>
  <c r="F798" i="6"/>
  <c r="M798" i="6" s="1"/>
  <c r="H183" i="6"/>
  <c r="I181" i="6"/>
  <c r="E204" i="6"/>
  <c r="F203" i="6"/>
  <c r="L15" i="6"/>
  <c r="M15" i="6" s="1"/>
  <c r="N14" i="6" s="1"/>
  <c r="K17" i="6"/>
  <c r="H801" i="6"/>
  <c r="I800" i="6"/>
  <c r="E322" i="6"/>
  <c r="F320" i="6"/>
  <c r="E506" i="6"/>
  <c r="F506" i="6" s="1"/>
  <c r="F505" i="6"/>
  <c r="H435" i="6"/>
  <c r="I434" i="6"/>
  <c r="H825" i="6"/>
  <c r="I824" i="6"/>
  <c r="K134" i="6"/>
  <c r="L133" i="6"/>
  <c r="H90" i="6"/>
  <c r="I88" i="6"/>
  <c r="E345" i="6"/>
  <c r="F343" i="6"/>
  <c r="H1011" i="6"/>
  <c r="I1009" i="6"/>
  <c r="E389" i="6"/>
  <c r="F388" i="6"/>
  <c r="J388" i="6" s="1"/>
  <c r="H204" i="6"/>
  <c r="I203" i="6"/>
  <c r="J1024" i="6"/>
  <c r="K1023" i="6" s="1"/>
  <c r="E412" i="6"/>
  <c r="F411" i="6"/>
  <c r="J411" i="6" s="1"/>
  <c r="H573" i="6"/>
  <c r="I571" i="6"/>
  <c r="H688" i="6"/>
  <c r="I686" i="6"/>
  <c r="F296" i="6"/>
  <c r="J296" i="6" s="1"/>
  <c r="E297" i="6"/>
  <c r="E685" i="6"/>
  <c r="F683" i="6"/>
  <c r="M683" i="6" s="1"/>
  <c r="J1008" i="6"/>
  <c r="K1008" i="6" s="1"/>
  <c r="J916" i="6"/>
  <c r="I342" i="6"/>
  <c r="J342" i="6" s="1"/>
  <c r="H343" i="6"/>
  <c r="E825" i="6"/>
  <c r="F824" i="6"/>
  <c r="I226" i="6"/>
  <c r="H227" i="6"/>
  <c r="H20" i="6"/>
  <c r="I18" i="6"/>
  <c r="I297" i="6"/>
  <c r="H299" i="6"/>
  <c r="E939" i="6"/>
  <c r="F937" i="6"/>
  <c r="M525" i="6"/>
  <c r="K320" i="6"/>
  <c r="L319" i="6"/>
  <c r="M319" i="6" s="1"/>
  <c r="E227" i="6"/>
  <c r="F226" i="6"/>
  <c r="J226" i="6" s="1"/>
  <c r="K931" i="6"/>
  <c r="E87" i="6"/>
  <c r="F85" i="6"/>
  <c r="J85" i="6" s="1"/>
  <c r="K84" i="6" s="1"/>
  <c r="H529" i="6"/>
  <c r="I529" i="6" s="1"/>
  <c r="I528" i="6"/>
  <c r="F660" i="6"/>
  <c r="M660" i="6" s="1"/>
  <c r="N659" i="6" s="1"/>
  <c r="E662" i="6"/>
  <c r="H458" i="6"/>
  <c r="I457" i="6"/>
  <c r="J457" i="6" s="1"/>
  <c r="H389" i="6"/>
  <c r="I388" i="6"/>
  <c r="M682" i="6"/>
  <c r="E1011" i="6"/>
  <c r="F1009" i="6"/>
  <c r="J1009" i="6" s="1"/>
  <c r="O272" i="6"/>
  <c r="N273" i="6"/>
  <c r="E919" i="6"/>
  <c r="F917" i="6"/>
  <c r="J917" i="6" s="1"/>
  <c r="J616" i="6"/>
  <c r="J822" i="6"/>
  <c r="K821" i="6" s="1"/>
  <c r="L683" i="6"/>
  <c r="K685" i="6"/>
  <c r="H639" i="6"/>
  <c r="I637" i="6"/>
  <c r="J637" i="6" s="1"/>
  <c r="K636" i="6" s="1"/>
  <c r="M678" i="6"/>
  <c r="N677" i="6" s="1"/>
  <c r="E985" i="6"/>
  <c r="F983" i="6"/>
  <c r="J983" i="6" s="1"/>
  <c r="K982" i="6" s="1"/>
  <c r="E619" i="6"/>
  <c r="F617" i="6"/>
  <c r="J617" i="6" s="1"/>
  <c r="H755" i="6"/>
  <c r="I754" i="6"/>
  <c r="J754" i="6" s="1"/>
  <c r="H894" i="6"/>
  <c r="I893" i="6"/>
  <c r="J893" i="6" s="1"/>
  <c r="F526" i="6"/>
  <c r="E528" i="6"/>
  <c r="E850" i="6"/>
  <c r="F848" i="6"/>
  <c r="J848" i="6" s="1"/>
  <c r="K847" i="6" s="1"/>
  <c r="E1031" i="6"/>
  <c r="F1029" i="6"/>
  <c r="J1029" i="6" s="1"/>
  <c r="J1028" i="6"/>
  <c r="H939" i="6"/>
  <c r="I937" i="6"/>
  <c r="F178" i="6"/>
  <c r="J178" i="6" s="1"/>
  <c r="K177" i="6" s="1"/>
  <c r="E180" i="6"/>
  <c r="J108" i="6"/>
  <c r="K107" i="6" s="1"/>
  <c r="K663" i="6"/>
  <c r="L662" i="6"/>
  <c r="K801" i="6"/>
  <c r="L800" i="6"/>
  <c r="E111" i="6"/>
  <c r="F110" i="6"/>
  <c r="J110" i="6" s="1"/>
  <c r="E483" i="6"/>
  <c r="F481" i="6"/>
  <c r="E896" i="6"/>
  <c r="F894" i="6"/>
  <c r="E640" i="6"/>
  <c r="F639" i="6"/>
  <c r="H594" i="6"/>
  <c r="I593" i="6"/>
  <c r="H709" i="6"/>
  <c r="I708" i="6"/>
  <c r="E550" i="6"/>
  <c r="F548" i="6"/>
  <c r="J978" i="6"/>
  <c r="K977" i="6" s="1"/>
  <c r="H663" i="6"/>
  <c r="I662" i="6"/>
  <c r="M526" i="6" l="1"/>
  <c r="N525" i="6" s="1"/>
  <c r="J157" i="6"/>
  <c r="K777" i="6"/>
  <c r="J824" i="6"/>
  <c r="F778" i="6"/>
  <c r="J778" i="6" s="1"/>
  <c r="E780" i="6"/>
  <c r="E134" i="6"/>
  <c r="F133" i="6"/>
  <c r="M133" i="6" s="1"/>
  <c r="E871" i="6"/>
  <c r="F870" i="6"/>
  <c r="M870" i="6" s="1"/>
  <c r="E851" i="6"/>
  <c r="F851" i="6" s="1"/>
  <c r="F850" i="6"/>
  <c r="E573" i="6"/>
  <c r="F571" i="6"/>
  <c r="J571" i="6" s="1"/>
  <c r="K570" i="6" s="1"/>
  <c r="H323" i="6"/>
  <c r="I323" i="6" s="1"/>
  <c r="I322" i="6"/>
  <c r="H505" i="6"/>
  <c r="I503" i="6"/>
  <c r="J503" i="6" s="1"/>
  <c r="F732" i="6"/>
  <c r="J732" i="6" s="1"/>
  <c r="K731" i="6" s="1"/>
  <c r="E734" i="6"/>
  <c r="E966" i="6"/>
  <c r="F966" i="6" s="1"/>
  <c r="J966" i="6" s="1"/>
  <c r="F965" i="6"/>
  <c r="N275" i="6"/>
  <c r="O273" i="6"/>
  <c r="H91" i="6"/>
  <c r="I91" i="6" s="1"/>
  <c r="I90" i="6"/>
  <c r="E323" i="6"/>
  <c r="F323" i="6" s="1"/>
  <c r="F322" i="6"/>
  <c r="E801" i="6"/>
  <c r="F800" i="6"/>
  <c r="M800" i="6" s="1"/>
  <c r="H250" i="6"/>
  <c r="I249" i="6"/>
  <c r="J249" i="6" s="1"/>
  <c r="K502" i="6"/>
  <c r="E42" i="6"/>
  <c r="F41" i="6"/>
  <c r="J41" i="6" s="1"/>
  <c r="F65" i="6"/>
  <c r="E67" i="6"/>
  <c r="F685" i="6"/>
  <c r="M685" i="6" s="1"/>
  <c r="E686" i="6"/>
  <c r="H206" i="6"/>
  <c r="I204" i="6"/>
  <c r="H920" i="6"/>
  <c r="I920" i="6" s="1"/>
  <c r="I919" i="6"/>
  <c r="H415" i="6"/>
  <c r="I415" i="6" s="1"/>
  <c r="I414" i="6"/>
  <c r="H548" i="6"/>
  <c r="I547" i="6"/>
  <c r="J547" i="6" s="1"/>
  <c r="E940" i="6"/>
  <c r="F939" i="6"/>
  <c r="H160" i="6"/>
  <c r="I158" i="6"/>
  <c r="E920" i="6"/>
  <c r="F920" i="6" s="1"/>
  <c r="F919" i="6"/>
  <c r="E88" i="6"/>
  <c r="F87" i="6"/>
  <c r="J87" i="6" s="1"/>
  <c r="E299" i="6"/>
  <c r="F297" i="6"/>
  <c r="J297" i="6" s="1"/>
  <c r="K296" i="6" s="1"/>
  <c r="K136" i="6"/>
  <c r="L134" i="6"/>
  <c r="H620" i="6"/>
  <c r="I620" i="6" s="1"/>
  <c r="I619" i="6"/>
  <c r="E368" i="6"/>
  <c r="F366" i="6"/>
  <c r="K916" i="6"/>
  <c r="I134" i="6"/>
  <c r="H136" i="6"/>
  <c r="E986" i="6"/>
  <c r="F985" i="6"/>
  <c r="J985" i="6" s="1"/>
  <c r="J639" i="6"/>
  <c r="E1012" i="6"/>
  <c r="F1012" i="6" s="1"/>
  <c r="F1011" i="6"/>
  <c r="J1011" i="6" s="1"/>
  <c r="H21" i="6"/>
  <c r="I21" i="6" s="1"/>
  <c r="I20" i="6"/>
  <c r="E391" i="6"/>
  <c r="F389" i="6"/>
  <c r="I801" i="6"/>
  <c r="H803" i="6"/>
  <c r="K275" i="6"/>
  <c r="L273" i="6"/>
  <c r="P273" i="6" s="1"/>
  <c r="Q272" i="6" s="1"/>
  <c r="H735" i="6"/>
  <c r="I735" i="6" s="1"/>
  <c r="I734" i="6"/>
  <c r="H986" i="6"/>
  <c r="I985" i="6"/>
  <c r="H966" i="6"/>
  <c r="I966" i="6" s="1"/>
  <c r="I965" i="6"/>
  <c r="I663" i="6"/>
  <c r="H665" i="6"/>
  <c r="N682" i="6"/>
  <c r="H229" i="6"/>
  <c r="I227" i="6"/>
  <c r="K18" i="6"/>
  <c r="L17" i="6"/>
  <c r="M17" i="6" s="1"/>
  <c r="H67" i="6"/>
  <c r="I65" i="6"/>
  <c r="H1032" i="6"/>
  <c r="I1031" i="6"/>
  <c r="H874" i="6"/>
  <c r="I874" i="6" s="1"/>
  <c r="I873" i="6"/>
  <c r="H896" i="6"/>
  <c r="I894" i="6"/>
  <c r="J894" i="6" s="1"/>
  <c r="K893" i="6" s="1"/>
  <c r="E484" i="6"/>
  <c r="F484" i="6" s="1"/>
  <c r="F483" i="6"/>
  <c r="I755" i="6"/>
  <c r="J755" i="6" s="1"/>
  <c r="K754" i="6" s="1"/>
  <c r="H757" i="6"/>
  <c r="H640" i="6"/>
  <c r="I639" i="6"/>
  <c r="E229" i="6"/>
  <c r="F227" i="6"/>
  <c r="H689" i="6"/>
  <c r="I689" i="6" s="1"/>
  <c r="I688" i="6"/>
  <c r="H45" i="6"/>
  <c r="I45" i="6" s="1"/>
  <c r="I44" i="6"/>
  <c r="E276" i="6"/>
  <c r="F276" i="6" s="1"/>
  <c r="F275" i="6"/>
  <c r="E346" i="6"/>
  <c r="F346" i="6" s="1"/>
  <c r="F345" i="6"/>
  <c r="H300" i="6"/>
  <c r="I300" i="6" s="1"/>
  <c r="I299" i="6"/>
  <c r="E529" i="6"/>
  <c r="F529" i="6" s="1"/>
  <c r="F528" i="6"/>
  <c r="F180" i="6"/>
  <c r="J180" i="6" s="1"/>
  <c r="E181" i="6"/>
  <c r="E551" i="6"/>
  <c r="F551" i="6" s="1"/>
  <c r="F550" i="6"/>
  <c r="H940" i="6"/>
  <c r="I939" i="6"/>
  <c r="K686" i="6"/>
  <c r="L685" i="6"/>
  <c r="H391" i="6"/>
  <c r="I389" i="6"/>
  <c r="H827" i="6"/>
  <c r="I825" i="6"/>
  <c r="J203" i="6"/>
  <c r="H851" i="6"/>
  <c r="I851" i="6" s="1"/>
  <c r="I850" i="6"/>
  <c r="M434" i="6"/>
  <c r="E20" i="6"/>
  <c r="F18" i="6"/>
  <c r="H481" i="6"/>
  <c r="I480" i="6"/>
  <c r="M480" i="6" s="1"/>
  <c r="F158" i="6"/>
  <c r="J158" i="6" s="1"/>
  <c r="K157" i="6" s="1"/>
  <c r="E160" i="6"/>
  <c r="H113" i="6"/>
  <c r="I111" i="6"/>
  <c r="K529" i="6"/>
  <c r="L529" i="6" s="1"/>
  <c r="L528" i="6"/>
  <c r="K322" i="6"/>
  <c r="L320" i="6"/>
  <c r="M320" i="6" s="1"/>
  <c r="N319" i="6" s="1"/>
  <c r="F825" i="6"/>
  <c r="E827" i="6"/>
  <c r="H574" i="6"/>
  <c r="I574" i="6" s="1"/>
  <c r="I573" i="6"/>
  <c r="E206" i="6"/>
  <c r="F204" i="6"/>
  <c r="E437" i="6"/>
  <c r="F435" i="6"/>
  <c r="K437" i="6"/>
  <c r="L435" i="6"/>
  <c r="E414" i="6"/>
  <c r="F412" i="6"/>
  <c r="J412" i="6" s="1"/>
  <c r="K411" i="6" s="1"/>
  <c r="L663" i="6"/>
  <c r="K665" i="6"/>
  <c r="E642" i="6"/>
  <c r="F640" i="6"/>
  <c r="E897" i="6"/>
  <c r="F897" i="6" s="1"/>
  <c r="F896" i="6"/>
  <c r="F111" i="6"/>
  <c r="J111" i="6" s="1"/>
  <c r="K110" i="6" s="1"/>
  <c r="E113" i="6"/>
  <c r="H460" i="6"/>
  <c r="I458" i="6"/>
  <c r="J458" i="6" s="1"/>
  <c r="K457" i="6" s="1"/>
  <c r="H345" i="6"/>
  <c r="I343" i="6"/>
  <c r="J343" i="6" s="1"/>
  <c r="K342" i="6" s="1"/>
  <c r="H1012" i="6"/>
  <c r="I1012" i="6" s="1"/>
  <c r="I1011" i="6"/>
  <c r="H437" i="6"/>
  <c r="I435" i="6"/>
  <c r="J593" i="6"/>
  <c r="J708" i="6"/>
  <c r="I365" i="6"/>
  <c r="J365" i="6" s="1"/>
  <c r="H366" i="6"/>
  <c r="E253" i="6"/>
  <c r="F253" i="6" s="1"/>
  <c r="F252" i="6"/>
  <c r="H596" i="6"/>
  <c r="I594" i="6"/>
  <c r="H711" i="6"/>
  <c r="I709" i="6"/>
  <c r="K803" i="6"/>
  <c r="L801" i="6"/>
  <c r="E1032" i="6"/>
  <c r="F1031" i="6"/>
  <c r="E620" i="6"/>
  <c r="F620" i="6" s="1"/>
  <c r="J620" i="6" s="1"/>
  <c r="F619" i="6"/>
  <c r="J619" i="6" s="1"/>
  <c r="K619" i="6" s="1"/>
  <c r="K616" i="6"/>
  <c r="E663" i="6"/>
  <c r="F662" i="6"/>
  <c r="M662" i="6" s="1"/>
  <c r="J937" i="6"/>
  <c r="K936" i="6" s="1"/>
  <c r="H184" i="6"/>
  <c r="I184" i="6" s="1"/>
  <c r="I183" i="6"/>
  <c r="F594" i="6"/>
  <c r="E596" i="6"/>
  <c r="E711" i="6"/>
  <c r="F709" i="6"/>
  <c r="J709" i="6" s="1"/>
  <c r="K484" i="6"/>
  <c r="L484" i="6" s="1"/>
  <c r="L483" i="6"/>
  <c r="J963" i="6"/>
  <c r="K962" i="6" s="1"/>
  <c r="E873" i="6" l="1"/>
  <c r="F871" i="6"/>
  <c r="M871" i="6" s="1"/>
  <c r="N870" i="6" s="1"/>
  <c r="J1031" i="6"/>
  <c r="J919" i="6"/>
  <c r="E136" i="6"/>
  <c r="F134" i="6"/>
  <c r="E781" i="6"/>
  <c r="F781" i="6" s="1"/>
  <c r="J781" i="6" s="1"/>
  <c r="F780" i="6"/>
  <c r="J780" i="6" s="1"/>
  <c r="K780" i="6" s="1"/>
  <c r="M528" i="6"/>
  <c r="J204" i="6"/>
  <c r="K203" i="6" s="1"/>
  <c r="M529" i="6"/>
  <c r="J65" i="6"/>
  <c r="K64" i="6" s="1"/>
  <c r="J1012" i="6"/>
  <c r="K1011" i="6" s="1"/>
  <c r="H597" i="6"/>
  <c r="I597" i="6" s="1"/>
  <c r="I596" i="6"/>
  <c r="H828" i="6"/>
  <c r="I828" i="6" s="1"/>
  <c r="I827" i="6"/>
  <c r="H230" i="6"/>
  <c r="I230" i="6" s="1"/>
  <c r="I229" i="6"/>
  <c r="K547" i="6"/>
  <c r="E161" i="6"/>
  <c r="F161" i="6" s="1"/>
  <c r="F160" i="6"/>
  <c r="E415" i="6"/>
  <c r="F415" i="6" s="1"/>
  <c r="J415" i="6" s="1"/>
  <c r="F414" i="6"/>
  <c r="J414" i="6" s="1"/>
  <c r="H550" i="6"/>
  <c r="I548" i="6"/>
  <c r="J548" i="6" s="1"/>
  <c r="H346" i="6"/>
  <c r="I346" i="6" s="1"/>
  <c r="I345" i="6"/>
  <c r="J345" i="6" s="1"/>
  <c r="I366" i="6"/>
  <c r="J366" i="6" s="1"/>
  <c r="K365" i="6" s="1"/>
  <c r="H368" i="6"/>
  <c r="H483" i="6"/>
  <c r="I481" i="6"/>
  <c r="M481" i="6" s="1"/>
  <c r="N480" i="6" s="1"/>
  <c r="H392" i="6"/>
  <c r="I392" i="6" s="1"/>
  <c r="I391" i="6"/>
  <c r="K276" i="6"/>
  <c r="L276" i="6" s="1"/>
  <c r="L275" i="6"/>
  <c r="E988" i="6"/>
  <c r="F986" i="6"/>
  <c r="J986" i="6" s="1"/>
  <c r="K985" i="6" s="1"/>
  <c r="E300" i="6"/>
  <c r="F300" i="6" s="1"/>
  <c r="J300" i="6" s="1"/>
  <c r="F299" i="6"/>
  <c r="J299" i="6" s="1"/>
  <c r="O275" i="6"/>
  <c r="N276" i="6"/>
  <c r="O276" i="6" s="1"/>
  <c r="K20" i="6"/>
  <c r="L18" i="6"/>
  <c r="E68" i="6"/>
  <c r="F68" i="6" s="1"/>
  <c r="F67" i="6"/>
  <c r="E114" i="6"/>
  <c r="F114" i="6" s="1"/>
  <c r="F113" i="6"/>
  <c r="J825" i="6"/>
  <c r="K824" i="6" s="1"/>
  <c r="J227" i="6"/>
  <c r="K226" i="6" s="1"/>
  <c r="H804" i="6"/>
  <c r="I804" i="6" s="1"/>
  <c r="I803" i="6"/>
  <c r="H137" i="6"/>
  <c r="I137" i="6" s="1"/>
  <c r="I136" i="6"/>
  <c r="E44" i="6"/>
  <c r="F42" i="6"/>
  <c r="J42" i="6" s="1"/>
  <c r="K41" i="6" s="1"/>
  <c r="E574" i="6"/>
  <c r="F574" i="6" s="1"/>
  <c r="J574" i="6" s="1"/>
  <c r="F573" i="6"/>
  <c r="J573" i="6" s="1"/>
  <c r="K666" i="6"/>
  <c r="L666" i="6" s="1"/>
  <c r="L665" i="6"/>
  <c r="E665" i="6"/>
  <c r="F663" i="6"/>
  <c r="M663" i="6" s="1"/>
  <c r="N662" i="6" s="1"/>
  <c r="H897" i="6"/>
  <c r="I897" i="6" s="1"/>
  <c r="J897" i="6" s="1"/>
  <c r="I896" i="6"/>
  <c r="J896" i="6" s="1"/>
  <c r="K896" i="6" s="1"/>
  <c r="K708" i="6"/>
  <c r="L437" i="6"/>
  <c r="K438" i="6"/>
  <c r="L438" i="6" s="1"/>
  <c r="M18" i="6"/>
  <c r="N17" i="6" s="1"/>
  <c r="K688" i="6"/>
  <c r="L686" i="6"/>
  <c r="E230" i="6"/>
  <c r="F230" i="6" s="1"/>
  <c r="F229" i="6"/>
  <c r="J229" i="6" s="1"/>
  <c r="M134" i="6"/>
  <c r="N133" i="6" s="1"/>
  <c r="E90" i="6"/>
  <c r="F88" i="6"/>
  <c r="J88" i="6" s="1"/>
  <c r="K87" i="6" s="1"/>
  <c r="J965" i="6"/>
  <c r="K965" i="6" s="1"/>
  <c r="E942" i="6"/>
  <c r="F940" i="6"/>
  <c r="E828" i="6"/>
  <c r="F828" i="6" s="1"/>
  <c r="J828" i="6" s="1"/>
  <c r="F827" i="6"/>
  <c r="J827" i="6" s="1"/>
  <c r="K827" i="6" s="1"/>
  <c r="E597" i="6"/>
  <c r="F597" i="6" s="1"/>
  <c r="J597" i="6" s="1"/>
  <c r="F596" i="6"/>
  <c r="J596" i="6" s="1"/>
  <c r="K323" i="6"/>
  <c r="L323" i="6" s="1"/>
  <c r="M323" i="6" s="1"/>
  <c r="L322" i="6"/>
  <c r="M322" i="6" s="1"/>
  <c r="N322" i="6" s="1"/>
  <c r="E21" i="6"/>
  <c r="F21" i="6" s="1"/>
  <c r="F20" i="6"/>
  <c r="H1034" i="6"/>
  <c r="I1032" i="6"/>
  <c r="H666" i="6"/>
  <c r="I666" i="6" s="1"/>
  <c r="I665" i="6"/>
  <c r="J389" i="6"/>
  <c r="K388" i="6" s="1"/>
  <c r="K919" i="6"/>
  <c r="K249" i="6"/>
  <c r="J850" i="6"/>
  <c r="H114" i="6"/>
  <c r="I114" i="6" s="1"/>
  <c r="I113" i="6"/>
  <c r="H988" i="6"/>
  <c r="I986" i="6"/>
  <c r="H506" i="6"/>
  <c r="I506" i="6" s="1"/>
  <c r="J506" i="6" s="1"/>
  <c r="I505" i="6"/>
  <c r="J505" i="6" s="1"/>
  <c r="K505" i="6" s="1"/>
  <c r="E207" i="6"/>
  <c r="F207" i="6" s="1"/>
  <c r="F206" i="6"/>
  <c r="H942" i="6"/>
  <c r="I940" i="6"/>
  <c r="J346" i="6"/>
  <c r="H642" i="6"/>
  <c r="I640" i="6"/>
  <c r="J640" i="6" s="1"/>
  <c r="K639" i="6" s="1"/>
  <c r="E392" i="6"/>
  <c r="F392" i="6" s="1"/>
  <c r="F391" i="6"/>
  <c r="J920" i="6"/>
  <c r="H252" i="6"/>
  <c r="I250" i="6"/>
  <c r="J250" i="6" s="1"/>
  <c r="J851" i="6"/>
  <c r="E183" i="6"/>
  <c r="F181" i="6"/>
  <c r="J181" i="6" s="1"/>
  <c r="K137" i="6"/>
  <c r="L137" i="6" s="1"/>
  <c r="L136" i="6"/>
  <c r="H758" i="6"/>
  <c r="I758" i="6" s="1"/>
  <c r="J758" i="6" s="1"/>
  <c r="I757" i="6"/>
  <c r="J757" i="6" s="1"/>
  <c r="K757" i="6" s="1"/>
  <c r="H68" i="6"/>
  <c r="I68" i="6" s="1"/>
  <c r="I67" i="6"/>
  <c r="E369" i="6"/>
  <c r="F369" i="6" s="1"/>
  <c r="F368" i="6"/>
  <c r="N800" i="6"/>
  <c r="E735" i="6"/>
  <c r="F735" i="6" s="1"/>
  <c r="J735" i="6" s="1"/>
  <c r="F734" i="6"/>
  <c r="J734" i="6" s="1"/>
  <c r="K734" i="6" s="1"/>
  <c r="K180" i="6"/>
  <c r="E712" i="6"/>
  <c r="F712" i="6" s="1"/>
  <c r="F711" i="6"/>
  <c r="E1034" i="6"/>
  <c r="F1032" i="6"/>
  <c r="J1032" i="6" s="1"/>
  <c r="K1031" i="6" s="1"/>
  <c r="K804" i="6"/>
  <c r="L804" i="6" s="1"/>
  <c r="L803" i="6"/>
  <c r="M435" i="6"/>
  <c r="N434" i="6" s="1"/>
  <c r="P275" i="6"/>
  <c r="H161" i="6"/>
  <c r="I161" i="6" s="1"/>
  <c r="I160" i="6"/>
  <c r="H207" i="6"/>
  <c r="I207" i="6" s="1"/>
  <c r="I206" i="6"/>
  <c r="F801" i="6"/>
  <c r="M801" i="6" s="1"/>
  <c r="E803" i="6"/>
  <c r="H461" i="6"/>
  <c r="I461" i="6" s="1"/>
  <c r="J461" i="6" s="1"/>
  <c r="I460" i="6"/>
  <c r="J460" i="6" s="1"/>
  <c r="J594" i="6"/>
  <c r="K593" i="6" s="1"/>
  <c r="H438" i="6"/>
  <c r="I438" i="6" s="1"/>
  <c r="I437" i="6"/>
  <c r="H712" i="6"/>
  <c r="I712" i="6" s="1"/>
  <c r="I711" i="6"/>
  <c r="E643" i="6"/>
  <c r="F643" i="6" s="1"/>
  <c r="F642" i="6"/>
  <c r="E438" i="6"/>
  <c r="F438" i="6" s="1"/>
  <c r="F437" i="6"/>
  <c r="P276" i="6"/>
  <c r="J939" i="6"/>
  <c r="F686" i="6"/>
  <c r="E688" i="6"/>
  <c r="N528" i="6" l="1"/>
  <c r="J207" i="6"/>
  <c r="K345" i="6"/>
  <c r="E137" i="6"/>
  <c r="F137" i="6" s="1"/>
  <c r="F136" i="6"/>
  <c r="M686" i="6"/>
  <c r="N685" i="6" s="1"/>
  <c r="K460" i="6"/>
  <c r="J391" i="6"/>
  <c r="J392" i="6"/>
  <c r="J230" i="6"/>
  <c r="K229" i="6" s="1"/>
  <c r="E874" i="6"/>
  <c r="F874" i="6" s="1"/>
  <c r="M874" i="6" s="1"/>
  <c r="F873" i="6"/>
  <c r="M873" i="6" s="1"/>
  <c r="N873" i="6" s="1"/>
  <c r="K596" i="6"/>
  <c r="K573" i="6"/>
  <c r="H643" i="6"/>
  <c r="I643" i="6" s="1"/>
  <c r="I642" i="6"/>
  <c r="E91" i="6"/>
  <c r="F91" i="6" s="1"/>
  <c r="J91" i="6" s="1"/>
  <c r="F90" i="6"/>
  <c r="J90" i="6" s="1"/>
  <c r="K90" i="6" s="1"/>
  <c r="M137" i="6"/>
  <c r="H484" i="6"/>
  <c r="I484" i="6" s="1"/>
  <c r="M484" i="6" s="1"/>
  <c r="I483" i="6"/>
  <c r="M483" i="6" s="1"/>
  <c r="J160" i="6"/>
  <c r="K160" i="6" s="1"/>
  <c r="H989" i="6"/>
  <c r="I989" i="6" s="1"/>
  <c r="I988" i="6"/>
  <c r="Q275" i="6"/>
  <c r="H369" i="6"/>
  <c r="I369" i="6" s="1"/>
  <c r="I368" i="6"/>
  <c r="J368" i="6" s="1"/>
  <c r="J161" i="6"/>
  <c r="K850" i="6"/>
  <c r="E666" i="6"/>
  <c r="F666" i="6" s="1"/>
  <c r="M666" i="6" s="1"/>
  <c r="F665" i="6"/>
  <c r="M665" i="6" s="1"/>
  <c r="N665" i="6" s="1"/>
  <c r="E184" i="6"/>
  <c r="F184" i="6" s="1"/>
  <c r="J184" i="6" s="1"/>
  <c r="F183" i="6"/>
  <c r="J183" i="6" s="1"/>
  <c r="K183" i="6" s="1"/>
  <c r="H943" i="6"/>
  <c r="I943" i="6" s="1"/>
  <c r="I942" i="6"/>
  <c r="K299" i="6"/>
  <c r="K689" i="6"/>
  <c r="L689" i="6" s="1"/>
  <c r="L688" i="6"/>
  <c r="J113" i="6"/>
  <c r="K21" i="6"/>
  <c r="L21" i="6" s="1"/>
  <c r="M21" i="6" s="1"/>
  <c r="L20" i="6"/>
  <c r="M437" i="6"/>
  <c r="N437" i="6" s="1"/>
  <c r="J369" i="6"/>
  <c r="H253" i="6"/>
  <c r="I253" i="6" s="1"/>
  <c r="J253" i="6" s="1"/>
  <c r="I252" i="6"/>
  <c r="J252" i="6" s="1"/>
  <c r="K252" i="6" s="1"/>
  <c r="J206" i="6"/>
  <c r="K206" i="6" s="1"/>
  <c r="J114" i="6"/>
  <c r="E989" i="6"/>
  <c r="F989" i="6" s="1"/>
  <c r="F988" i="6"/>
  <c r="M136" i="6"/>
  <c r="M438" i="6"/>
  <c r="E804" i="6"/>
  <c r="F804" i="6" s="1"/>
  <c r="M804" i="6" s="1"/>
  <c r="F803" i="6"/>
  <c r="M803" i="6" s="1"/>
  <c r="N803" i="6" s="1"/>
  <c r="J712" i="6"/>
  <c r="J642" i="6"/>
  <c r="K642" i="6" s="1"/>
  <c r="E1035" i="6"/>
  <c r="F1035" i="6" s="1"/>
  <c r="J1035" i="6" s="1"/>
  <c r="F1034" i="6"/>
  <c r="J1034" i="6" s="1"/>
  <c r="K1034" i="6" s="1"/>
  <c r="J940" i="6"/>
  <c r="K939" i="6" s="1"/>
  <c r="J67" i="6"/>
  <c r="K67" i="6" s="1"/>
  <c r="H551" i="6"/>
  <c r="I551" i="6" s="1"/>
  <c r="J551" i="6" s="1"/>
  <c r="I550" i="6"/>
  <c r="J550" i="6" s="1"/>
  <c r="K550" i="6" s="1"/>
  <c r="H1035" i="6"/>
  <c r="I1035" i="6" s="1"/>
  <c r="I1034" i="6"/>
  <c r="E943" i="6"/>
  <c r="F943" i="6" s="1"/>
  <c r="F942" i="6"/>
  <c r="E45" i="6"/>
  <c r="F45" i="6" s="1"/>
  <c r="J45" i="6" s="1"/>
  <c r="F44" i="6"/>
  <c r="J44" i="6" s="1"/>
  <c r="J68" i="6"/>
  <c r="E689" i="6"/>
  <c r="F689" i="6" s="1"/>
  <c r="M689" i="6" s="1"/>
  <c r="F688" i="6"/>
  <c r="M688" i="6" s="1"/>
  <c r="M20" i="6"/>
  <c r="J643" i="6"/>
  <c r="J711" i="6"/>
  <c r="K414" i="6"/>
  <c r="K391" i="6" l="1"/>
  <c r="K368" i="6"/>
  <c r="N688" i="6"/>
  <c r="K44" i="6"/>
  <c r="N483" i="6"/>
  <c r="N20" i="6"/>
  <c r="J942" i="6"/>
  <c r="J943" i="6"/>
  <c r="K113" i="6"/>
  <c r="N136" i="6"/>
  <c r="K711" i="6"/>
  <c r="J988" i="6"/>
  <c r="J989" i="6"/>
  <c r="K988" i="6" l="1"/>
  <c r="K942" i="6"/>
  <c r="Q40" i="3" l="1"/>
  <c r="Q43" i="3"/>
  <c r="Q44" i="3"/>
  <c r="Q45" i="3"/>
  <c r="Q47" i="3"/>
  <c r="Q49" i="3"/>
  <c r="Q50" i="3"/>
  <c r="Q51" i="3"/>
  <c r="Q52" i="3"/>
  <c r="Q54" i="3"/>
  <c r="Q56" i="3"/>
  <c r="Q57" i="3"/>
  <c r="Q59" i="3"/>
  <c r="Q60" i="3"/>
  <c r="Q12" i="3" l="1"/>
  <c r="Q13" i="3"/>
  <c r="Q15" i="3"/>
  <c r="Q17" i="3"/>
  <c r="Q19" i="3"/>
  <c r="Q20" i="3"/>
  <c r="Q21" i="3"/>
  <c r="Q23" i="3"/>
  <c r="Q25" i="3"/>
  <c r="Q27" i="3"/>
  <c r="Q32" i="3"/>
  <c r="Q38" i="3"/>
  <c r="Q39" i="3"/>
  <c r="Q33" i="3" l="1"/>
</calcChain>
</file>

<file path=xl/sharedStrings.xml><?xml version="1.0" encoding="utf-8"?>
<sst xmlns="http://schemas.openxmlformats.org/spreadsheetml/2006/main" count="5642" uniqueCount="881">
  <si>
    <t>Consejo Superior de la Judicatura</t>
  </si>
  <si>
    <t>Dirección  Seccional de Administración Judicial</t>
  </si>
  <si>
    <t>Cartagena - Bolívar</t>
  </si>
  <si>
    <t>OBSERVACIONES</t>
  </si>
  <si>
    <t>ITEM</t>
  </si>
  <si>
    <t>PROPONENTE / CRITERIO DE EVALUACION</t>
  </si>
  <si>
    <t>TOTAL PUNTAJE</t>
  </si>
  <si>
    <t>PUNTAJE</t>
  </si>
  <si>
    <t>PUNTAJE DIFERENCIAL PARA MIPYME
(0,25 PUNTOS)</t>
  </si>
  <si>
    <t>PUNTAJE DIFERENCIAL EMPRENDIMIENTO Y EMPRESAS DE MUJERES (0,25 PUNTOS)</t>
  </si>
  <si>
    <t>CONSORCIO PLC</t>
  </si>
  <si>
    <t>CONSORCIO NEXUS JUDICIAL</t>
  </si>
  <si>
    <t>UNION TEMPORAL CARINCEL 2.0</t>
  </si>
  <si>
    <t>CONSORCIO PALACIO KASAF</t>
  </si>
  <si>
    <t>CONSORCIO CONSTRUCCIONES CIS</t>
  </si>
  <si>
    <t>CONSORCIO TEMIS</t>
  </si>
  <si>
    <t>CONSORCIO INGENIERIA DEL CARIBE</t>
  </si>
  <si>
    <t>CONSORCIO PALACIO LC</t>
  </si>
  <si>
    <t>C PRO</t>
  </si>
  <si>
    <t>CONSORCIO CONACERO 2026</t>
  </si>
  <si>
    <t>PALATIUM CS</t>
  </si>
  <si>
    <t>CONSORCIO CONSTRUCTORES 2026</t>
  </si>
  <si>
    <t>CONSORCIO PALACIO 2027</t>
  </si>
  <si>
    <t>CONSORCIO R.M.C. 2026</t>
  </si>
  <si>
    <t>CONSORCIO PALACIO DE JUSTICIA</t>
  </si>
  <si>
    <t>CONSORCIO JUSTICIA</t>
  </si>
  <si>
    <t>CONSORCIO YOSHER</t>
  </si>
  <si>
    <t>CONSORCIO PMB</t>
  </si>
  <si>
    <t>CONSORCIO AE-2</t>
  </si>
  <si>
    <t>CONSORCIO JUSTICIA Y PROGRESO</t>
  </si>
  <si>
    <t>CONSORCIO CONSTRUPALACIO SEV.</t>
  </si>
  <si>
    <t>CONSORCIO OBRAS JUDICIALES</t>
  </si>
  <si>
    <t>CONSORCIO PALACIO DE MAGANGUÉ.</t>
  </si>
  <si>
    <t>CONSORCIO SOCISER MAGANGUE</t>
  </si>
  <si>
    <t>CONSORCIO PALACIO XP</t>
  </si>
  <si>
    <t>BROKA S.A.S</t>
  </si>
  <si>
    <t>CONSORCIO INFRAESTRUCTURA JUDICIAL</t>
  </si>
  <si>
    <t>CONSORCIO PALACIO MAGANGUE</t>
  </si>
  <si>
    <t>CONSORCIO JUSTICIA MAGANGUÉ 2026</t>
  </si>
  <si>
    <t>C TRIUNFO MO</t>
  </si>
  <si>
    <t>CONSORCIO RJ DUOVAL 2026</t>
  </si>
  <si>
    <t>CONSORCIO PALACIO DE JUSTICIA C&amp;E</t>
  </si>
  <si>
    <t>CEDIF2627</t>
  </si>
  <si>
    <t>CONSORCIO INFRAESTRUCTURA BOLIVAR MGD</t>
  </si>
  <si>
    <t>CONSORCIO PAL. JUSTICIA</t>
  </si>
  <si>
    <t>CONSORCIO JUDICATURA MAGANGUÉ</t>
  </si>
  <si>
    <t>UNION TEMPORAL DE LOS RIOS</t>
  </si>
  <si>
    <t>CONSORCIO DIKÉ</t>
  </si>
  <si>
    <t>GEOCIVA SAS</t>
  </si>
  <si>
    <t>CONSORCIO BCHC</t>
  </si>
  <si>
    <t>CONSORCIO FR</t>
  </si>
  <si>
    <t>JALCONS GROUP S.A.S</t>
  </si>
  <si>
    <t>GRUPO MORE SAS</t>
  </si>
  <si>
    <t>CONSORCIO OBRAS BTR</t>
  </si>
  <si>
    <t>CONSORCIO CONSTRU JUSTICIA IE</t>
  </si>
  <si>
    <t>CONSORCIO JUDICATURA BOLIVAR</t>
  </si>
  <si>
    <t>IMPLEMENTACIÓN DEL PROGRAMA DE GERENCIA DE PROYECTOS
(3 PUNTOS )</t>
  </si>
  <si>
    <t>DISPONIBILIDAD Y CONDICIONES FUNCIONALES DE LA MAQUINARIA DE OBRA
(2 PUNTOS )</t>
  </si>
  <si>
    <t>PRESENTACIÓN DE UN PLAN DE CALIDAD 
(5 PUNTOS )</t>
  </si>
  <si>
    <t>Formato 7A</t>
  </si>
  <si>
    <t>Formato 7B</t>
  </si>
  <si>
    <t>Formato 7C</t>
  </si>
  <si>
    <t>CRITERIOS AMBIENTALES
(15 PUNTOS )</t>
  </si>
  <si>
    <t>Formato 12B</t>
  </si>
  <si>
    <t>Formato 12A</t>
  </si>
  <si>
    <t>CRITERIO SOCIAL 
(5 PUNTOS )</t>
  </si>
  <si>
    <t>APOYO A LA INDIUSTRIA NACIONAL 
(20 PUNTOS )</t>
  </si>
  <si>
    <t>Formato 9</t>
  </si>
  <si>
    <t>Formato 13</t>
  </si>
  <si>
    <t>Licitación Pública No. 01 de 2026</t>
  </si>
  <si>
    <r>
      <t>OBJETO</t>
    </r>
    <r>
      <rPr>
        <sz val="12"/>
        <rFont val="Arial"/>
        <family val="2"/>
      </rPr>
      <t>:  Construcción del Palacio de Justicia de Magangué Bolívar - Licitación Pública No. 1-2026</t>
    </r>
  </si>
  <si>
    <t>VINCULACIÓN DE PERSONAS CON DISCAPACIDAD
(1 PUNTO)</t>
  </si>
  <si>
    <t>EVALUACION FINANCIERA</t>
  </si>
  <si>
    <t>EVALUACION JURIDICA</t>
  </si>
  <si>
    <t>EXPERIENCIA GENERAL</t>
  </si>
  <si>
    <t>K RESIDUAL</t>
  </si>
  <si>
    <t>INDICE LIQUIDEZ</t>
  </si>
  <si>
    <t xml:space="preserve"> =</t>
  </si>
  <si>
    <t>ACTIVO CORRIENTE</t>
  </si>
  <si>
    <t>=</t>
  </si>
  <si>
    <t>PASIVO CORRIENTE</t>
  </si>
  <si>
    <t>INDICE DE ENDEUDAMIENTO</t>
  </si>
  <si>
    <t>PASIVO TOTAL</t>
  </si>
  <si>
    <t>ACTIVO TOTAL</t>
  </si>
  <si>
    <t>CAPITAL DE TRABAJO</t>
  </si>
  <si>
    <t>ACTIVO CORRIENTE (MENOS) PASIVO CORRIENTE</t>
  </si>
  <si>
    <t>RAZON DE COBERTURA</t>
  </si>
  <si>
    <t>UTILIDAD OPERACIONAL</t>
  </si>
  <si>
    <t>GASTOS DE INTERESES</t>
  </si>
  <si>
    <t>RENTABILIDAD DEL PATRIMONIO</t>
  </si>
  <si>
    <t>PATRIMONIO</t>
  </si>
  <si>
    <t>RENTABILIDAD DEL ACTIVO</t>
  </si>
  <si>
    <t>ACTIVO</t>
  </si>
  <si>
    <t xml:space="preserve">CONSORCIO PRO PALACIO </t>
  </si>
  <si>
    <t xml:space="preserve">CONSORCIO PALATIUM CS. </t>
  </si>
  <si>
    <t>CONSORCIO PALACIO JUDICIAL</t>
  </si>
  <si>
    <t>CONSORCIO ID PALACIO</t>
  </si>
  <si>
    <t>Consorcio AE-2</t>
  </si>
  <si>
    <t>BROKA CONSTRUCCIONES E INTERVENTORIAS S.A.S NIT:901167911-0</t>
  </si>
  <si>
    <t xml:space="preserve">Consorcio TRIUNFO MO. </t>
  </si>
  <si>
    <t xml:space="preserve">Consorcio Edificaciones 2627 </t>
  </si>
  <si>
    <t>Consorcio Pal. JUSTICIA</t>
  </si>
  <si>
    <t>GEOCIVA SAS NIT:800252171-4</t>
  </si>
  <si>
    <t>INDETERMINADO</t>
  </si>
  <si>
    <t>JALCONS GROUP S.A.S NIT:800180302-2</t>
  </si>
  <si>
    <t>GRUPO MORE S.A.S
NIT:829001262-5</t>
  </si>
  <si>
    <t>EVALUACION FINANCIERA Y ORGANIZACIONAL LICITACION PUBLICA LP N°01-2026</t>
  </si>
  <si>
    <t>MIPYME</t>
  </si>
  <si>
    <t>NO CONDICION MIPYME</t>
  </si>
  <si>
    <t>No.</t>
  </si>
  <si>
    <t>PROPONENTES</t>
  </si>
  <si>
    <t>CAPACIDAD FINANCIERA</t>
  </si>
  <si>
    <t>CAPACIDAD ORGANIZACIONAL</t>
  </si>
  <si>
    <t>Indice de Liquidez</t>
  </si>
  <si>
    <t>Indice de Endeudamiento</t>
  </si>
  <si>
    <t>Capital de trabajo</t>
  </si>
  <si>
    <t>Razon de Cobertura de Intereses</t>
  </si>
  <si>
    <t>Rentabilidad del Patrimonio</t>
  </si>
  <si>
    <t>Rentabilidad del Activo</t>
  </si>
  <si>
    <t>&gt; = 1.20</t>
  </si>
  <si>
    <t>&lt; = 0.75</t>
  </si>
  <si>
    <t>&gt; = $3.634.088.913</t>
  </si>
  <si>
    <t>&gt; =  0,50</t>
  </si>
  <si>
    <t>&gt; =0.02</t>
  </si>
  <si>
    <t>&gt; =0.01</t>
  </si>
  <si>
    <t>&gt; = 1.30</t>
  </si>
  <si>
    <t>&gt; =  1</t>
  </si>
  <si>
    <t>&gt; =0.04</t>
  </si>
  <si>
    <t>NO CUMPLE</t>
  </si>
  <si>
    <t>NO CUMPLE , POR NO CUMPLIR CON EL INDICADOR FINANCIERO DE CAPITAL DE TRABAJO</t>
  </si>
  <si>
    <t>GUSTAVO E. TORRES VELEZ</t>
  </si>
  <si>
    <t>Coordinador Financiero DSAJ Cartagena</t>
  </si>
  <si>
    <t>VALOR TOTAL</t>
  </si>
  <si>
    <t>RESULTADO INDICADOR</t>
  </si>
  <si>
    <t xml:space="preserve"> CONSTRUCTORA ML S.A.S. N.I.T: 901.729.748-9</t>
  </si>
  <si>
    <t>TAMAÑO DE LA EMPRESA</t>
  </si>
  <si>
    <t>PEQUEÑA EMPRESA</t>
  </si>
  <si>
    <t>VALOR RUP</t>
  </si>
  <si>
    <t>% PARTICIPACION CONSORCIO</t>
  </si>
  <si>
    <t>VR.APORTADO CONSORCIO</t>
  </si>
  <si>
    <t xml:space="preserve">   =</t>
  </si>
  <si>
    <t>CONSTRUCTORA CARIBE NORTE S.A.S
NIT:901441594-3</t>
  </si>
  <si>
    <t>GRAN EMPRESA</t>
  </si>
  <si>
    <t>MEDIANA EMPRESA</t>
  </si>
  <si>
    <t>CARVEPA SAS NIT.901.253.844-3</t>
  </si>
  <si>
    <t>INCEL SAS NIT.807.008.376-8</t>
  </si>
  <si>
    <t xml:space="preserve">SAFRID INGENIERIA SAS NIT 900.520.848-4 </t>
  </si>
  <si>
    <t xml:space="preserve">CONSTRUCTORA KASAF SAS NIT 901.624.579-9 </t>
  </si>
  <si>
    <t xml:space="preserve">IGL INGENIERIA SAS   NIT 901.825.102-2 </t>
  </si>
  <si>
    <t xml:space="preserve">CONCREA SERVICIOS SAS NIT 901.713.698-9 
</t>
  </si>
  <si>
    <t>Micro empresa</t>
  </si>
  <si>
    <t>CONSTRUCCIONES E INVERSIONES ESTELAR SAS
NIT: 901352057 8</t>
  </si>
  <si>
    <t>ARQQOR ASOCIADOS S.A.S.
NIT: 900163972 8</t>
  </si>
  <si>
    <t>ISMAEL ENRIQUE GUTIERREZ HERRERA
NIT: 19379912 9</t>
  </si>
  <si>
    <t>RECHAZADO</t>
  </si>
  <si>
    <t>INGENIERÍA COLOMBIANA MONTERUBIO S.A.S. NIT:901437738-1</t>
  </si>
  <si>
    <t>MALU PROYECTOS E INVERSIONES S.A.S
NIT:901307376-1</t>
  </si>
  <si>
    <t xml:space="preserve">CUANTICO INGENIERIA SAS NIT: 901.505.921-5 </t>
  </si>
  <si>
    <t xml:space="preserve">LOPECA SAS
NIT: 891.001.419-1 </t>
  </si>
  <si>
    <t xml:space="preserve">PROYECTOS Y GESTION DEL DESARROLLO S.A.S.  
NIT: 900.508.212-1 </t>
  </si>
  <si>
    <t xml:space="preserve">TEKTO INGENIERIA S.A.S. NIT 901.278.575-5 </t>
  </si>
  <si>
    <t xml:space="preserve">ACERO MÁS CONCRETS.A.S.
NIT. 900.693.827-1 </t>
  </si>
  <si>
    <t xml:space="preserve">CONCIVE S.A.S
NIT. 800.207.914-9 </t>
  </si>
  <si>
    <t>Mediana empresa</t>
  </si>
  <si>
    <t>Pequeña empresa</t>
  </si>
  <si>
    <t xml:space="preserve">CONALTEC INGENIERÍA SAS  900.630.271-7 </t>
  </si>
  <si>
    <t xml:space="preserve">SOCIEDAD COLOMBIANA DE INGENIERÍA Y CONSTRUCCIÓN SAS NIT 901.392.890-8 </t>
  </si>
  <si>
    <t>MICROEMPRESA</t>
  </si>
  <si>
    <t xml:space="preserve">CONCITEC SAS NIT 830.000.636 </t>
  </si>
  <si>
    <t>TRAZZO PROYECTOS DISEÑOS SAS 
NIT 901.910.700</t>
  </si>
  <si>
    <t>PAOLA LOPEZ TRIVIÑO CC 52.215.791</t>
  </si>
  <si>
    <t xml:space="preserve">JESUS JOHANN BUENDIA RODIRGUEZ
CC 79.513.611 </t>
  </si>
  <si>
    <t>TRE-D INGENIERIA Y SOLUCIONES S.A.S
NIT: 901734321 8</t>
  </si>
  <si>
    <t>JASA LTDA.
NIT:800177012-0</t>
  </si>
  <si>
    <t>R.R. CONSTRUCIVILES S.A.S.
NIT:901231669-6</t>
  </si>
  <si>
    <t>CIVILEC S.A.S.
NIT:800055245-6</t>
  </si>
  <si>
    <t>SUAREZ VEGA MARCO FIDEL
NIT:73126045-9</t>
  </si>
  <si>
    <t>EBM CONSTRUCCIONES E INTERVENTORIAS S.A.S
NIT:901333170-1</t>
  </si>
  <si>
    <t>CERVANTES CEBALLOS JESUS ARMANDO
NIT:19691435-3</t>
  </si>
  <si>
    <t>CARLOS ALFONSO MORENO MUÑOZ
NIT: 7310251 8</t>
  </si>
  <si>
    <t>CONSTRUCTORA ZURIA SAS
NIT:900626021-7</t>
  </si>
  <si>
    <t xml:space="preserve"> DISEÑOS Y CONSTRUCCIONES GUSCAS S. A.S. 
 NIT. 901.042.214-8</t>
  </si>
  <si>
    <t xml:space="preserve"> MARTINEZ CABALLERO SAS
 NIT. 890.403.530-1 </t>
  </si>
  <si>
    <t>INTERASOCIADOS ROCARTECH S.A.S.
NIT: 901.901.363 - 3</t>
  </si>
  <si>
    <t>DINATEL GROUP S.A.S.
NIT: 900.433.545 - 5</t>
  </si>
  <si>
    <t>BR INGENIERIA &amp; CONSULTORES S.A.S
NIT:901628407-9</t>
  </si>
  <si>
    <t>JLN INGENIERIA S.A.S.
NIT:901671538-7</t>
  </si>
  <si>
    <t>N&amp;G INTERCON S.A.S.
NIT: 901.544.446 - 4</t>
  </si>
  <si>
    <t>NOMBRE:EE INGENIERIA S.A.S
NIT:900969055-9</t>
  </si>
  <si>
    <t>Equipos e Ingeniería del Caribe SAS 
NIT 900.267.736-3</t>
  </si>
  <si>
    <t xml:space="preserve">Asircon Contratistas SAS
NIT 806.009.604-3 </t>
  </si>
  <si>
    <t>Alvaro Fonnegra Jaramillo 
CC 19.130.480</t>
  </si>
  <si>
    <t>OBRAS INTERVENTORIAS Y SUMINISTROS S.A.S
NIT:900974081-0</t>
  </si>
  <si>
    <t>SOLUCIONES E INGENIERIA DEL CARIBE S.A.S.
NIT:901246236-6</t>
  </si>
  <si>
    <t>SION INGENIERIA Y CONSTRUCCION S.A.S.
NIT: 901.832.001 - 6</t>
  </si>
  <si>
    <t>NOMBRE:INCIL INGENIEROS CIVILES S.A.S.
SIGLA:INCIL S.A.S</t>
  </si>
  <si>
    <t>ARCA INGENIERIA Y CONSTRUCCIONES SAS
N.I.T: 901.766.686-8</t>
  </si>
  <si>
    <t xml:space="preserve"> URBACONSTRUCCIONES DEL CARIBE SAS 
 NIT. 901.977.879-8</t>
  </si>
  <si>
    <t xml:space="preserve"> CONCRETO &amp; ASFALTO LP SAS
 NIT. 901.801.637-7 </t>
  </si>
  <si>
    <t>SERVICONSTRUCCIONES DEL CARIBE S.A.S.
NIT:900383477-7</t>
  </si>
  <si>
    <t>SOCITEC S.A.S
NIT: 800156828 3</t>
  </si>
  <si>
    <t>EQUICON INGENIERIA SAS
NIT:901057471-1</t>
  </si>
  <si>
    <t>PANAMERA CONSTRUCTORA S.A.S
NIT: 901.556.992 - 6</t>
  </si>
  <si>
    <t>ESTUDIOS CONSULTORIAS Y OBRAS S.A.S
NIT:901438268-6</t>
  </si>
  <si>
    <t>ACTIVIDADES DE CONSTRUCCION S.A.S ZOMAC
NIT:901906231-2</t>
  </si>
  <si>
    <t>GRUPO GRAND CONSTRUCCIONES S.A.S
NIT:901775959-1</t>
  </si>
  <si>
    <t>INGENIERIA Y CONSTRUCCIONES SAN FRANCISCO SAS
NIT: 901663824 5</t>
  </si>
  <si>
    <t>NESTOR ROJAS TORRES
NIT: 3249514 5</t>
  </si>
  <si>
    <t>GESTION EMPRESARIAL CONSTRUCIVIL SAS
NIT: 900802687 6</t>
  </si>
  <si>
    <t>CONSTRUCTORA ANJOR SAS
NIT: 900712367 8</t>
  </si>
  <si>
    <t>MIA GRUPO EMPRESARIAL SAS
NIT: 901415289 1</t>
  </si>
  <si>
    <t>GRUPO OK S.A.S
NIT: 900452021 9</t>
  </si>
  <si>
    <t xml:space="preserve">DESARROLLOS URBANOS Y OBRAS  CIVILES SAS NIT: 901.706.520-8 </t>
  </si>
  <si>
    <t xml:space="preserve">CONSTRUVAL INGENIERIA SAS  NIT: 900.264.302-7 </t>
  </si>
  <si>
    <t>EMSAAC INGENIERIA S.A.S
NIT: 901920735 0</t>
  </si>
  <si>
    <t>COMPAÑIA DE TRABAJOS DE INGENIERIA S.A.S. SIGLA COTRAING S.A.S. NIT: 900.760.997 - 2</t>
  </si>
  <si>
    <t>Gran empresa</t>
  </si>
  <si>
    <t>CMAA S.A.S.
NIT:900224274-8</t>
  </si>
  <si>
    <t>CONSTRUCCIONES CIVILES DEL ATLANTICO S.A.S. NIT: 901.355.791 - 1</t>
  </si>
  <si>
    <t xml:space="preserve">MR GROUP COL SAS - NIT. 901.187.401-1 </t>
  </si>
  <si>
    <t xml:space="preserve">GRUPO TITANIUM S.A.S - NIT. 900.749.719-7 </t>
  </si>
  <si>
    <t xml:space="preserve">DOMO ACÚSTICA S.A.S - NIT. 900.499.791-4 </t>
  </si>
  <si>
    <t>BARMAR CONSTRUCCIONES S.A.S  NIT 901.234.686-5</t>
  </si>
  <si>
    <t>GRUPO EGV CONSTRUCCIONES ZOMAC S.A.S. NIT 901.613.617-3</t>
  </si>
  <si>
    <t>C H M INGENIERIA S A S
NIT: 901059450 4</t>
  </si>
  <si>
    <t>NESTOR ALFONSO ORTIZ BELLO NIT: 79109085 3</t>
  </si>
  <si>
    <t>INDUSTRIAS Y TRANSPORTES S.A.S ZESE NIT.901598212-1</t>
  </si>
  <si>
    <t>CONSTRUCCIONES Y MONTAJES EMMI S.A.S NIT.900.523.351-1</t>
  </si>
  <si>
    <t>BCH ENGINEERING S.A.S
NIT: 901.393.606 - 7</t>
  </si>
  <si>
    <t>CONSULTCARIBE S.A.S.
NIT: 901.582.796 - 9</t>
  </si>
  <si>
    <t>FERNANDO RAMIREZ S.A.S.
NIT: 800242107 1</t>
  </si>
  <si>
    <t>VICTOR FERNANDO RAMIREZ GASCA NIT: 12272097 4</t>
  </si>
  <si>
    <t>REINGENIERIA INTEGRAL S.A.S
NIT:901358559-0</t>
  </si>
  <si>
    <t>BATARQ DISEÑO &amp; CONSTRUCCIONES SAS
NIT:901505774-9</t>
  </si>
  <si>
    <t xml:space="preserve">INFRAESTRUCTURA TECNICA COLOMBIANA SAS NIT: 901.039.037-1 </t>
  </si>
  <si>
    <t xml:space="preserve">GEMA GERENCIA Y MAQUINARIA SAS  NIT:901.636.784-4
 </t>
  </si>
  <si>
    <t>NOMBRE:INCONTAP SAS ZESE NIT:901598133-6</t>
  </si>
  <si>
    <t>EDC PROYECTOS S.A.S.
NIT: 901.352.333 - 6</t>
  </si>
  <si>
    <t>DISEÑOS, OBRAS Y CONSTRUCCIONES CIVIL WORLD S.A.S NIT:901378027-1</t>
  </si>
  <si>
    <t>H&amp;M OBRAS Y CONSTRUCCIONES S.A.S
NIT:901755566-5</t>
  </si>
  <si>
    <t>SE RECHAZA VER "RESUMEN DE INDICADORES"</t>
  </si>
  <si>
    <t>SE RECHAZA VER "PRELIMINAR EXPERIENCIA"</t>
  </si>
  <si>
    <t>CUMPLE</t>
  </si>
  <si>
    <t>NO CUMPLE
NO CUMPLE LITERAL H DEL NUMERAL 3.5.1 CARACTERÍSTICAS DE LOS CONTRATOS PRESENTADOS PARA ACREDITAR LA EXPERIENCIA EXIGIDA</t>
  </si>
  <si>
    <t>NO CUMPLE
NO CUMPLE CON EL LITERAL D DEL NUMERAL 3.5.2 CONSIDERACIONES PARA LA VALIDEZ DE LA EXPERIENCIA REQUERIDA</t>
  </si>
  <si>
    <t>NO CUMPLE
Por lo menos uno (1) de los contratos válidos aportados como experiencia general debe contemplar un área construida igual y/o superior al 50% del total de metros cuadrados del proceso de selección, el cuál corresponde a 3363,37 m2
SE APLICA EL LITERAL G DEL NUMERAL 3.5.2 CONSIDERACIONES PARA LA VALIDEZ DE LA EXPERIENCIA REQUERIDA</t>
  </si>
  <si>
    <t>NO CUMPLE
NO CUMPLE LO ESTABLECIDO CON EL NUEMRAL 3.5.8. RELACIÓN DE LOS CONTRATOS FRENTE AL PRESUPUESTO OFICIAL</t>
  </si>
  <si>
    <t>SE RECHAZA VER "K RESIDUAL"</t>
  </si>
  <si>
    <t>NO CUMPLE
Dentro de la información aportada no se encuentran documentos financieros que permitan determinar el mejor ingreso operacional del integrante IGL INGENIERIA SAS (Debe subsanar)</t>
  </si>
  <si>
    <t>NO CUMPLE VER "EVALUACIÓN JURÍDICA"</t>
  </si>
  <si>
    <t>Dirección Ejecutiva Seccional de Administración Judicial</t>
  </si>
  <si>
    <t>H&amp;M OBRAS Y CONSTRUCCIONES SAS</t>
  </si>
  <si>
    <t>EDC PROYECTOS SAS</t>
  </si>
  <si>
    <t>INCONTAP SAS ZESE</t>
  </si>
  <si>
    <t>BATARQ DISEÑO &amp; CONSTRUCCIONES SAS</t>
  </si>
  <si>
    <t>FERNANDO RAMIREZ SAS</t>
  </si>
  <si>
    <t>BCH ENGINEERING S.A.S</t>
  </si>
  <si>
    <t>CONSTRUCCIONES Y
MONTAJES EMMI S.A.S</t>
  </si>
  <si>
    <t>NESTOR ALFONSO ORTIZ BELLO</t>
  </si>
  <si>
    <t>BARMAR CONSTRUCCIONES S.A.S</t>
  </si>
  <si>
    <t>GRUPO EGV CONSTRUCCIONES ZOMAC S.A.S.</t>
  </si>
  <si>
    <t>MR GROUP COL SAS</t>
  </si>
  <si>
    <t>CONSTRUCCIONES, MOVIMIENTOS, ASESORIAS Y ALQUILERES S.A.S.</t>
  </si>
  <si>
    <t>CONSTRUCCIONES CIVILES DEL ATLANTICO S.A.S.</t>
  </si>
  <si>
    <t>COTRAING SAS</t>
  </si>
  <si>
    <t>DESARROLLOS URBANOS Y OBRAS CIVILES SAS</t>
  </si>
  <si>
    <t>MIA GRUPO EMPRESARIAL SAS</t>
  </si>
  <si>
    <t>INGENIERIA Y CONSTRUCCIONES SAN FRANCISCO SAS</t>
  </si>
  <si>
    <t>EQUICON INGENIERIA SAS</t>
  </si>
  <si>
    <t>INCIL INGENIEROS CIVILES S.A.S.</t>
  </si>
  <si>
    <t>SION INGENIERIA Y CONSTRUCCION SAS</t>
  </si>
  <si>
    <t>ENTRE OBRAS SAS</t>
  </si>
  <si>
    <t>OBRAS INTERVENTORIAS Y SUMINISTROS S.A.S</t>
  </si>
  <si>
    <t>MARTINEZ CABALLERO SAS</t>
  </si>
  <si>
    <t>JESUS ARMANDO CERVANTES CEBALLOS</t>
  </si>
  <si>
    <t>CARVEPA SAS</t>
  </si>
  <si>
    <t>N/A</t>
  </si>
  <si>
    <t>Rama Judicial del Poder Público</t>
  </si>
  <si>
    <t>Sala Adminstrativa</t>
  </si>
  <si>
    <t>Informe de Evaluación Jurídica Licitación Públlica LP-01 de 2026</t>
  </si>
  <si>
    <t>Objeto: Construcción del Palacio de Justicia de Magangué Bolívar</t>
  </si>
  <si>
    <t>DOCUMENTOS DE REVISIÓN</t>
  </si>
  <si>
    <t>1. CONSORCIO PLC</t>
  </si>
  <si>
    <t>2. CONSORCIO NEXUS JUDICIAL</t>
  </si>
  <si>
    <t>3. UNION TEMPORAL CARINCEL 2.0</t>
  </si>
  <si>
    <t>4. CONSORCIO PALACIO KASAF</t>
  </si>
  <si>
    <t>5. CONSORCIO CONSTRUCCIONES CIS</t>
  </si>
  <si>
    <t>6. CONSORCIO TEMIS</t>
  </si>
  <si>
    <t>7. CONSORCIO INGENIERIA DEL CARIBE</t>
  </si>
  <si>
    <t>8. CONSORCIO PALACIO LC</t>
  </si>
  <si>
    <t>9. C PRO PALACIO</t>
  </si>
  <si>
    <t>10. CONSORCIO CONACERO 2026</t>
  </si>
  <si>
    <t>11. CONSORCIO PALATIUM</t>
  </si>
  <si>
    <t>12. CONSORCIO CONSTRUCTORES 2026</t>
  </si>
  <si>
    <t>13.CONSORCIO PALACIO 2027</t>
  </si>
  <si>
    <t>14. CONSORCIO R.M.C. 2026</t>
  </si>
  <si>
    <t>16. CONSORCIO JUSTICIA</t>
  </si>
  <si>
    <t>17.CONSORCIO PALACIO DE JUSTICIA</t>
  </si>
  <si>
    <t>18. ID PALACIO</t>
  </si>
  <si>
    <t>19.CONSORCIO YOSHER</t>
  </si>
  <si>
    <t>20.CONSORCIO PMB</t>
  </si>
  <si>
    <t>21.CONSORCIO AE-2</t>
  </si>
  <si>
    <t>22.CONSORCIO JUSTICIA Y PROGRESO</t>
  </si>
  <si>
    <t>23.CONSORCIO CONSTRUPALACIO SEV</t>
  </si>
  <si>
    <t>24.CONSORCIO OBRAS JUDICIALES</t>
  </si>
  <si>
    <t>25.CONSORCIO PALACIO DE MAGANGUÉ</t>
  </si>
  <si>
    <t>26. CONSORCIO SOCISER MAGANGUE</t>
  </si>
  <si>
    <t>27.CONSORCIO PALACIO XP</t>
  </si>
  <si>
    <t>29.CONSORCIO INFRAESTRUCTURA JUDICIAL</t>
  </si>
  <si>
    <t>30.CONSORCIO PALACIO MAGANGUE</t>
  </si>
  <si>
    <t>31. CONSORCIO JUSTICIA MAGANAGUÉ 2026</t>
  </si>
  <si>
    <t>32. C TRIUNFO MO</t>
  </si>
  <si>
    <t>33. CONSORCIO RJ DUOVAL</t>
  </si>
  <si>
    <t>34. CONSORCIO PALACIO DE JUSTICIA C&amp;E</t>
  </si>
  <si>
    <t>35. CEDIF2627</t>
  </si>
  <si>
    <t>36. CONSORCIO INFRAESTRUCTURA BOLIVAR MGD</t>
  </si>
  <si>
    <t>37. CONSORCIO PAL. JUSTICIA</t>
  </si>
  <si>
    <t>38. CONSORCIO JUDICATURA MAGANGUE</t>
  </si>
  <si>
    <t>39. UNION TEMPORAL DE LOS RIOS</t>
  </si>
  <si>
    <t>40. CONSORCIO DIKÉ</t>
  </si>
  <si>
    <t>42. CONSORCIO BCHC</t>
  </si>
  <si>
    <t>43.CONSORCIO FR</t>
  </si>
  <si>
    <t>44. JALCONS GROUP SAS</t>
  </si>
  <si>
    <t>45. GRUPO MORE SAS</t>
  </si>
  <si>
    <t>46. CONSORCIO OBRAS BTR</t>
  </si>
  <si>
    <t>47. CONSORCIO PALACIO MAGANGUE</t>
  </si>
  <si>
    <t>48. CONSORCIO CONSTRU JUSTICIA IE</t>
  </si>
  <si>
    <t>49. CONSORCIO JUDICATURA BOLIVAR</t>
  </si>
  <si>
    <t>AARCON SAS</t>
  </si>
  <si>
    <t>CONSTRUCTORA ML SAS</t>
  </si>
  <si>
    <t>LOAR INGENIEROS SAS</t>
  </si>
  <si>
    <t>CONSTRUCTORA CARIBE NORTE SAS</t>
  </si>
  <si>
    <t>INVERSIONES CARIBE SIGLO XXI SAS</t>
  </si>
  <si>
    <t>INCEL LTDA.</t>
  </si>
  <si>
    <t>SAFRID INGENIERIA SAS</t>
  </si>
  <si>
    <t>CONSTRUCTORA KASAF SAS</t>
  </si>
  <si>
    <t xml:space="preserve">IGL INGENIERIA SAS </t>
  </si>
  <si>
    <t xml:space="preserve">CONCREA SERVICIOS SAS </t>
  </si>
  <si>
    <t>CONSTRUCCIONES E INVERSIONES ESTELAR SAS</t>
  </si>
  <si>
    <t>ARQQOR ASOCIADOS SAS</t>
  </si>
  <si>
    <t>ISMAEL ENRIQUE GUTIERREZ</t>
  </si>
  <si>
    <t xml:space="preserve">INGENIERIA COLOMBIANA MONTERUBIO SAS </t>
  </si>
  <si>
    <t>MALU PROYECTOS E INVERSIONES SAS</t>
  </si>
  <si>
    <t>CUANTICO INGENIERIA SAS</t>
  </si>
  <si>
    <t xml:space="preserve">LOPECA SAS  </t>
  </si>
  <si>
    <t>PROYECTOS Y GESTION DEL DESARROLLO S.A.S.</t>
  </si>
  <si>
    <t>TEKTO INGENIERIA S.A.S.</t>
  </si>
  <si>
    <t>ACERO MÁS CONCRETO S.A.S.</t>
  </si>
  <si>
    <t>CONCIVE S.A.S</t>
  </si>
  <si>
    <t>CONALTEC INGENIERÍA SAS</t>
  </si>
  <si>
    <t>SOCIEDAD COLOMBIANA DE INGENIERÍA Y CONSTRUCCIÓN SAS</t>
  </si>
  <si>
    <t>CONCITEC SAS</t>
  </si>
  <si>
    <t>TRAZZO PROYECTOS DISEÑOS SAS</t>
  </si>
  <si>
    <t>PAOLA LOPEZ TRIVIÑO</t>
  </si>
  <si>
    <t>JESUS JOHANN BUENDIA RODIRGUEZ</t>
  </si>
  <si>
    <t>TRE-D INGENIERIA Y  SOLUCIONES SAS</t>
  </si>
  <si>
    <t>JASA LTDA</t>
  </si>
  <si>
    <t>R.R. CONSTRUCIVILES S.A.S</t>
  </si>
  <si>
    <t>MARCO FIDEL SUAREZ VEGA</t>
  </si>
  <si>
    <t>CIVILEC S.A.S</t>
  </si>
  <si>
    <t>EBM CONSTRUCCIONES 
E INTERVENTORIAS 
S.A.S</t>
  </si>
  <si>
    <t>CARLOS ALFONSO MORENO 
MUÑOZ</t>
  </si>
  <si>
    <t>CONSTRUCTORA ZURIA SAS</t>
  </si>
  <si>
    <t>DISEÑOS Y CONSTRUCCIONES GUSCAS S.A.S.</t>
  </si>
  <si>
    <t>INTERASOCIADOS ROCARTECH SAS</t>
  </si>
  <si>
    <t>DINATEL GROUP SAS</t>
  </si>
  <si>
    <t>BR Ingeniería &amp; Consultores SAS</t>
  </si>
  <si>
    <t xml:space="preserve">JLN Ingeniería SAS </t>
  </si>
  <si>
    <t xml:space="preserve">N&amp;G Intercon SAS </t>
  </si>
  <si>
    <t>MEG OBRAS SAS.</t>
  </si>
  <si>
    <t>EE INGENIERIA SAS.</t>
  </si>
  <si>
    <t>Equipos e Ingeniería del Caribe SAS</t>
  </si>
  <si>
    <t>Asircon Contratistas SAS</t>
  </si>
  <si>
    <t>Alvaro Fonnegra Jaramillo</t>
  </si>
  <si>
    <t>SOLUCIONES E INGENIERIA DEL CARIBE S.A.S</t>
  </si>
  <si>
    <t>VARA CONSULTORIA Y CONSTRUCCIONES S.A.S</t>
  </si>
  <si>
    <t>ARCA INGENIERIA Y CONSTRUCCIONES SAS</t>
  </si>
  <si>
    <t>URBACONSTRUCCIONES DEL CARIBE SAS</t>
  </si>
  <si>
    <t>CONCRETO &amp; ASFALTO LP SAS</t>
  </si>
  <si>
    <t>SERVICONSTRUCCIONES DEL CARIBE SAS</t>
  </si>
  <si>
    <t>SOCITEC SAS</t>
  </si>
  <si>
    <t>PANAMERA CONSTRUCTORA SAS</t>
  </si>
  <si>
    <t>28.BROKA SAS</t>
  </si>
  <si>
    <t>ESTUDIOS CONSULTORIAS Y OBRAS S.A.S</t>
  </si>
  <si>
    <t>ACTIVIDADES DE CONSTRUCCION S.A.S ZOMAC</t>
  </si>
  <si>
    <t>GRUPO GRAND CONSTRUCCIONES SAS</t>
  </si>
  <si>
    <t>DISEÑOR Y CONSTRUCCIONES PT SAS</t>
  </si>
  <si>
    <t>NESTOR ROJAS TORRES</t>
  </si>
  <si>
    <t>GESTIÓN EMPRESARIAL
CONSTRUCIVIL S.A.S.</t>
  </si>
  <si>
    <t>CONSTRUCTORA ANJOR S.A.S.</t>
  </si>
  <si>
    <t>GRUPO OK SAS</t>
  </si>
  <si>
    <t>CONSTRUVAL INGENIERIA SAS</t>
  </si>
  <si>
    <t>EMSAAC INGENIERIA SAS</t>
  </si>
  <si>
    <t>GRUPO TITANIUM S.A.S</t>
  </si>
  <si>
    <t>DOMO ACÚSTICA S.A.S</t>
  </si>
  <si>
    <t>CHM INGENIERIA SAS</t>
  </si>
  <si>
    <t>M&amp;M INGENIEROS ASOCIADOS SAS.</t>
  </si>
  <si>
    <t>INDUSTRIAS Y
TRANSPORTES S.A.S ZESE</t>
  </si>
  <si>
    <t>41. GEOCIVA SAS</t>
  </si>
  <si>
    <t>CONSULTCARIBE S.A.S.</t>
  </si>
  <si>
    <t>VICTOR FERNANDO RAMIREZ GASCA</t>
  </si>
  <si>
    <t>ALVARO CAVIEDES CAVIEDES</t>
  </si>
  <si>
    <t>VICTOR ANTONIO MENDOZA VILLEGAS</t>
  </si>
  <si>
    <t>REINGENIERIA INTEGRAL SAS</t>
  </si>
  <si>
    <t>INFRAESTRUCTURA TECNICA COLOMBIANA SAS</t>
  </si>
  <si>
    <t>GEMA GERENCIA Y MAQUINARIA SAS</t>
  </si>
  <si>
    <t>DISEÑOS, OBRAS Y CONSTRUCCIONES CIVIL WOLD SAS</t>
  </si>
  <si>
    <t>Nit del proponente</t>
  </si>
  <si>
    <t>Nit. 900791011900791011-9 Juan Esteban Agudelo Arbelaez C.C. No.1152435238</t>
  </si>
  <si>
    <t>Nit.: 901729748-9  Miguel Mauricio Lozano Arbelaez C.C. No. 1039452337</t>
  </si>
  <si>
    <t xml:space="preserve">Nit. 901355263-2 Luis Alejandro Lozano Arbelaez C.C. No. 8031537  </t>
  </si>
  <si>
    <t>Nit. 901441594-3 Yesid Alberto Sierra Fernandez C.C. No. 1064993156</t>
  </si>
  <si>
    <t>Nit. 901128589-5   Yesid Alberto Sierra Fernandez C.C. No. 1064993156</t>
  </si>
  <si>
    <t>Nit. 901.253.844-3 Carlos Andres Velazquez Padilla C.C. No. 1090376085</t>
  </si>
  <si>
    <t>Nit. 807.008.376-8 German Martin Barrera Velazco C.C. 13479265</t>
  </si>
  <si>
    <t>NIT 900.520.848-4 Miguel Alexander Cerón Molina C.C No. 1082774968</t>
  </si>
  <si>
    <t>NIT 901.624.579-9 Miguel Alexander Cerón Molina C.C No. 1082774968</t>
  </si>
  <si>
    <t>NIT 901.825.102-2 German Alonso Ramirez Ayala C.C. No. 71775906</t>
  </si>
  <si>
    <t>NIT 901.713.698-9 Cesar Augusto Mercado Salas C.C. No. 92535661</t>
  </si>
  <si>
    <t>Nit. 901352057 8 Norma Patricia Luna Hernandez   C.C. No. 40441590</t>
  </si>
  <si>
    <t>Nit. 900163972 8 Sandra Milena Rivera 
Gomez C.C. No. 52534503</t>
  </si>
  <si>
    <t>Ismael Enrique GutierrezC.C. No. 10379912</t>
  </si>
  <si>
    <t>Nit. 901437738-1 Elkin Samuel Rubiano Rojas C.C. No.7141514</t>
  </si>
  <si>
    <t>Nit. 901307376-1 Deltry María Rodríguez López C.C. No. 49608472</t>
  </si>
  <si>
    <t>Nit. 901.505.921-5 Miguel Rafael Lengua Mejía  C.C. No. 78750910</t>
  </si>
  <si>
    <t>Nit: 891.001.419-1 Libardo José López Jiménez C.C. No. 11003275</t>
  </si>
  <si>
    <t>Nit. 900.508.212-1 Heraldo José Gutiérrez Villegas C.C. No. 9020626</t>
  </si>
  <si>
    <t>Nit.901.278.575-5 Carolina Valderrama Espinosa C.C. No. 1143344352</t>
  </si>
  <si>
    <t>Nit. 900.693.827-1 Andrés Felipez Moreno Monsalve C.C. No. 1128266544</t>
  </si>
  <si>
    <t>Nit. 800.207.914-9 Antonio Julio Corcho Rocha C.C. No. 8745208</t>
  </si>
  <si>
    <t xml:space="preserve">NIT:900.630.271-7 Jhessica Ximena Castaño Arias C.C. No. 1104695621
</t>
  </si>
  <si>
    <t>Nit: 901.901.363-3 Rosalba Briceño Espitia C.C.37221134</t>
  </si>
  <si>
    <t>Nit. 830.000.636 Jesus Johann Buendia Rodriguez C.C. No. 79513611</t>
  </si>
  <si>
    <t xml:space="preserve">Nit.: 901.910.700 Paola López Triviño C.C. No. 52215791 </t>
  </si>
  <si>
    <t>CC 52.215.791</t>
  </si>
  <si>
    <t>CC 79.513.611</t>
  </si>
  <si>
    <t>Nit:  901734321 8    Dayanna Alejandra Baquero Aguila, C.C. No. 1.121.918.202</t>
  </si>
  <si>
    <t>Nit:  800177012-0Salvador Arturo Montes Pabón, C.C. No. 13.459.803</t>
  </si>
  <si>
    <t xml:space="preserve"> Nit. 901231669-6 Judith Yesmo Navarro C.C. No. 45502248</t>
  </si>
  <si>
    <t>C.C. N° 73.126.045</t>
  </si>
  <si>
    <t>Nit. 800055245-6 Ronald Grander Quintana. C.C. No. 73096089</t>
  </si>
  <si>
    <t>Nit : 901333170-1 Ever de Jesús Castillo Jimeno C.C. No. 1047451172</t>
  </si>
  <si>
    <t>C. C. 19.691.435</t>
  </si>
  <si>
    <t>C.C. No. 7.310.251</t>
  </si>
  <si>
    <t>Nit No. 900.626.021-7 Karen Liceth Virguez Rodriguez. C.C. No. 1.053.334.125</t>
  </si>
  <si>
    <t>NIT. 901.042.214-8 AngieVanessa Mosquera Villamil C.C. No. 1099215868</t>
  </si>
  <si>
    <t>Nit. 890.403.530-1 Carlos Augusto Martinez Noriega  C.C. No. 9080094</t>
  </si>
  <si>
    <t>Nit. 901.901.363-3 Carlos Cesar Rocha Velasco  C.C. No. 8677575</t>
  </si>
  <si>
    <t>Nit. 900.433.545-5 Carlos Fernando Lemus Santana  C.C. No. 72270165</t>
  </si>
  <si>
    <t>Nit : 901628407-9 Diego Leon Burgos Alvarez, C.C. No.  2.757.058</t>
  </si>
  <si>
    <t>Nit : 901671538-7 Eliana Patricia Fuentes Zúñiga, C.C. No. 36.722.321</t>
  </si>
  <si>
    <t xml:space="preserve">Nit: 901.544.446 - 4 Daniela Victoria Ebrat Gutierrez C.C. No. 1083028690 </t>
  </si>
  <si>
    <t>Nit. 900.356.574-9 Ana Manuela Montaño Bedoya  CC. No. 1.065.598.063</t>
  </si>
  <si>
    <t>Nit. 900.969.055-9 Viviana Vanessa Villada Gil, CC. No. 1.065.839.631</t>
  </si>
  <si>
    <t>NIT 900.267.736-3 Dina Teresa León Peroza C.C. 45.756.582</t>
  </si>
  <si>
    <t xml:space="preserve">NIT 806.009.604-3 Luz María Herazo de Navarro C.C. 33.121.883 </t>
  </si>
  <si>
    <t>CC 19.130.480</t>
  </si>
  <si>
    <t>Nit : 900974081-0 Eneth Talina Avendaño Pacheco. C.C. No.  49.607.487</t>
  </si>
  <si>
    <t>Nit : 901246236-6 Carmen Cecilia Suarez Piña. C.C. No. 1.127.612.340</t>
  </si>
  <si>
    <t>NIT: 901.832.001-6 Sandra Lorena Duarte Moreno, C.C. No.  1.015.405.339</t>
  </si>
  <si>
    <t>NIT: 901.206.076-3 Diana Milena Velasquez, C.C. No.  40.438.350</t>
  </si>
  <si>
    <t>NIT: 800.190.631-3 Alexander Suarez Rodriguez, C.C. No. 12.977.013</t>
  </si>
  <si>
    <t xml:space="preserve">NIT: 800108240-9 Ruben Darío Ortiz López C.C. No. 71.615.369 </t>
  </si>
  <si>
    <t>NIT: 901.766.686-8 Federico Arango Lema C.C. No.  1.037.650.141</t>
  </si>
  <si>
    <t>NIT. 901.977.879-8 Suceth Del rosario De Avila C. C. No. 1.050.944.598</t>
  </si>
  <si>
    <t>NIT. 901.801.637-7 Wilfredo Luis Arnedo Cuadrado C. C. No. 73.350.606</t>
  </si>
  <si>
    <t>NIT: 901573454-7 Elkin René Reyes Romero CC: 11001022</t>
  </si>
  <si>
    <t>Nit : 901057471-1 Anibal Del Cristo Sotomayor Peñaloza C.C. No. 73.203.689</t>
  </si>
  <si>
    <t>Nit: 901.556.992 - Jose Antonio Mangones Herrera CC 1049927625</t>
  </si>
  <si>
    <t>Nit : 901167911-0. Luisa Fernanda Donado Ayala C.C. No. 1.065.139.898</t>
  </si>
  <si>
    <t>Nit : 901438268-6 Ivan Javier Araujo Acuña C.C. No. 77.094.400</t>
  </si>
  <si>
    <t>Nit : 901906231-2 Ana Aracelys Ospino Meza CC. No.1.007.556.308</t>
  </si>
  <si>
    <t>Nit: 901775959-1Juan David Lorduys Lopez C.C. No. 1062424406</t>
  </si>
  <si>
    <t>Nit: 901663824-5 Gustavo Alfonso Silva Villegas. C.C. No. 1020726724</t>
  </si>
  <si>
    <t>Nit: 900981058-1  Hermes Argote Vanegas. C.C. No. 85434880</t>
  </si>
  <si>
    <t>C.C. : 3.249.514</t>
  </si>
  <si>
    <t>Nit: 900802687 6 Maria Mirelis Cordoba Palacios. C.C. No. 1106891133</t>
  </si>
  <si>
    <t>Nit: 900712367 8 Jacqueline Alexandra 
Santamaria Gonzalez C.C. No. 1076656070</t>
  </si>
  <si>
    <t>Nit: 901.415.289-1 Natalia Gomez Aycardi C.C. No. 1020831896</t>
  </si>
  <si>
    <t>Nit: 900.452.021-9 Cindy Katterine Camino Duarte C.C. No. 1110501917</t>
  </si>
  <si>
    <t>NIT: 901.706.520-8 Anyi Katherine Escobar Gonzalez C.C. No. 1022424532</t>
  </si>
  <si>
    <t>NIT: 900.264.302-7 Hildebrando Valbuena Alarcon  C.C. No. 80472022</t>
  </si>
  <si>
    <t>NIT: 901.920.735 - 0 Jhoryella Arenales Lobo C.C. No. 1140871808</t>
  </si>
  <si>
    <t>NIT: 900.760.997 - 2 Cesar Augusto Caro Pinilla  C.C. No. 1140843698</t>
  </si>
  <si>
    <t>NIT: 900.224.274-8 Cristobal Mesa González C.C. No. 73583530</t>
  </si>
  <si>
    <t>NIT: 901.355.791-1 Carlos Arturo Arregoces Rojas. C.C. No. 8718405</t>
  </si>
  <si>
    <t>NIT. 901.187.401-1 Maria Amanda Barrios Quijano. C.C. No. 37.221.643</t>
  </si>
  <si>
    <t>NIT. 900.749.719-7 Carlos Salazar Tobón. C.C. No. 1.019.007.501</t>
  </si>
  <si>
    <t>NIT. 900.499.791-4 Carlos Salazar Tobón. C.C. No. 1.019.007.501</t>
  </si>
  <si>
    <t>NIT 901.234.686-5 Raúl Enrique Soto Moreno. C.C. No.1.067.951.001</t>
  </si>
  <si>
    <t>NIT 901.613.617-3, Daniel Enrique Bello Avilez. C.C. No.1.003.157.732</t>
  </si>
  <si>
    <t>NIT. 901.059.450-4, Chelman Robert Higuera Martinez. C.C. No. 79.450.429</t>
  </si>
  <si>
    <t>C. C. 79.109.085</t>
  </si>
  <si>
    <t>NIT 901.598.212-1 Jose Miguel Castillo Camargo C.C. No. 9.514.153</t>
  </si>
  <si>
    <t>NIT 900.523.351-1 Efrain Martínez Insignares. C.C. No. 79.955.978</t>
  </si>
  <si>
    <t>Nit : 800252171-4 Emilce Sanjuan Leon. C. C. No. 37.315.017</t>
  </si>
  <si>
    <t>NIT: 901393606-77Esteban David Verbel Corena. CC: 1067956171</t>
  </si>
  <si>
    <t>NIT: 901582796-9 Luisa Edelmira Hoyos Gómez CC: 34967832</t>
  </si>
  <si>
    <t>Nit:800,242,107-1  Victor Fernando Ramirez Gasca. C.C. No. 12272097</t>
  </si>
  <si>
    <t>C.C. No. 12.272.097</t>
  </si>
  <si>
    <t>Nit: 800.180.302-2 Alvaro Caviedes Caviedes, C.C. No. 18.923.133</t>
  </si>
  <si>
    <t>Nit.: 829.001.262-5  Victor Antonio Mendoza Villegas, C.C. No.  1.065.901.300</t>
  </si>
  <si>
    <t>Nit: 901.358.559-0  Cristian Luis Baron Torres C.C. No. 7.938.406</t>
  </si>
  <si>
    <t>Nit: 901.505.774-9  Diana  Llerena Gutierrez C.C. No.1.127.940.768</t>
  </si>
  <si>
    <t>Nit: 901,039,037-1 Milena Margarita Carvajar Herrera, C.C. No. 45.687.008</t>
  </si>
  <si>
    <t>Nit: 901.636.784-4 Aura Elena Ortega Tatis, C.C. No. 1.047.437.279</t>
  </si>
  <si>
    <t>Nit: 901.598.133-6 Luis Dario Romero Carvajarl, C.C. No. 73.580.810</t>
  </si>
  <si>
    <t>Nit. 901,352,333-6 Sandra Milena Guzman De Avila, C.C.: 1.051.817.660</t>
  </si>
  <si>
    <t>Nit: 901,378,027-1 Raul David Nieto Garcia C.C. No. 77.096.424</t>
  </si>
  <si>
    <t>Nit: 901.755.566-5 Indira Naivis Cuan Cordoba</t>
  </si>
  <si>
    <t>Carta de presentación de la Oferta</t>
  </si>
  <si>
    <t>Suscrita por: Juan Esteban Agudelo Arbelaez, en calidad de Representante Legal.  C.C. No. 1152435238                                                       Cumple</t>
  </si>
  <si>
    <t>Suscrita por: Miguel Alexander Ceron Molina, en calidad de Representante Legal. C.C. No. 1082774968 Cumple</t>
  </si>
  <si>
    <t>Suscrita por: Germán Alonso Ramirez Ayala, en calidad de Representante Legal. C.C. No. 71775906 Cumple</t>
  </si>
  <si>
    <t>Suscrita por: Norma Patricia Luna Hernandez, en calidad de Representante Legal. C.C. No.40441590                 Cumple</t>
  </si>
  <si>
    <t>Suscrita por: Elkin Samuel Rubiano Rojas, en calidad de Representante Legal. C.C. No. 7141514 Cumple</t>
  </si>
  <si>
    <t>Suscrita por: Libardo Jose López Jiménez, en calidad de Representante Legal C.C. No. 11003275             Cumple</t>
  </si>
  <si>
    <t>Suscrita por: Heraldo José Gutiérrez Villegas, en calidad de Representante Legal. C.C. No.9020626   Cumple</t>
  </si>
  <si>
    <t>Suscrita por: Andrés Felipe Moreno Monsalve, en calidad de Representante Legal. C.C.No. 1128266544    Cumple</t>
  </si>
  <si>
    <t>Suscrita por: Julián Andrés Cogollo Briceño, en calidad de Representante Legal.C.C No. 80088071           Cumple</t>
  </si>
  <si>
    <t>Suscrita por: Paola Lopez Triviño,  en calidad de Representante Legal.C.C. No. 52215791 Cumple</t>
  </si>
  <si>
    <t>Suscrita por: Dayanna Alejandra Baquero Aguilar, C.C. No. 1.121.918.202, en calidad de Representante Legal.       Cumple</t>
  </si>
  <si>
    <t>Suscrita por: Roger Restrepo Villalba, en calidad de Representante Legal. C.C. No. 73139769                                      Cumple</t>
  </si>
  <si>
    <t>Suscrita por: Jesús Armando Cervantes Ceballos, C.C. No. 19.691.435, en calidad de Representante Legal.                     Cumple</t>
  </si>
  <si>
    <t>Suscrita por: Carlos Alfonso Moreno Muñoz, C.C. No. 7.310.251, en calidad de Representante Legal.                Cumple</t>
  </si>
  <si>
    <t>Suscrita por:AngieVanessa Mosquera Villamil C.C. No. 1099215868, en calidad de representante Legal.                     Cumple</t>
  </si>
  <si>
    <t>Suscrita por: Diego Leon Burgos Alvarez, C.C. No.  2.757.058, en calidad de Representante Legal.          Cumple</t>
  </si>
  <si>
    <t xml:space="preserve">Suscrita por: Fernelis Guerra Mojia, C.C. No. 77.094.764, en calidad de Representante Legal.                                                                   Cumple </t>
  </si>
  <si>
    <t xml:space="preserve">Suscrita por: Dina Teresa León Peroza C.C. 45.756.582, en calidad de Representante Legal.                                    Cumple </t>
  </si>
  <si>
    <r>
      <t xml:space="preserve">Suscrita por: Carmen Cecilia Suarez Piña, C.C. No. 1.127.612.340, en calidad de Representante Legal. </t>
    </r>
    <r>
      <rPr>
        <b/>
        <sz val="12"/>
        <color theme="5"/>
        <rFont val="Arial"/>
        <family val="2"/>
      </rPr>
      <t xml:space="preserve"> </t>
    </r>
    <r>
      <rPr>
        <b/>
        <sz val="12"/>
        <rFont val="Arial"/>
        <family val="2"/>
      </rPr>
      <t>Cumple</t>
    </r>
  </si>
  <si>
    <t>Suscrita por: Ximena Castro Cely, C.C. No. 52425087, en calidad de Representante Legal.                         Cumple</t>
  </si>
  <si>
    <t>Suscrita por: Ruben Dario Ortiz Lopez, C.C. No. 71615369.    Cumple</t>
  </si>
  <si>
    <t>Suscrita por: Suceth Del Rosario De AvilaC. C. No. 1.050.944.598, en calidad de Representante Legal.  Cumple</t>
  </si>
  <si>
    <t>Suscrita por: Elkin René Reyes Romero C.C. No. 11001022, en calidad de Representante Legal.                                                                 Cumple</t>
  </si>
  <si>
    <t>Suscrita por: Carlos Eduardo Perez Correa, CC. 72.347.647 en calidad de Representante Legal.                                 Cumple</t>
  </si>
  <si>
    <t>Suscrita por: Luisa Fernanda Donado Ayala. C.C. No. 1065139898, en calidad de Representante Legal.  Cumple</t>
  </si>
  <si>
    <t>Sucrita por: Iván Javier Araujo Acuña C.C. No. 77.094.400, en calidad de Representante Legal.                    Cumple</t>
  </si>
  <si>
    <t>Suscrita por:Zareth Navila Behaine Espitia. C.C. No. 1065379961, en calidad de Representante Legal.                                                                                   Cumple</t>
  </si>
  <si>
    <t>Suscrita por: Nestor Rojas Torres. C.C. No. 3249514, en calidad de Representante Legal.                        Cumple</t>
  </si>
  <si>
    <t>Suscrita por: Victor Anderson Valbuena Quirga, C.C. No. 1019072761, en calidad de Representante Legal.  Cumple.</t>
  </si>
  <si>
    <t>Suscrita por: Cesar Augusto Caro Pinilla, C.C.1.140.843.698, en calidad de Representante Legal.                                              Cumple</t>
  </si>
  <si>
    <t>Suscrita por: Cristobal Mesa Gonzalez. C. C. 73.583.530, en calidad de Representante Legal.                        Cumple</t>
  </si>
  <si>
    <t>Suscrita por:  Hector Enrique Maldonado Barrios. CC. No.88.229.538, en calidad de Representante Legal.                         Cumple</t>
  </si>
  <si>
    <t>Suscrita por: Yuri Lina Vargas Angulo. C.C. No. 35.145.067,35.145.067 en calidad de Representante Legal.                      Cumple</t>
  </si>
  <si>
    <t>Suscrita por: Efrain Miguel Martinez Insignares, C.C. No. 79.955.978, en calidad de Representante Legal.                     Cumple</t>
  </si>
  <si>
    <t>Suscrita por: Emilce Sanjuan Leon. C. C. No. 37.315.017, en calidad de Representante Legal.                    Cumple</t>
  </si>
  <si>
    <t>Suscrita por: Ilse Katiuska Ramírez Vidarte. CC. No. 1140841020, en calidad de Representante Legal.                                        Cumple</t>
  </si>
  <si>
    <t>Suscrita por: Victor Fernando Ramirez Gasca. C.C. 12.272.097 , en calidad de representante legal.         Cumple</t>
  </si>
  <si>
    <t>Suscrita por: Victor Antonio Mendoza Villegas, C.C. No. 1.065.901.300, en calidad de Representante Legal.                     Cumple</t>
  </si>
  <si>
    <t>Suscrita por: Cristian Luis Bron Torres,  C.C. No. 7.938.406, en calidad de Representante Legal.               Cumple</t>
  </si>
  <si>
    <t>Suscrita por: Aura Elena Ortega Tatis, C.C.No. 1.047.437.279, en calidad de Representante Legal.                Cumple</t>
  </si>
  <si>
    <t xml:space="preserve">Suscrita por: Sandra Milena Guzman De Avila, C.C.: 1.051.817.660, en calidad de Representante Legal.                             Cumple </t>
  </si>
  <si>
    <t>Certificado de Revisor Fiscal en caso de ser Sociedad Anónima Colombiana en la que conste si es abierta o cerrada</t>
  </si>
  <si>
    <t xml:space="preserve">N/A </t>
  </si>
  <si>
    <t>Certificado de existencia y representación legal</t>
  </si>
  <si>
    <t>Cumple</t>
  </si>
  <si>
    <t xml:space="preserve">Cumple </t>
  </si>
  <si>
    <t>Documento de conformación del Consorcio Unión Temporal</t>
  </si>
  <si>
    <t>Acta de autorizacion del Organo Societario al Representante Legal del Oferente o de cada uno de los miembros del Consorcio o Union Temporal</t>
  </si>
  <si>
    <t>Garantia de Seriedad de la Oferta</t>
  </si>
  <si>
    <t>Expedido por: Seguros del Estado
Póliza No.  21-44-101497505                                                                                                                         Valor asegurado: $ 1,573,198,663.50-  Fecha de expedicion 05/05/2026                                                                                                 Fecha de vigencia:  07/05/2026
 a 07/09/2026.CUMPLE</t>
  </si>
  <si>
    <t>Expedido por: Nacional de Seguros
Póliza No.  400073490                                                                                                                          Valor asegurado: $ 1,573,198,663.50-  Fecha de expedicion 29/04/2026                                                                                                 Fecha de vigencia:  07/05/2026
 a 07/09/2026.CUMPLE</t>
  </si>
  <si>
    <t>Expedido por: Seguros del Estado
Póliza No.  21-44-101497198                                                                                                                          Valor asegurado: $ 1,573,198,663.50-  Fecha de expedicion 29/04/2026                                                                                                 Fecha de vigencia:  07/05/2026
 a 21/08/2026.CUMPLE</t>
  </si>
  <si>
    <t>Expedido por: Liberty Seguros
Póliza No. 2084992                                                                                                                           Valor asegurado: $ 1,573,198,663.50-  Fecha de expedicion 30/04/2026                                                                                              Fecha de vigencia:  04/05/2026
 a 14/08/2026.CUMPL</t>
  </si>
  <si>
    <t>Expedido por: Seguros Mundial 
Póliza No.B-100078728                                                                                                                          Valor asegurado: $ 1,573,198,663.50-  Fecha de expedicion 04/05/2026                                                                                   Fecha de vigencia:  07/05/2026
 a 20/09/2026.CUMPLE</t>
  </si>
  <si>
    <t>Expedido por: Cesce 
Póliza No.  177777                                                                                                                         Valor asegurado: $ 1,573,198,663.50-  Fecha de expedicion 05/05/2026                                                                                          Fecha de vigencia:  07/05/2026
 a 07/09/2026 CUMPL</t>
  </si>
  <si>
    <t>Expedido por: MUNDIAL
Póliza No.40249250                                                                                                                           Valor asegurado: $ 1,573,198,663.50-  Fecha de expedicion 05-05-2026                                                                                              Fecha de vigencia:  07/05/2026
 a 131-08-2026.CUMPL</t>
  </si>
  <si>
    <t>Expedido por: NACIONAL DE SEGUROS
Póliza No.212410                                                                                                                         Valor asegurado: $ 1,573,198,663.50-  Fecha de expedicion 30-04-2026                                                                                            Fecha de vigencia:  04/05/2026
 a 04-09-2026.CUMPLE</t>
  </si>
  <si>
    <t>Expedido por: Seguros del Estado
Póliza No 65-44-101248686                                                                                                                        Valor asegurado: $ 1,573,198,663.50-  Fecha de expedicion 04/05/2026                                                                                         Fecha de vigencia:  07/05/2026
 a 07-09-2026.CUMPLE</t>
  </si>
  <si>
    <t>Expedido por: Seguros MUNDIAL
Póliza No 40249179                                                                                                                        Valor asegurado: $ 1,573,198,663.50-  Fecha de expedicion 05/05/2026                                                                                         Fecha de vigencia:  07/05/2026
 a 07-09-2026.CUMPLE</t>
  </si>
  <si>
    <t>Certificacion de Cumplimiento de pago de los Aportes al Sistema de Salud, Riesgos Profesionales, Pensiones y Aportes a las Cajas de Compensación Familiar, ICBF y SENA</t>
  </si>
  <si>
    <t xml:space="preserve"> Cumple</t>
  </si>
  <si>
    <t>Copia del Documento de Identidad</t>
  </si>
  <si>
    <t>Redam</t>
  </si>
  <si>
    <t>Subsanar, no aportó documento.</t>
  </si>
  <si>
    <t xml:space="preserve">Cumple  </t>
  </si>
  <si>
    <t xml:space="preserve">Antecedentes, disciplinarios, fiscales y  Judiciales - Policia Nacional, </t>
  </si>
  <si>
    <t xml:space="preserve">HEIDY PAOLA VILLARROYA SALGADO                                                                                                                                                                                                                                  Coordinora de Area Jurídica </t>
  </si>
  <si>
    <t>15. CONSORCIO PALACIO JUDICIAL</t>
  </si>
  <si>
    <t>SE RECHAZA  " NO CUMPLE EXPERIENCIA ESPECIFICA DE ACTIVIDAD ESPECIAL"</t>
  </si>
  <si>
    <t>NO CUMPLE  "LA AUTORIZACION NO SE ENCENTRA HABILITADA PARA EL MONTO DEL CONTRATO"</t>
  </si>
  <si>
    <t>SE RECHAZA  "NO CUMPLE EXPERIENICA ESPECIFICA EN  ACTIVIDAD PRINCIPAL"</t>
  </si>
  <si>
    <t>CON EL LITERAL D DEL NUMERAL 3.5.2 CONSIDERACIONES PARA LA VALIDEZ DE LA EXPERIENCIA REQUERIDA</t>
  </si>
  <si>
    <t>0 ( no aportó el formato)</t>
  </si>
  <si>
    <t>0 (no aportó el mensaje)</t>
  </si>
  <si>
    <t>0 (no aportó el formato)</t>
  </si>
  <si>
    <t xml:space="preserve">NO CUMPLE, EL FORMATO APORTADO ESTA SUSCRITO POR UN REVISOR FISCAL QUE NO ESTABA INSCRITO EN EL CERTIFICADO DE EXISTENCIA Y REPRESENTACION A LA FECHA DE CIERRE  </t>
  </si>
  <si>
    <t>NO CUMPLE                  "REVISOR FISCAL DE EMPRESA SION FUE INSCRITO CON POSTERIORIDAD AL CIERRE"</t>
  </si>
  <si>
    <t>NO CUMPLE CON LA EXPERIENCIA ESPECIFICA DE LA ACTIVIDAD PRINCIPAL</t>
  </si>
  <si>
    <t>NO CUMPLE INFORMACION INCOMPLETA EN EL FORMATO 3</t>
  </si>
  <si>
    <t>NO CUMPLE SE ENCUENTRA VENCIDO EL CERTIFICADO DEL REVISOR FISCAL DE CLAUDIA SELIS PABON</t>
  </si>
  <si>
    <t>CONSTRUCCIONES CORPOVIAL S.A.S</t>
  </si>
  <si>
    <t>GEO CONSTRUCCIONES CORP. S.A.S</t>
  </si>
  <si>
    <t>NIT: 800156828-3 Sergio Nicolas Molina Saavedra CC:1019129555</t>
  </si>
  <si>
    <t>Nit. 901537636-8 Darisol Contreras Arrieta. C.C. No. 1.101.460.444</t>
  </si>
  <si>
    <t>Nit : 901638437-2 Yesica Paola Ballestas Cardona. C.C. No. 1.047.386.145</t>
  </si>
  <si>
    <t>NIT 830.080.671-5 Ernesto Montañez Mora C.C.No. 79.330879</t>
  </si>
  <si>
    <t>Suscrita por: Carlos Mario Mendoza Alvarez, en calidad de Representante Legal. C.C. No. 79790584.      Cumple</t>
  </si>
  <si>
    <t xml:space="preserve"> Suscrita por: Carlos Andres Velazquez Padilla, en calidad de Representante Legal. C.C. No. 1090376085 </t>
  </si>
  <si>
    <t>Suscrita por: Carlos Cesar Rocha Velasco  C.C. No. 8677575, en calidad de Representante Legal.             Cumple</t>
  </si>
  <si>
    <t>Suscrita por: Henrry Omar Sanchez Ardila C.C. No. 1.090.387.773, en calidad de Representante Legal.        Cumple</t>
  </si>
  <si>
    <t>Suscrita por: Hernando Antonio Berrocal Cabrales, C.C. No.78708758, en calidad de Representante Legal.  Cumple</t>
  </si>
  <si>
    <t>Suscrita por: Chelman Robert Higuera Martinez. C.C. No. 79.450.429, en calidad de Representante Legal.             Cumple</t>
  </si>
  <si>
    <t>Suscrita por: Alvaro Caviedes Caviedes, C.C. No. 18.923.133, en calidad de Representante Legal.                       Aclarar Información relacionada con la pregutna si cotiza en bolsa o no.</t>
  </si>
  <si>
    <t>Suscrita por: Raul David Nieto García, C.C. No. 77.096.424, en calidad de Representante Legal. Cumple</t>
  </si>
  <si>
    <t xml:space="preserve">NO CUMPLE. La autorización no se encuentra habilitada para el monto del contrato. La autorización allegada contempla una cuantía superior a $300.000.000.000 Trescientos mil millones de pesos, lo que no incluye montos entre el valor registrado en las facultades descritas en el certificado de cámara de comercio y el señalado en la autorización allegada. </t>
  </si>
  <si>
    <t xml:space="preserve">No cumple, el formato aportado se encuentra suscrito por la Representante Legal y no  por el Revisor Fiscal, a pesar de encontrarse la empresa obligada a contar con un revisor fiscal de acuerdo con las exigencias de los estados financieros; observando en consecuencia que, a la fecha del cierre del proceso no se encontraba inscrito en el certificado de existencia y representación allegado con la propuesta. Adicional a ello, efectuada la verificación en el RUES se evidenció que dicho Revisor fiscal a la fecha de evaluación de las propuestas áun no figura inscrito. </t>
  </si>
  <si>
    <t>Expedido por: SEGUROS DEL ESTADO  
Póliza No.11-44-101282509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 Fecha de vigencia:  07/05/2026
 a 07/09/2026.Cumple</t>
  </si>
  <si>
    <t>Expedido por: CESCE  
Póliza No.177783 Certificado                                                                                                                        Valor asegurado: $ 1,573,198,663.50-  Fecha de expedicion 05/05/2026                                                                                                  Fecha de vigencia:  07/05/2026
 a 07/09/2026.Cumple</t>
  </si>
  <si>
    <t>Expedido por: SEGUROS DEL ESTADO  
Póliza No.14-44-101262042                                                                                                                       Valor asegurado: $ 1.573.198.663.50-  Fecha de expedicion 06/05/2026                                                                                                  Fecha de vigencia:  07/05/2026
 a 05/09/2026.</t>
  </si>
  <si>
    <t>Expedido por: ZURICH  
Póliza No.SGPL-256131609-1                                                                                                                        Valor asegurado: $ 1.573.198.663.50-  Fecha de expedicion 29/04/2026                                                                                                  Fecha de vigencia:  07/05/2026
 a 07/09/2026. Cumple</t>
  </si>
  <si>
    <t>Expedido por: SEGUROS MUNDIAL 
Póliza No. certificado 72923303                                                                                                                        Valor asegurado: $ 1,573,198,663.50-  Fecha de expedicion 05/05/2026                                                                                                  Fecha de vigencia:  05/05/2026
 a 15/09/2026.Cumple</t>
  </si>
  <si>
    <t>Expedido por: SEGUROS DEL ESTADO  
Póliza No.11-44-101282535                                                                                                                        Valor asegurado: $ 1,573,198,663.50-  Fecha de expedicion 07/05/2026                                                                                                  Fecha de vigencia:  07/05/2026
 a 31/08/2026.Cumple</t>
  </si>
  <si>
    <t>Expedido por: SEGUROS MUNDIAL 
Póliza No. certificado 72923979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 Fecha de vigencia:  07/05/2026
 a 07/10/2026.Cumple</t>
  </si>
  <si>
    <t>Expedido por: SEGUROS DEL ESTADO  
Póliza No.53-44-101044583                                                                                                                      Valor asegurado: $ 1,573,198,663.50-  Fecha de expedicion 07/05/2026                                                                                                  Fecha de vigencia:  07/05/2026
 a 07/08/2026.Cumple</t>
  </si>
  <si>
    <t>Expedido por: SEGUROS MUNDIAL 
Póliza No. certificado 15072792                                                                                                                        Valor asegurado: $ 1.573.198.663.50-  Fecha de expedicion 05/05/2026                                                                                                  Fecha de vigencia:  07/05/2026
 a 07/09/2026.     Cumple</t>
  </si>
  <si>
    <t>Expedido por: SEGUROS DEL ESTADO  
Póliza No.65-44-101248733                                                                                                                      Valor asegurado: $ 1.573.198.663.50-  Fecha de expedicion 06/05/2026                                                                                                  Fecha de vigencia:  07/05/2026
 a 07/09/2026.                Cumple</t>
  </si>
  <si>
    <t xml:space="preserve">Expedido por: SEGUROS DEL ESTADO  
Póliza No.11-44-101282467                                                                                                                     Valor asegurado: $ 1.573.198.663.50-  Fecha de expedicion 06/05/2026                                                                                                  Fecha de vigencia:  07/05/2026
 a 07/09/2026. Cumple </t>
  </si>
  <si>
    <t>Expedido por: SEGUROS MUNDIAL 
Póliza No. certificado 72924318                                                                                                                        Valor asegurado: $ 1.573.198.663.50-  Fecha de expedicion 05/05/2026                                                                                                  Fecha de vigencia:  07/05/2026
 a 07/09/2026.                                         Cumple</t>
  </si>
  <si>
    <t>Expedido por: NACIONAL DE SEGUROS 
Póliza No. 400073652                                                                                                                           Valor asegurado: $ 1.573.198.663.50-  Fecha de expedicion 06/05/2026                                                                                                  Fecha de vigencia:  07/05/2026
 a 07/09/2026.  Cumple</t>
  </si>
  <si>
    <t>Expedido por: SEGUROS MUNDIAL 
Póliza No. certificado 10408878                                                                                                                        Valor asegurado: $ 1,573,198,664.00-  Fecha de expedicion 06/05/2026                                                                                                  Fecha de vigencia:  07/05/2026
 a 17/08/2026.                  Cumple</t>
  </si>
  <si>
    <t>Expedido por: LIBERTY SEGUROS 
Póliza No. 2085263                                                                                                                        Valor asegurado: $ 1,573,198,664.00-  Fecha de expedicion 06/05/2026                                                                                                  Fecha de vigencia:  07/05/2026
 a 07/09/2026.       Cumple</t>
  </si>
  <si>
    <t>Expedido por: SEGUROS DEL ESTADO  
Póliza No.21-44-101497541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 Fecha de vigencia:  07/05/2026
 a 21/08/2026. Cumple</t>
  </si>
  <si>
    <t>Expedido por: NACIONAL DE SEGUROS 
Póliza No. 400073547                                                                                                                           Valor asegurado: $ 1.573.198.663.50-  Fecha de expedicion 30/05/2026                                                                                                  Fecha de vigencia:  04/05/2026
 a 04/09/2026.               Cumple</t>
  </si>
  <si>
    <t>Expedido por: SEGUROS DEL ESTADO  
Póliza No.14-44-101261980                                                                                                                      Valor asegurado: $ 1.573.198.663.50-  Fecha de expedicion 05/05/2026                                                                                                  Fecha de vigencia:  07/05/2026
 a 07/10/2026.  Cumple</t>
  </si>
  <si>
    <t>Expedido por: SEGUROS DEL ESTADO  
Póliza No.39-44-101182829                                                                                                                     Valor asegurado: $ 1,573,198,663.50-  Fecha de expedicion 05/05/2026                                                                                                  Fecha de vigencia:  07/05/2026
 a 15/08/2026.Cumple</t>
  </si>
  <si>
    <t>Expedido por: SEGUROS DEL ESTADO  
Póliza No.65-44-101248696                                                                                                                     Valor asegurado: $ 1,573,198,663.50-  Fecha de expedicion 04/05/2026                                                                                                  Fecha de vigencia:  07/05/2026
 a 07/09/2026.Cumple</t>
  </si>
  <si>
    <t>Expedido por: SEGUROS MUNDIAL 
Póliza No. certificado 40249322                                                                                                                        Valor asegurado: $ 1,573,198,664.00-  Fecha de expedicion 06/05/2026                                                                                                  Fecha de vigencia:  07/05/2026
 a 27/08/2026.Cumple</t>
  </si>
  <si>
    <t>Expedido por: CONFIANZA 
Póliza No. 801057064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 Fecha de vigencia:  0/05/2026
 a 07/09/2026.Cumple</t>
  </si>
  <si>
    <t>Expedido por: NACIONAL DE SEGUROS 
Póliza No.  400073664   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 Fecha de vigencia:  07/05/2026
 a 07/09/2026.Cumple</t>
  </si>
  <si>
    <t>Expedido por: NACIONAL DE SEGUROS 
Póliza No.  400073551                                                                                                                           Valor asegurado: $ 1.573.198.663.50-  Fecha de expedicion 29/04/2026                                                                                                  Fecha de vigencia:  07/05/2026
 a 07/09/2026.Cumple</t>
  </si>
  <si>
    <t>Expedido por: SEGUROS MUNDIAL
Póliza No.  CG-1075224                                                                                                                           Valor asegurado: $ 1.573.198.663.50-  Fecha de expedicion 28/04/2026                                                                                                  Fecha de vigencia:  04/05/2026
 a 19/08/2026.Cumple</t>
  </si>
  <si>
    <t>Expedido por: SEGUROS MUNDIAL
Póliza No.  NB-100444872                                                                                                                           Valor asegurado: $ 1.573.198.663.50-  Fecha de expedicion 27/04/2026                                                                                                  Fecha de vigencia:  07/05/2026
 a 07/09/2026.Cumple</t>
  </si>
  <si>
    <t>Expedido por: SEGUROS MUNDIAL
Póliza No.  CG-1875445                                                                                                                           Valor asegurado: $ 1.573.198.663.50-  Fecha de expedicion 06/05/2026                                                                                                 Fecha de vigencia:  07/05/2026
 a 07/08/2026.Cumple</t>
  </si>
  <si>
    <t>EXPEDIDA POR : Seguros del Estado  POLIZA No, 21-44-101497566 FECHA DE EXPEDICION 06-05-2026   FECHA DE VIGENCIA: 07-05-2026 A 15-08-2026  Cumple</t>
  </si>
  <si>
    <t>Expedido por: SEGUROS MUNDIAL
Póliza No.  BQ-100119010                                                                                                                          Valor asegurado: $ 1.573.199.000.00-  Fecha de expedicion 06/05/2026                                                                                                 Fecha de vigencia:  07/05/2026
 a 07/09/2026.CUMPLE</t>
  </si>
  <si>
    <t>Expedido por: ZURICH
Póliza No.  SGPL-256769719-1                                                                                                                          Valor asegurado: $ 1,573,198,663.50-  Fecha de expedicion 07/05/2026                                                                                                 Fecha de vigencia:  07/05/2026
 a 07/09/2026.Cumple</t>
  </si>
  <si>
    <t>Expedido por: SEGUROS MUNDIAL 
Póliza No.  NB-100446072  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Fecha de vigencia:  07/05/2026
 a 14/09/2026.Cumple</t>
  </si>
  <si>
    <t>Expedido por: Zurich
Póliza No.  SGPL-257068390-1                                                                                                                          Valor asegurado: $ 1,573,198,663.50-  Fecha de expedicion 29/04/2026                                                                                                 Fecha de vigencia:  07/05/2026
 a 07/09/2026.Cumple</t>
  </si>
  <si>
    <t>Expedido por: SEGUROS DEL ESTADO
Póliza No.  65-44-101248761                                                                                                                          Valor asegurado: $ 1,573,198,663.50-  Fecha de expedicion 06/05/2026                                                                                                 Fecha de vigencia:  07/05/2026
 a 07/09/2026.Cumple</t>
  </si>
  <si>
    <t>Expedido por: SEGUROS MUNDIAL
Póliza No.  100051268                                                                                                                          Valor asegurado: $ 1,573,198,663.50-  Fecha de expedicion 29/04/2026                                                                                                 Fecha de vigencia:  07/05/2026
 a 15/08/2026.Cumple</t>
  </si>
  <si>
    <t>Expedido por: ZURICH
Póliza No.  SGPL-257064522-1                                                                                                                          Valor asegurado: $ 1,573,198,663.50-  Fecha de expedicion 07/05/2026                                                                                                 Fecha de vigencia:  07/05/2026
 a 07/09/2026.CUMPLE</t>
  </si>
  <si>
    <t>Expedido por: MUNDIAL
Póliza No.  40248930                                                                                                                          Valor asegurado: $ 1,573,198,663.50-  Fecha de expedicion 29/04/2026                                                                                                 Fecha de vigencia:  30/04/2026
 a 30/08/2026.Cumple</t>
  </si>
  <si>
    <t>Expedido por: MUNDIAL
Póliza No.  1075155                                                                                                                          Valor asegurado: $ 1,573,198,663.50-  Fecha de expedicion 05/05/2026                                                                                               Fecha de vigencia:  04/05/2026
 a 07/09/2026.Cumple</t>
  </si>
  <si>
    <t>Expedido por: Cesce 
Póliza No.  177578                                                                                                                         Valor asegurado: $ 1,573,198,663.50-  Fecha de expedicion 23-04-2026                                                                                           Fecha de vigencia:  30/04/2028
 a 30/08/2026.Cumple</t>
  </si>
  <si>
    <t>Expedido por: Seguros del Estado
Póliza No.63-44-101018582                                                                                                                           Valor asegurado: $ 1.573.198.663.50-  Fecha de expedicion 24/04/2026                                                                                          Fecha de vigencia:  30/04/2026
 a 31/07/2026. Cumple</t>
  </si>
  <si>
    <t>No cumple, el formato aportado se encuentra suscrito por un revisor fiscal que a la fecha del cierre del proceso no se encontraba inscrito en el certificado de existencia y representación allegado con la propuesta. La entidad verificó en el RUES encontrando que dicho Revisor fiscal fue inscrito el 15 de mayo de 2026, fecha posterior al cierre del proceso.</t>
  </si>
  <si>
    <t>No cumple, el formato aportado se encuentra suscrito por un revisor fiscal que a la fecha del cierre del proceso no se encontraba inscrito en el certificado de existencia y representación allegado con la propuesta. La entidad verificó en el RUES encontrando que dicho Revisor fiscal fue inscrito el 11 de mayo de 2026, fecha posterior al cierre del proceso.</t>
  </si>
  <si>
    <t>No cumple, el formato aportado se encuentra suscrito por un revisor fiscal que a la fecha del cierre del proceso no se encontraba inscrito en el certificado de existencia y representación allegado con la propuesta. La entidad verificó en el RUES encontrando que dicho Revisor fiscal fue inscrito el 19 de mayo de 2026, fecha posterior al cierre del proceso.</t>
  </si>
  <si>
    <t>Cumple-</t>
  </si>
  <si>
    <t>NO CUMPLE ,  SE RECHAZA POR NO CUMPLIR CON EL INDICADOR FINANCIERO DE CAPITAL DE TRABAJO</t>
  </si>
  <si>
    <t>RECHAZADO, LA RENOVACION DEL RUP DEL PROPONENTE JESUS ARMANDO CERVANTES CEBALLOS, ES EXTEMPORANEA Y EL CERTIFICADO APORTADO NO SE ENCUENTRA EN FIRME POR TANTO SE RECHAZA POR ESTAR INCURSA EN LA CAUSAL E) DEL PUNTO 1.15 DEL PLIEGO DE CONDICIONES LP-01-2026</t>
  </si>
  <si>
    <t>AARCON S.A.S. NIT:900791011-9</t>
  </si>
  <si>
    <t>LOAR INGENIEROS S.A.S.
N.I.T: 901.355.263-2</t>
  </si>
  <si>
    <t>INVERSIONES CARIBE SIGLO XXI S.A.S NIT.901128589</t>
  </si>
  <si>
    <t>MEG OBRAS SAS NIT.900,356,574</t>
  </si>
  <si>
    <t>VARA CONSULTORIA Y CONSTRUCCIONES S.A.S
NIT:901206076-3</t>
  </si>
  <si>
    <t>ENTRE OBRAS SAS
NIT: 800190631 3</t>
  </si>
  <si>
    <t>DISEÑOS Y CONSTRUCCIONES PT S.A.S.</t>
  </si>
  <si>
    <t>CONSTRUCCIONES CORPOVIAL S.A.S NIT:901537636-8</t>
  </si>
  <si>
    <t>GEO CONSTRUCCIONES CORP. S.A.S NIT:901638437-2</t>
  </si>
  <si>
    <t>M &amp; M INGENIEROS ASOCIADOS SAS NIT: 830080671 5</t>
  </si>
  <si>
    <t>gran empresa</t>
  </si>
  <si>
    <t xml:space="preserve"> GEOCIVA SAS</t>
  </si>
  <si>
    <t>BROKA SAS</t>
  </si>
  <si>
    <r>
      <rPr>
        <b/>
        <sz val="20"/>
        <rFont val="Arial"/>
        <family val="2"/>
      </rPr>
      <t xml:space="preserve">Objeto: </t>
    </r>
    <r>
      <rPr>
        <sz val="20"/>
        <rFont val="Arial"/>
        <family val="2"/>
      </rPr>
      <t>Construcción del Palacio de Justicia de Magangué</t>
    </r>
  </si>
  <si>
    <t xml:space="preserve">Presupuesto oficial estimado: </t>
  </si>
  <si>
    <t>SMMLV</t>
  </si>
  <si>
    <t>Oferente</t>
  </si>
  <si>
    <t>CONSORCIO JUDICATURA BOLÍVAR</t>
  </si>
  <si>
    <t>EXPERIENCIA</t>
  </si>
  <si>
    <t>EXPERIENCIA GENERAL ACTIVIDAD PRINCIPAL</t>
  </si>
  <si>
    <t>EXPERIENCIA ESPECÍFICA ACTIVIDAD PRINCIPAL</t>
  </si>
  <si>
    <t>EXPERIENCIA ESPECÍFICA ACTIVIDAD SECUNDARIA</t>
  </si>
  <si>
    <t>FIRMEZA RUP</t>
  </si>
  <si>
    <t>Contrato</t>
  </si>
  <si>
    <t xml:space="preserve">Entidad </t>
  </si>
  <si>
    <t>Código UNSPSC</t>
  </si>
  <si>
    <t>INTEGRANTE</t>
  </si>
  <si>
    <t>Valor Aportado del contrato en SMMLV</t>
  </si>
  <si>
    <t>Consecutivo RUP</t>
  </si>
  <si>
    <t>Fecha de Inicio</t>
  </si>
  <si>
    <t>Valor a certificar/presupuesto Oficial</t>
  </si>
  <si>
    <t>PROYECTOS QUE CORRESPONDAN Y/O CONTEMPLEN ACTIVIDADES DE: CONSTRUCCIÓN Y/O AMPLIACIÓN Y/O RECONSTRUCCIÓN DE EDIFICACIONES</t>
  </si>
  <si>
    <t>Por lo menos uno (1) de los contratos válidos aportados como experiencia general debe contemplar un área construida igual y/o superior al 50% del total de metros cuadrados del proceso de selección, el cuál corresponde a 3363,37 m2</t>
  </si>
  <si>
    <t xml:space="preserve">Por lo menos uno (1) de los contratos válidos aportados como experiencia general debe demostrar la intervención o suministro e instalación de redes eléctricas en edificaciones. </t>
  </si>
  <si>
    <t>GOBERNACION DEL CESAR</t>
  </si>
  <si>
    <t>DISEÑOS, OBRAS Y CONSTRUCCIONES CIVIL WORLD SAS</t>
  </si>
  <si>
    <t>DEPARTAMENTO DEL CESAR</t>
  </si>
  <si>
    <t>VALOR TOTAL ACREDITADO EN SMMLV</t>
  </si>
  <si>
    <t>NO CUMPLE 3.5.8. RELACIÓN DE LOS CONTRATOS FRENTE AL PRESUPUESTO OFICIAL</t>
  </si>
  <si>
    <t>CONSORCIO PALACIO MAGANGUÉ</t>
  </si>
  <si>
    <t>GEMA GERENCIA Y MAQUINARIA S.A.S.</t>
  </si>
  <si>
    <t>INFRAESTRUCTURA TÉCNICA COLOMBIANA S.A.S.</t>
  </si>
  <si>
    <t>DIABA-ARMADA NACIONAL</t>
  </si>
  <si>
    <t>REINGENIERIA INTEGRAL S.A.S</t>
  </si>
  <si>
    <t>ARMADA NACIONAL</t>
  </si>
  <si>
    <t>INSTITUTO DE SEGUROS SOCIALES</t>
  </si>
  <si>
    <t>GEOPARK COLOMBIA E&amp;P S.A.</t>
  </si>
  <si>
    <t>NO CUMPLE
NO CUMPLE LITERAL H DEL NUMERAL 3.5.1 CARACTERÍSTICAS DE LOS CONTRATOS PRESENTADOS PARA ACREDITAR LA EXPERIENCIA EXIGIDA
Y
CAUSAL DE RECHAZO T. No presentar oferta económica. Entregar la información de la propuesta económica en el sobre que no corresponda.</t>
  </si>
  <si>
    <t>ELECTROMAGDALENA</t>
  </si>
  <si>
    <t>12/05/1995
NO CUMPLE</t>
  </si>
  <si>
    <t>HOLLYWELL RESOURCES S.A.</t>
  </si>
  <si>
    <t>15/06/2005
NO CUMPLE</t>
  </si>
  <si>
    <t>POLICIA NACIONAL - DIRECCION ADMINISTRATIVA Y FINANCIERA</t>
  </si>
  <si>
    <t>FONDO DE ADAPTACION</t>
  </si>
  <si>
    <t>POLICIA NACIONAL -DIRECCION ADMINISTRATIVA Y
FINANCIERA</t>
  </si>
  <si>
    <t>EL INTEGRANTE DEL CONSORCIO CONSULTCARIBE S.A.S. NO CUMPLE CON LA FIRMEZA DEL RUP</t>
  </si>
  <si>
    <t>DEPARTAMENTO ADMINISTRATIVO DE SEGURIDAD - DAS</t>
  </si>
  <si>
    <t>THORNELOE ENERGY SUCURSAL COLOMBIA</t>
  </si>
  <si>
    <t>CONSORCIO DIKE</t>
  </si>
  <si>
    <t>INSTITUTO DE CASAS FISCALES DEL EJERCITO</t>
  </si>
  <si>
    <t>INDUSTRIAS Y TRANSPORTES S.A.S ZESE</t>
  </si>
  <si>
    <t>BOGOTA DISTRITO - SECRETARIA DE EDUCACION</t>
  </si>
  <si>
    <t>FONDO FINANCIERO DE PROYECTOS DE DESARROLLO
FONADE</t>
  </si>
  <si>
    <t>M&amp;M INGENIEROS ASOCIADOS SAS</t>
  </si>
  <si>
    <t>EMPRESA NACIONAL PROMOTORA DEL DESARROLLO
TERRITORIAL- ENTERRITORIO</t>
  </si>
  <si>
    <t>MINISTERIO_DE_EDUCACION_NACIONAL</t>
  </si>
  <si>
    <t>MUNICIPIO DE PALESTINA</t>
  </si>
  <si>
    <t>DEPARTAMENTO
DE CORDOBA</t>
  </si>
  <si>
    <t>GRUPO EGV
CONSTRUCCIONES
ZOMAC SAS</t>
  </si>
  <si>
    <t>FONDEO DE ADAPTACION</t>
  </si>
  <si>
    <t>MUNICIPIO DE MONTERIA</t>
  </si>
  <si>
    <t>58 y 64</t>
  </si>
  <si>
    <t>DEPARTAMENTO DE SUCRE</t>
  </si>
  <si>
    <t>72 y 75</t>
  </si>
  <si>
    <t>MEDICINA INTEGRAL S.A.S.</t>
  </si>
  <si>
    <t>MUNICIPIO DE SABANALARGA</t>
  </si>
  <si>
    <t>GRUPO TITANIUM S.A.S.</t>
  </si>
  <si>
    <t>CENTRAL ADMINISTRATIVA Y CONTABLE
ESPECIALIZADA CENAC AVIACION</t>
  </si>
  <si>
    <t>ADMINISTRATIVA Y CONTABLE
ESPECIALIZADA CENAC AVIACION</t>
  </si>
  <si>
    <t>CAUSAL DE RECHAZO T. No presentar oferta económica. Entregar la información de la propuesta económica en el sobre que no corresponda.</t>
  </si>
  <si>
    <t>DEPARTAMENTO DE BOLIVAR</t>
  </si>
  <si>
    <t>EMSAAC INGENIERIA S.A.S</t>
  </si>
  <si>
    <t>13/01/20217</t>
  </si>
  <si>
    <t>GOBERNACIÓN DEL DEPARTAMENTO DE BOLÍVAR</t>
  </si>
  <si>
    <t>DIRECCION DE INVESTIGACION CRIMINAL E INTERPOL</t>
  </si>
  <si>
    <t>DISTRITO CAPITAL - SECRETARIA DE
EDUCACION DEL DISTRITO</t>
  </si>
  <si>
    <t>PATRIMONIO AUTONOMO FIDEICOMISO ASISTENCIA
TECNICA FINDETER - FIDUCIARIA BOGOTA S.A</t>
  </si>
  <si>
    <t>FONDO ROTATORIO DE LA REGISTRADURIA NACIONAL
DEL ESTADO CIVIL</t>
  </si>
  <si>
    <t>INSTITUTO DE MERCADEO AGROPECUARIO</t>
  </si>
  <si>
    <t>CENTRAL ADMINISTRATIVA Y CONTABLE
ESPECIALIZADA CENAC INGENIEROS</t>
  </si>
  <si>
    <t>GESTIÓN EMPRESARIAL CONSTRUCIVIL S.A.S.</t>
  </si>
  <si>
    <t>MINISTERIO DE DEFENSA NACIONAL - EJÉRCITO
NACIONAL - CENTRAL ADMINISTRATIVA Y CONTABLE ESPECIALIZADA DE INGENIEROS</t>
  </si>
  <si>
    <t>CONSTRUCTORA ANJOR S.A.S</t>
  </si>
  <si>
    <t>NO CUMPLE CON REVISOR FISCAL EN EVALUACIÓN JURÍDICA</t>
  </si>
  <si>
    <t>GRUPO GRAND CONSTRUCCIONES S.A.S</t>
  </si>
  <si>
    <t>DISEÑOS Y CONSTRUCCIONES PT S.A.S</t>
  </si>
  <si>
    <t>CONSORCIO ALIANZA TURISTICA</t>
  </si>
  <si>
    <t>ESTUDIOS CONSULTORIAS Y OBRAS S.A.S.</t>
  </si>
  <si>
    <t>FONDO NACIONAL DE TURISMO - FONTUR</t>
  </si>
  <si>
    <t>E.S.E. HOSPITAL FRAY LUIS DE LEON</t>
  </si>
  <si>
    <t>CONSORCIO XP</t>
  </si>
  <si>
    <t>DE COMPENSACION FAMILIAR DE LA GUAJIRACOMFAGUAJIRA</t>
  </si>
  <si>
    <t>MINISTERIO DE DEFENSA NACIONAL - INSTITUTO DE CASAS FISCALES DEL EJERCITO</t>
  </si>
  <si>
    <t>NO CUMPLE 
NO CUMPLE CON EL NUMERAL 3.5.8. RELACIÓN DE LOS CONTRATOS FRENTE AL PRESUPUESTO OFICIAL
NO CUMPLE EXPERIENCIA ESPECÍFICA DE ACTIVIDAD PRINCIPAL</t>
  </si>
  <si>
    <t>FONDO FINANCIERO DE PROYECTOS DE DESARROLLO -
FONADE</t>
  </si>
  <si>
    <t>NO INDICA ÁREA CONSTRUIDA</t>
  </si>
  <si>
    <t>MUNICIPIO DE SOACHA</t>
  </si>
  <si>
    <t>ALCALDÍA MUNICIPAL DE SAN ESTANISLAO DE KOSTKA BOLÍVAR</t>
  </si>
  <si>
    <t>NO CUMPLE 
NO CUMPLE EXPERIENCIA ESPECÍFICA DE ACTIVIDAD PRINCIPAL</t>
  </si>
  <si>
    <t>INSTITUTO DEPARTAMENTAL DE RECREACION Y DEPORTE DE BOLIVAR " IDERBOL"</t>
  </si>
  <si>
    <t>URBACONSTRUCCIONES DEL CARIBE S.A.S
NIT:901977879-</t>
  </si>
  <si>
    <t>MUNICIPIO DE LOS PALMITOS</t>
  </si>
  <si>
    <t>NO CUMPLE EVALUACIÓN JURÍDICA</t>
  </si>
  <si>
    <t>DEPARTAMENTO DE VAUPES</t>
  </si>
  <si>
    <t>CLINICA MINERVA SA</t>
  </si>
  <si>
    <t>CONSORCIO AE2</t>
  </si>
  <si>
    <t>INSTITUTO_DE_INFRAESTRUCTURA_Y_CONSECIONES_DE_CUNDINAMARCA_-_ICCU</t>
  </si>
  <si>
    <t>ALVARO FONNEGRA JARAMILLO</t>
  </si>
  <si>
    <t>FONDO ROTATORIO DE LA POLICIA</t>
  </si>
  <si>
    <t>ASIRCON CONTRATISTAS SAS</t>
  </si>
  <si>
    <t>DEPARTAMENTO DE ANTIOQUIA</t>
  </si>
  <si>
    <t>41 y 80</t>
  </si>
  <si>
    <t>EIDELCA SAS 40%</t>
  </si>
  <si>
    <t>EE INGENIERIA
SAS</t>
  </si>
  <si>
    <t>EE INGENIERIA
SAS - MEG
OBRAS SAS</t>
  </si>
  <si>
    <t>35-48</t>
  </si>
  <si>
    <t>NO CUMPLE
NO CUMPLE LITERAL D DEL NUMERAL 3.5.2 CONSIDERACIONES PARA LA VALIDEZ DE LA EXPERIENCIA REQUERIDA</t>
  </si>
  <si>
    <t>ALCALDIA DISTRITAL DE BARRANQUILLA</t>
  </si>
  <si>
    <t>JLN Ingeniería
SAS</t>
  </si>
  <si>
    <t>DISTRITO TURÍSTICO, CULTURAL E HISTÓRICO DE SANTA MARTA</t>
  </si>
  <si>
    <t>N&amp;G Intercon
SAS</t>
  </si>
  <si>
    <t>SECRETARIA DE EDUCACION DISTRITAL - BOGOTA DISTRITO CAPITAL</t>
  </si>
  <si>
    <t>INTERASOCIADOS
ROCARTECH SAS 90%</t>
  </si>
  <si>
    <t>SECRETARIA DE EDUCACION DE BOGOTA- ALCALDIA DISTRITAL</t>
  </si>
  <si>
    <t>SECRETARIA DE EDUCACION DEL DISTRITO - BOGOTA DISTRITO CAPITAL</t>
  </si>
  <si>
    <t>CAJA DE COMPENSACION FAMILIAR DE BOYACA "COMFABOY"</t>
  </si>
  <si>
    <t>CONSTRUCTORA ZURIA SAS 70%</t>
  </si>
  <si>
    <t>FONDO ROTATORIO DE LA POLICIA NACIONAL</t>
  </si>
  <si>
    <t>CARLOS ALFONSO MORENO
MUÑOZ 30%</t>
  </si>
  <si>
    <t>ESE HOSPITAL PRESBÍTERO EMIGDIO PALACIO ENTRERRIOS</t>
  </si>
  <si>
    <t>AGENCIA LOGISTICA DE LAS FUERZAS MILITARES</t>
  </si>
  <si>
    <t xml:space="preserve">EBM CONSTRUCCIONES E INTERVENTORIAS S.A.S
</t>
  </si>
  <si>
    <t>BASE NAVAL ARC BOLIVAR</t>
  </si>
  <si>
    <t>R.R. CONSTRUCIVILES S.A.S 80%</t>
  </si>
  <si>
    <t>ESCUELA NAVAL DE SUBOFICIALESL ARC BARRANQUILLA</t>
  </si>
  <si>
    <t>ALCALDÍA MAYOR DE CARTAGENA</t>
  </si>
  <si>
    <t>MARCO FIDEL SUAREZ VEGA 10%</t>
  </si>
  <si>
    <t>MUNICIPIO DE ARJONA</t>
  </si>
  <si>
    <t>CIVILEC SAS 10%</t>
  </si>
  <si>
    <t>ALCALDIA MAYOR DE CARTAGENA DE INDIAS D.T. Y C</t>
  </si>
  <si>
    <t>NO CUMPLE CON LA EXPERIENCIA ESPECIFICA DE LA ACTIVIDAD PRINCIPAL, DEBE ACREDITAR EN POR LO MENOS UNO (1) DE LOS CONTRATOS CON UN ÁREA CONSTRUIDA IGUAL O SUPERIOR A 3363.37 M2</t>
  </si>
  <si>
    <t>SECRETARIA DE INTEGRACION SOCIAL</t>
  </si>
  <si>
    <t>JASA LTDA 50%</t>
  </si>
  <si>
    <t>MUNICIPIO DE TOCANCIPA</t>
  </si>
  <si>
    <t>TRE-D INGENIERIA Y SOLUCIONES SAS 50%</t>
  </si>
  <si>
    <t>INSTITUTO DISTRITAL PARA LA PROTECCION DE LA NIÑEZ</t>
  </si>
  <si>
    <t>FUNDACION UNIVERSITARIA AGRARIA DE COLOMBIA</t>
  </si>
  <si>
    <t>CONSEJO SUPERIOR DE LA JUDICATURA</t>
  </si>
  <si>
    <t>CONCITEC SAS / JESUS JOHANN BUENDIA RODIRGUEZ</t>
  </si>
  <si>
    <t>3 Y 17</t>
  </si>
  <si>
    <t>8/012013</t>
  </si>
  <si>
    <t>MINISTERIO DE EDUCACION NACIONAL</t>
  </si>
  <si>
    <t>JESUS JOHANN BUENDIA RODIRGUEZ 10%</t>
  </si>
  <si>
    <t>BOGOTA DISTRITO CAPITAL -SECRETARIA DE
EDUCACION DEL DISTRITO</t>
  </si>
  <si>
    <t>TRAZZO PROYECTOS DISEÑOS SAS 40%</t>
  </si>
  <si>
    <t>SECRETARIA DE EDUCACION DISTRITAL</t>
  </si>
  <si>
    <t>PAOLA LOPEZ TRIVIÑO 10%</t>
  </si>
  <si>
    <t>CONSORCIO PALATIUM CS</t>
  </si>
  <si>
    <t>SOCIEDAD COLOMBIANA DE INGENIERÍA Y CONSTRUCCIÓN SAS 90%</t>
  </si>
  <si>
    <t>ESE HOSPITAL SAN JUAN DE DIOS DEL MUNICIPIO DE YARUMAL, ANTIOQUIA</t>
  </si>
  <si>
    <t>ACERO MAS CONCRETO SAS 70%</t>
  </si>
  <si>
    <t>EXPERIENCIA GENERAL Y ESPECIFICA</t>
  </si>
  <si>
    <t>CONCIVE S.A.S 30%</t>
  </si>
  <si>
    <t>CONSORCIO PRO PALACIO</t>
  </si>
  <si>
    <t>EMPRESA DE DESARROLLO URBANO DE BARRANQUILLA Y LA REGION CARIBE SA</t>
  </si>
  <si>
    <t>PROYECTOS Y GESTION DEL DESARROLLO SAS 90%</t>
  </si>
  <si>
    <t>DIRECCIÓN ADMINISTRATIVA POLICIA NACIONAL</t>
  </si>
  <si>
    <t>LOPECA SAS 20 %</t>
  </si>
  <si>
    <t>FINDETER SA - FIDUCIARIA BOGOTA SA</t>
  </si>
  <si>
    <t>CUANTICO INGENIERIA SAS 80%</t>
  </si>
  <si>
    <t>7/72015</t>
  </si>
  <si>
    <t>INGENIERIA COLOMBIANA MONTERUBIO SAS 51%</t>
  </si>
  <si>
    <t>MALU PROYECTOS E INVERSIONES S.A.S. 49%</t>
  </si>
  <si>
    <t>CONSTRUCCIONES E INVERSIONES ESTELAR  50%</t>
  </si>
  <si>
    <t>POLICIA NACIONAL -DIRECCION ADMINISTRATIVA Y FINANCIERA</t>
  </si>
  <si>
    <t>DEPARTAMENTO_DEL_CASANARE</t>
  </si>
  <si>
    <t>ARQQOR ASOCIADOS SAS 25%</t>
  </si>
  <si>
    <t>ISMAEL GUTIERREZ HERRERA 25%</t>
  </si>
  <si>
    <t>DIRECCIÓN ADMINISTRATIVA Y FINANCIERA POLICÍA NACIONAL</t>
  </si>
  <si>
    <t>IGL INGENIERIA SAS 60%</t>
  </si>
  <si>
    <t>DISTRITO ESPECIAL DE CIENCIA TECNOLOGIA E INNOVACION DE MEDELLIN</t>
  </si>
  <si>
    <t>EDESO</t>
  </si>
  <si>
    <t>CONCREA SERVICIOS SAS 40 %</t>
  </si>
  <si>
    <t>NACIONAL - DIRECCION LOGISTICA Y
FINANCIERA</t>
  </si>
  <si>
    <t xml:space="preserve">SAFRID INGENIERIA SAS 90% </t>
  </si>
  <si>
    <t xml:space="preserve"> 158
</t>
  </si>
  <si>
    <t>BOGOTA DISTRITO CAPITAL - SECRETARÍA DE
EDUCACIÓN DEL DISTRITO</t>
  </si>
  <si>
    <t xml:space="preserve">90
</t>
  </si>
  <si>
    <t xml:space="preserve"> 123
</t>
  </si>
  <si>
    <t>INCEL LTDA</t>
  </si>
  <si>
    <t>ALCALDIA DE CARTAGENA</t>
  </si>
  <si>
    <t>CONSTRUCTORA CARIBEAN NORTE 90%</t>
  </si>
  <si>
    <t>MUNICIPIO DE SAN ANTERO</t>
  </si>
  <si>
    <t>INSTITUTO DE DEPORTES Y RECREACION - INDER</t>
  </si>
  <si>
    <t>CONSTRUCTORA ML SAS 25%</t>
  </si>
  <si>
    <t>MUNICIPIO DE TAURAMENA</t>
  </si>
  <si>
    <t>LOAR  INGENIEROS SAS 25%</t>
  </si>
  <si>
    <t>MUNICIPIO DE BUCARAMANGA</t>
  </si>
  <si>
    <t xml:space="preserve">AARCON SAS 50%  </t>
  </si>
  <si>
    <t>SILVIO VILLEGAS SADDER</t>
  </si>
  <si>
    <t>Profesional Universitario Grado 11</t>
  </si>
  <si>
    <t>MARLYS CANTILLO MARTINEZ</t>
  </si>
  <si>
    <t>Coordinadora Area Administrativa</t>
  </si>
  <si>
    <r>
      <t>OBJETO</t>
    </r>
    <r>
      <rPr>
        <sz val="9"/>
        <rFont val="Arial"/>
        <family val="2"/>
      </rPr>
      <t>:   Construcción del Palacio de Justicia de Magangué</t>
    </r>
  </si>
  <si>
    <t>Ítem</t>
  </si>
  <si>
    <t>OFERENTE</t>
  </si>
  <si>
    <t>Dentro de la información aportada no se encuentran documentos financieros que permitan determinar el mejor ingreso operacional del integrante IGL INGENIERIA SAS (Debe subsanar)</t>
  </si>
  <si>
    <t>NO CUMPLE FIRMEZA RUP</t>
  </si>
  <si>
    <t>RECHAZADO OFERTA ECONÓMICA EN SOBRE 1</t>
  </si>
  <si>
    <t>N° MASIVO</t>
  </si>
  <si>
    <t>SE RECHAZA VER INFORME  EXPERIENCIA"</t>
  </si>
  <si>
    <t>NO CUMPLE
Por lo menos uno (1) de los contratos válidos aportados como experiencia general debe contemplar un área construida igual y/o superior al 50% del total de metros cuadrados del proceso de selección, el cuál corresponde a 3363,37 m2</t>
  </si>
  <si>
    <t>UNIVERSIDAD DE CARTAGENA</t>
  </si>
  <si>
    <t>NO CUMPLE-NO INDICA</t>
  </si>
  <si>
    <t>NO CUMPLE CON LA FIRMEZA DEL RUP DEL CONSORCIADO JESUS ARMANDO CERVANTES CEBALLOS</t>
  </si>
  <si>
    <t>SECRETARÍA DE EDUCACIÓN DEL DISTRITO - BOGOTA
DISTRITO CAPITAL</t>
  </si>
  <si>
    <t>UNIVERSIDAD MILITAR NUEVA GRANADA</t>
  </si>
  <si>
    <t>UNIVERSIDAD DE PAMPLONA</t>
  </si>
  <si>
    <t>CORPONOR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</si>
</sst>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* #,##0.00_);_(* \(#,##0.00\);_(* &quot;-&quot;??_);_(@_)"/>
    <numFmt numFmtId="168" formatCode="_(* #,##0_);_(* \(#,##0\);_(* &quot;-&quot;_);_(@_)"/>
    <numFmt numFmtId="169" formatCode="_(&quot;$&quot;\ * #,##0.00_);_(&quot;$&quot;\ * \(#,##0.00\);_(&quot;$&quot;\ * &quot;-&quot;??_);_(@_)"/>
    <numFmt numFmtId="170" formatCode="_-* #,##0_-;\-* #,##0_-;_-* &quot;-&quot;??_-;_-@_-"/>
    <numFmt numFmtId="171" formatCode="&quot;$&quot;\ #,##0"/>
    <numFmt numFmtId="172" formatCode="0.0"/>
    <numFmt numFmtId="173" formatCode="_(* #,##0_);_(* \(#,##0\);_(* &quot;-&quot;??_);_(@_)"/>
    <numFmt numFmtId="174" formatCode="#,##0.0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rgb="FF000000"/>
      <name val="Arial  "/>
    </font>
    <font>
      <sz val="9"/>
      <color theme="1"/>
      <name val="Arial  "/>
    </font>
    <font>
      <sz val="9"/>
      <color rgb="FF000000"/>
      <name val="Arial  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theme="1"/>
      <name val="Arial  "/>
    </font>
    <font>
      <b/>
      <sz val="8"/>
      <color rgb="FF000000"/>
      <name val="Arial  "/>
    </font>
    <font>
      <sz val="9"/>
      <name val="Arial  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B050"/>
      <name val="Arial"/>
      <family val="2"/>
    </font>
    <font>
      <b/>
      <sz val="12"/>
      <color rgb="FFFF0000"/>
      <name val="Arial"/>
      <family val="2"/>
    </font>
    <font>
      <b/>
      <i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5"/>
      <name val="Arial"/>
      <family val="2"/>
    </font>
    <font>
      <sz val="11"/>
      <color theme="1"/>
      <name val="Arial"/>
      <family val="2"/>
    </font>
    <font>
      <sz val="8"/>
      <color rgb="FF000000"/>
      <name val="Arial  "/>
    </font>
    <font>
      <b/>
      <i/>
      <sz val="12"/>
      <name val="Times New Roman"/>
      <family val="1"/>
    </font>
    <font>
      <b/>
      <sz val="1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6"/>
      <color theme="9"/>
      <name val="Arial"/>
      <family val="2"/>
    </font>
    <font>
      <sz val="12"/>
      <color indexed="8"/>
      <name val="Arial"/>
      <family val="2"/>
    </font>
    <font>
      <b/>
      <sz val="16"/>
      <color rgb="FFFF0000"/>
      <name val="Arial"/>
      <family val="2"/>
    </font>
    <font>
      <sz val="12"/>
      <color rgb="FFFF0000"/>
      <name val="Arial"/>
      <family val="2"/>
    </font>
    <font>
      <b/>
      <sz val="16"/>
      <color rgb="FF00B050"/>
      <name val="Arial"/>
      <family val="2"/>
    </font>
    <font>
      <sz val="7"/>
      <name val="Arial"/>
      <family val="2"/>
    </font>
    <font>
      <b/>
      <sz val="9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462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4" fontId="11" fillId="0" borderId="0" xfId="1" applyNumberFormat="1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0" fillId="0" borderId="13" xfId="0" applyBorder="1"/>
    <xf numFmtId="3" fontId="0" fillId="0" borderId="14" xfId="0" applyNumberFormat="1" applyBorder="1"/>
    <xf numFmtId="3" fontId="0" fillId="0" borderId="8" xfId="0" applyNumberFormat="1" applyBorder="1"/>
    <xf numFmtId="3" fontId="0" fillId="0" borderId="0" xfId="0" applyNumberFormat="1"/>
    <xf numFmtId="43" fontId="0" fillId="0" borderId="0" xfId="12" applyFont="1"/>
    <xf numFmtId="43" fontId="0" fillId="0" borderId="9" xfId="12" applyFont="1" applyBorder="1"/>
    <xf numFmtId="0" fontId="0" fillId="0" borderId="13" xfId="0" applyBorder="1" applyAlignment="1">
      <alignment horizontal="center"/>
    </xf>
    <xf numFmtId="3" fontId="0" fillId="0" borderId="10" xfId="0" applyNumberFormat="1" applyBorder="1"/>
    <xf numFmtId="3" fontId="0" fillId="0" borderId="0" xfId="0" applyNumberFormat="1" applyAlignment="1">
      <alignment horizontal="center"/>
    </xf>
    <xf numFmtId="3" fontId="0" fillId="0" borderId="14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0" fillId="0" borderId="10" xfId="0" applyNumberFormat="1" applyBorder="1" applyAlignment="1">
      <alignment horizontal="right"/>
    </xf>
    <xf numFmtId="0" fontId="16" fillId="0" borderId="1" xfId="0" applyFont="1" applyBorder="1" applyAlignment="1">
      <alignment horizontal="center" vertical="center" wrapText="1"/>
    </xf>
    <xf numFmtId="170" fontId="15" fillId="7" borderId="1" xfId="12" applyNumberFormat="1" applyFont="1" applyFill="1" applyBorder="1" applyAlignment="1">
      <alignment horizontal="center" vertical="center" wrapText="1"/>
    </xf>
    <xf numFmtId="43" fontId="15" fillId="0" borderId="3" xfId="12" applyFont="1" applyBorder="1" applyAlignment="1">
      <alignment horizontal="center"/>
    </xf>
    <xf numFmtId="170" fontId="15" fillId="0" borderId="3" xfId="12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43" fontId="15" fillId="0" borderId="2" xfId="12" applyFont="1" applyBorder="1" applyAlignment="1">
      <alignment horizontal="center"/>
    </xf>
    <xf numFmtId="43" fontId="15" fillId="0" borderId="2" xfId="12" applyFont="1" applyFill="1" applyBorder="1" applyAlignment="1">
      <alignment horizontal="center"/>
    </xf>
    <xf numFmtId="170" fontId="15" fillId="0" borderId="2" xfId="12" applyNumberFormat="1" applyFont="1" applyFill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43" fontId="15" fillId="0" borderId="1" xfId="12" applyFont="1" applyFill="1" applyBorder="1" applyAlignment="1">
      <alignment horizontal="center"/>
    </xf>
    <xf numFmtId="3" fontId="15" fillId="0" borderId="1" xfId="13" applyNumberFormat="1" applyFont="1" applyFill="1" applyBorder="1" applyAlignment="1">
      <alignment horizontal="center"/>
    </xf>
    <xf numFmtId="10" fontId="15" fillId="0" borderId="1" xfId="13" applyNumberFormat="1" applyFont="1" applyFill="1" applyBorder="1" applyAlignment="1">
      <alignment horizontal="center"/>
    </xf>
    <xf numFmtId="10" fontId="15" fillId="0" borderId="17" xfId="13" applyNumberFormat="1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2" fontId="15" fillId="5" borderId="1" xfId="0" applyNumberFormat="1" applyFont="1" applyFill="1" applyBorder="1" applyAlignment="1">
      <alignment horizontal="center"/>
    </xf>
    <xf numFmtId="43" fontId="15" fillId="5" borderId="1" xfId="12" applyFont="1" applyFill="1" applyBorder="1" applyAlignment="1">
      <alignment horizontal="center"/>
    </xf>
    <xf numFmtId="3" fontId="15" fillId="5" borderId="1" xfId="13" applyNumberFormat="1" applyFont="1" applyFill="1" applyBorder="1" applyAlignment="1">
      <alignment horizontal="center"/>
    </xf>
    <xf numFmtId="10" fontId="15" fillId="5" borderId="1" xfId="13" applyNumberFormat="1" applyFont="1" applyFill="1" applyBorder="1" applyAlignment="1">
      <alignment horizontal="center"/>
    </xf>
    <xf numFmtId="10" fontId="15" fillId="5" borderId="17" xfId="13" applyNumberFormat="1" applyFont="1" applyFill="1" applyBorder="1" applyAlignment="1">
      <alignment horizontal="center"/>
    </xf>
    <xf numFmtId="0" fontId="17" fillId="0" borderId="2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0" fillId="0" borderId="1" xfId="0" applyBorder="1"/>
    <xf numFmtId="43" fontId="15" fillId="0" borderId="4" xfId="12" applyFont="1" applyBorder="1" applyAlignment="1">
      <alignment horizontal="center"/>
    </xf>
    <xf numFmtId="43" fontId="15" fillId="0" borderId="4" xfId="12" applyFont="1" applyFill="1" applyBorder="1" applyAlignment="1">
      <alignment horizontal="center"/>
    </xf>
    <xf numFmtId="170" fontId="15" fillId="0" borderId="4" xfId="12" applyNumberFormat="1" applyFont="1" applyFill="1" applyBorder="1" applyAlignment="1">
      <alignment horizontal="center"/>
    </xf>
    <xf numFmtId="43" fontId="15" fillId="0" borderId="4" xfId="12" applyFont="1" applyFill="1" applyBorder="1" applyAlignment="1">
      <alignment horizontal="left"/>
    </xf>
    <xf numFmtId="43" fontId="15" fillId="0" borderId="3" xfId="12" applyFont="1" applyFill="1" applyBorder="1" applyAlignment="1">
      <alignment horizontal="center"/>
    </xf>
    <xf numFmtId="170" fontId="15" fillId="0" borderId="3" xfId="12" applyNumberFormat="1" applyFont="1" applyFill="1" applyBorder="1" applyAlignment="1">
      <alignment horizontal="center"/>
    </xf>
    <xf numFmtId="43" fontId="0" fillId="7" borderId="1" xfId="12" applyFont="1" applyFill="1" applyBorder="1" applyAlignment="1">
      <alignment horizontal="center"/>
    </xf>
    <xf numFmtId="170" fontId="0" fillId="7" borderId="1" xfId="12" applyNumberFormat="1" applyFont="1" applyFill="1" applyBorder="1" applyAlignment="1">
      <alignment horizontal="center"/>
    </xf>
    <xf numFmtId="43" fontId="15" fillId="0" borderId="1" xfId="12" applyFont="1" applyBorder="1" applyAlignment="1">
      <alignment horizontal="center"/>
    </xf>
    <xf numFmtId="170" fontId="15" fillId="0" borderId="1" xfId="12" applyNumberFormat="1" applyFont="1" applyFill="1" applyBorder="1" applyAlignment="1">
      <alignment horizontal="center"/>
    </xf>
    <xf numFmtId="0" fontId="17" fillId="0" borderId="4" xfId="0" applyFont="1" applyBorder="1" applyAlignment="1">
      <alignment wrapText="1"/>
    </xf>
    <xf numFmtId="43" fontId="0" fillId="7" borderId="2" xfId="12" applyFont="1" applyFill="1" applyBorder="1" applyAlignment="1">
      <alignment horizontal="center"/>
    </xf>
    <xf numFmtId="170" fontId="0" fillId="7" borderId="2" xfId="12" applyNumberFormat="1" applyFont="1" applyFill="1" applyBorder="1" applyAlignment="1">
      <alignment horizontal="center"/>
    </xf>
    <xf numFmtId="2" fontId="15" fillId="0" borderId="18" xfId="0" applyNumberFormat="1" applyFont="1" applyBorder="1" applyAlignment="1">
      <alignment horizontal="center"/>
    </xf>
    <xf numFmtId="0" fontId="8" fillId="0" borderId="0" xfId="2" applyFont="1" applyAlignment="1">
      <alignment horizontal="left" vertical="center" wrapText="1"/>
    </xf>
    <xf numFmtId="43" fontId="8" fillId="0" borderId="0" xfId="12" applyFont="1" applyAlignment="1">
      <alignment horizontal="left" vertical="center" wrapText="1"/>
    </xf>
    <xf numFmtId="170" fontId="8" fillId="0" borderId="0" xfId="12" applyNumberFormat="1" applyFont="1" applyAlignment="1">
      <alignment horizontal="left" vertical="center" wrapText="1"/>
    </xf>
    <xf numFmtId="9" fontId="0" fillId="0" borderId="0" xfId="13" applyFont="1" applyAlignment="1">
      <alignment horizontal="center"/>
    </xf>
    <xf numFmtId="0" fontId="17" fillId="0" borderId="0" xfId="0" applyFont="1" applyAlignment="1">
      <alignment horizontal="center" wrapText="1"/>
    </xf>
    <xf numFmtId="170" fontId="0" fillId="0" borderId="0" xfId="12" applyNumberFormat="1" applyFont="1"/>
    <xf numFmtId="0" fontId="19" fillId="0" borderId="0" xfId="0" applyFont="1"/>
    <xf numFmtId="43" fontId="15" fillId="0" borderId="0" xfId="12" applyFont="1" applyAlignment="1">
      <alignment horizontal="center"/>
    </xf>
    <xf numFmtId="170" fontId="15" fillId="0" borderId="0" xfId="12" applyNumberFormat="1" applyFont="1" applyAlignment="1">
      <alignment horizontal="center"/>
    </xf>
    <xf numFmtId="170" fontId="0" fillId="0" borderId="0" xfId="12" applyNumberFormat="1" applyFont="1" applyAlignment="1">
      <alignment horizontal="center"/>
    </xf>
    <xf numFmtId="0" fontId="20" fillId="0" borderId="0" xfId="0" applyFont="1"/>
    <xf numFmtId="3" fontId="15" fillId="0" borderId="0" xfId="0" applyNumberFormat="1" applyFont="1" applyAlignment="1">
      <alignment horizontal="center"/>
    </xf>
    <xf numFmtId="0" fontId="18" fillId="0" borderId="0" xfId="0" applyFont="1" applyAlignment="1">
      <alignment horizontal="center" wrapText="1"/>
    </xf>
    <xf numFmtId="0" fontId="21" fillId="0" borderId="0" xfId="0" applyFont="1"/>
    <xf numFmtId="9" fontId="18" fillId="0" borderId="1" xfId="13" applyFont="1" applyFill="1" applyBorder="1" applyAlignment="1">
      <alignment horizontal="center" wrapText="1"/>
    </xf>
    <xf numFmtId="3" fontId="18" fillId="0" borderId="1" xfId="0" applyNumberFormat="1" applyFont="1" applyBorder="1" applyAlignment="1">
      <alignment horizontal="center" wrapText="1"/>
    </xf>
    <xf numFmtId="43" fontId="18" fillId="0" borderId="1" xfId="12" applyFont="1" applyFill="1" applyBorder="1" applyAlignment="1">
      <alignment horizontal="center" wrapText="1"/>
    </xf>
    <xf numFmtId="3" fontId="18" fillId="0" borderId="0" xfId="0" applyNumberFormat="1" applyFont="1" applyAlignment="1">
      <alignment horizontal="center" wrapText="1"/>
    </xf>
    <xf numFmtId="0" fontId="20" fillId="0" borderId="13" xfId="0" applyFont="1" applyBorder="1"/>
    <xf numFmtId="3" fontId="0" fillId="0" borderId="1" xfId="0" applyNumberFormat="1" applyBorder="1"/>
    <xf numFmtId="9" fontId="0" fillId="0" borderId="1" xfId="13" applyFont="1" applyFill="1" applyBorder="1"/>
    <xf numFmtId="43" fontId="0" fillId="0" borderId="1" xfId="12" applyFont="1" applyFill="1" applyBorder="1"/>
    <xf numFmtId="3" fontId="0" fillId="0" borderId="17" xfId="0" applyNumberFormat="1" applyBorder="1"/>
    <xf numFmtId="3" fontId="0" fillId="0" borderId="24" xfId="0" applyNumberFormat="1" applyBorder="1"/>
    <xf numFmtId="43" fontId="0" fillId="0" borderId="24" xfId="12" applyFont="1" applyBorder="1"/>
    <xf numFmtId="3" fontId="0" fillId="0" borderId="18" xfId="0" applyNumberFormat="1" applyBorder="1"/>
    <xf numFmtId="43" fontId="0" fillId="0" borderId="1" xfId="12" applyFont="1" applyBorder="1"/>
    <xf numFmtId="0" fontId="20" fillId="0" borderId="13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wrapText="1"/>
    </xf>
    <xf numFmtId="9" fontId="0" fillId="0" borderId="0" xfId="13" applyFont="1" applyFill="1"/>
    <xf numFmtId="43" fontId="0" fillId="0" borderId="18" xfId="12" applyFont="1" applyBorder="1"/>
    <xf numFmtId="9" fontId="0" fillId="0" borderId="24" xfId="13" applyFont="1" applyBorder="1"/>
    <xf numFmtId="0" fontId="2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10" borderId="1" xfId="0" applyFont="1" applyFill="1" applyBorder="1"/>
    <xf numFmtId="0" fontId="25" fillId="0" borderId="1" xfId="0" applyFont="1" applyBorder="1"/>
    <xf numFmtId="0" fontId="26" fillId="0" borderId="1" xfId="0" applyFont="1" applyBorder="1"/>
    <xf numFmtId="0" fontId="26" fillId="0" borderId="1" xfId="0" applyFont="1" applyBorder="1" applyAlignment="1">
      <alignment horizontal="center" vertical="center" wrapText="1"/>
    </xf>
    <xf numFmtId="0" fontId="3" fillId="10" borderId="1" xfId="0" applyFont="1" applyFill="1" applyBorder="1"/>
    <xf numFmtId="0" fontId="27" fillId="0" borderId="1" xfId="0" applyFont="1" applyBorder="1"/>
    <xf numFmtId="0" fontId="24" fillId="10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5" fillId="1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wrapText="1"/>
    </xf>
    <xf numFmtId="0" fontId="26" fillId="14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6" fillId="10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5" borderId="1" xfId="0" quotePrefix="1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0" fontId="26" fillId="8" borderId="1" xfId="0" applyFont="1" applyFill="1" applyBorder="1" applyAlignment="1">
      <alignment horizontal="center" vertical="center" wrapText="1"/>
    </xf>
    <xf numFmtId="0" fontId="26" fillId="16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6" fillId="8" borderId="1" xfId="0" applyFont="1" applyFill="1" applyBorder="1"/>
    <xf numFmtId="0" fontId="26" fillId="16" borderId="1" xfId="0" applyFont="1" applyFill="1" applyBorder="1"/>
    <xf numFmtId="0" fontId="25" fillId="8" borderId="1" xfId="0" applyFont="1" applyFill="1" applyBorder="1" applyAlignment="1">
      <alignment horizontal="left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vertical="center"/>
    </xf>
    <xf numFmtId="0" fontId="2" fillId="10" borderId="1" xfId="0" applyFont="1" applyFill="1" applyBorder="1" applyAlignment="1">
      <alignment horizontal="justify" vertical="center" wrapText="1"/>
    </xf>
    <xf numFmtId="0" fontId="3" fillId="10" borderId="3" xfId="0" applyFont="1" applyFill="1" applyBorder="1"/>
    <xf numFmtId="0" fontId="27" fillId="0" borderId="3" xfId="0" applyFont="1" applyBorder="1"/>
    <xf numFmtId="0" fontId="25" fillId="0" borderId="3" xfId="0" applyFont="1" applyBorder="1"/>
    <xf numFmtId="0" fontId="2" fillId="15" borderId="1" xfId="0" applyFont="1" applyFill="1" applyBorder="1" applyAlignment="1">
      <alignment horizontal="left"/>
    </xf>
    <xf numFmtId="0" fontId="2" fillId="15" borderId="1" xfId="0" applyFont="1" applyFill="1" applyBorder="1"/>
    <xf numFmtId="0" fontId="2" fillId="15" borderId="1" xfId="0" applyFont="1" applyFill="1" applyBorder="1" applyAlignment="1">
      <alignment horizontal="center"/>
    </xf>
    <xf numFmtId="0" fontId="25" fillId="15" borderId="1" xfId="0" applyFont="1" applyFill="1" applyBorder="1"/>
    <xf numFmtId="0" fontId="3" fillId="15" borderId="1" xfId="0" applyFont="1" applyFill="1" applyBorder="1"/>
    <xf numFmtId="0" fontId="27" fillId="15" borderId="1" xfId="0" applyFont="1" applyFill="1" applyBorder="1"/>
    <xf numFmtId="0" fontId="3" fillId="10" borderId="4" xfId="0" applyFont="1" applyFill="1" applyBorder="1" applyAlignment="1">
      <alignment horizontal="left" vertical="center" wrapText="1"/>
    </xf>
    <xf numFmtId="0" fontId="2" fillId="10" borderId="0" xfId="0" applyFont="1" applyFill="1" applyAlignment="1">
      <alignment horizontal="left" vertical="center" wrapText="1"/>
    </xf>
    <xf numFmtId="0" fontId="29" fillId="0" borderId="0" xfId="0" applyFont="1"/>
    <xf numFmtId="0" fontId="29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6" fillId="1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170" fontId="0" fillId="6" borderId="1" xfId="12" applyNumberFormat="1" applyFont="1" applyFill="1" applyBorder="1" applyAlignment="1">
      <alignment horizontal="center"/>
    </xf>
    <xf numFmtId="43" fontId="15" fillId="0" borderId="20" xfId="12" applyFont="1" applyBorder="1" applyAlignment="1"/>
    <xf numFmtId="43" fontId="15" fillId="0" borderId="21" xfId="12" applyFont="1" applyBorder="1" applyAlignment="1"/>
    <xf numFmtId="43" fontId="15" fillId="0" borderId="22" xfId="12" applyFont="1" applyBorder="1" applyAlignment="1"/>
    <xf numFmtId="43" fontId="15" fillId="0" borderId="1" xfId="12" applyFont="1" applyBorder="1" applyAlignment="1"/>
    <xf numFmtId="170" fontId="0" fillId="0" borderId="1" xfId="12" applyNumberFormat="1" applyFont="1" applyBorder="1"/>
    <xf numFmtId="170" fontId="0" fillId="0" borderId="18" xfId="12" applyNumberFormat="1" applyFont="1" applyBorder="1"/>
    <xf numFmtId="4" fontId="14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6" fillId="7" borderId="1" xfId="0" applyFont="1" applyFill="1" applyBorder="1" applyAlignment="1">
      <alignment wrapText="1"/>
    </xf>
    <xf numFmtId="0" fontId="26" fillId="7" borderId="1" xfId="0" applyFont="1" applyFill="1" applyBorder="1"/>
    <xf numFmtId="0" fontId="31" fillId="8" borderId="0" xfId="1" applyFont="1" applyFill="1" applyAlignment="1">
      <alignment horizontal="center" vertical="center"/>
    </xf>
    <xf numFmtId="0" fontId="3" fillId="8" borderId="19" xfId="16" applyFont="1" applyFill="1" applyBorder="1" applyAlignment="1">
      <alignment horizontal="center" vertical="center" wrapText="1"/>
    </xf>
    <xf numFmtId="0" fontId="3" fillId="8" borderId="0" xfId="16" applyFont="1" applyFill="1" applyAlignment="1">
      <alignment horizontal="center" vertical="center" wrapText="1"/>
    </xf>
    <xf numFmtId="9" fontId="3" fillId="8" borderId="1" xfId="16" applyNumberFormat="1" applyFont="1" applyFill="1" applyBorder="1" applyAlignment="1">
      <alignment horizontal="center" vertical="center" wrapText="1"/>
    </xf>
    <xf numFmtId="171" fontId="2" fillId="0" borderId="17" xfId="3" applyNumberFormat="1" applyFont="1" applyFill="1" applyBorder="1" applyAlignment="1">
      <alignment horizontal="center" vertical="center"/>
    </xf>
    <xf numFmtId="171" fontId="2" fillId="0" borderId="24" xfId="3" applyNumberFormat="1" applyFont="1" applyFill="1" applyBorder="1" applyAlignment="1">
      <alignment horizontal="center" vertical="center"/>
    </xf>
    <xf numFmtId="2" fontId="2" fillId="0" borderId="18" xfId="3" applyNumberFormat="1" applyFont="1" applyFill="1" applyBorder="1" applyAlignment="1">
      <alignment horizontal="center" vertical="center" wrapText="1"/>
    </xf>
    <xf numFmtId="171" fontId="2" fillId="0" borderId="1" xfId="3" applyNumberFormat="1" applyFont="1" applyFill="1" applyBorder="1" applyAlignment="1">
      <alignment horizontal="left" vertical="center"/>
    </xf>
    <xf numFmtId="171" fontId="2" fillId="0" borderId="0" xfId="3" applyNumberFormat="1" applyFont="1" applyFill="1" applyBorder="1" applyAlignment="1">
      <alignment horizontal="left" vertical="center"/>
    </xf>
    <xf numFmtId="2" fontId="3" fillId="0" borderId="1" xfId="1" applyNumberFormat="1" applyFont="1" applyBorder="1" applyAlignment="1">
      <alignment horizontal="center"/>
    </xf>
    <xf numFmtId="172" fontId="2" fillId="0" borderId="0" xfId="1" applyNumberFormat="1" applyFont="1" applyAlignment="1">
      <alignment horizontal="center"/>
    </xf>
    <xf numFmtId="0" fontId="35" fillId="8" borderId="0" xfId="1" applyFont="1" applyFill="1" applyAlignment="1">
      <alignment horizontal="center" vertical="center" wrapText="1"/>
    </xf>
    <xf numFmtId="2" fontId="2" fillId="8" borderId="0" xfId="3" applyNumberFormat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3" fillId="0" borderId="0" xfId="1" applyFont="1" applyAlignment="1">
      <alignment wrapText="1"/>
    </xf>
    <xf numFmtId="0" fontId="37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3" fontId="3" fillId="0" borderId="1" xfId="4" applyNumberFormat="1" applyFont="1" applyFill="1" applyBorder="1" applyAlignment="1">
      <alignment horizontal="center" vertical="center" wrapText="1"/>
    </xf>
    <xf numFmtId="173" fontId="3" fillId="0" borderId="1" xfId="4" applyNumberFormat="1" applyFont="1" applyFill="1" applyBorder="1" applyAlignment="1">
      <alignment horizontal="justify" vertical="center" wrapText="1"/>
    </xf>
    <xf numFmtId="0" fontId="39" fillId="0" borderId="1" xfId="1" applyFont="1" applyBorder="1" applyAlignment="1">
      <alignment horizontal="center" vertical="center" wrapText="1"/>
    </xf>
    <xf numFmtId="1" fontId="3" fillId="0" borderId="1" xfId="4" applyNumberFormat="1" applyFont="1" applyFill="1" applyBorder="1" applyAlignment="1">
      <alignment horizontal="center" vertical="center" wrapText="1"/>
    </xf>
    <xf numFmtId="2" fontId="3" fillId="0" borderId="1" xfId="4" applyNumberFormat="1" applyFont="1" applyFill="1" applyBorder="1" applyAlignment="1">
      <alignment horizontal="center" vertical="center" wrapText="1"/>
    </xf>
    <xf numFmtId="14" fontId="3" fillId="0" borderId="1" xfId="4" applyNumberFormat="1" applyFont="1" applyFill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 wrapText="1"/>
    </xf>
    <xf numFmtId="2" fontId="2" fillId="0" borderId="1" xfId="4" applyNumberFormat="1" applyFont="1" applyFill="1" applyBorder="1" applyAlignment="1">
      <alignment horizontal="center" vertical="center" wrapText="1"/>
    </xf>
    <xf numFmtId="2" fontId="2" fillId="0" borderId="1" xfId="3" applyNumberFormat="1" applyFont="1" applyFill="1" applyBorder="1" applyAlignment="1">
      <alignment horizontal="center" vertical="center" wrapText="1"/>
    </xf>
    <xf numFmtId="1" fontId="41" fillId="0" borderId="1" xfId="4" applyNumberFormat="1" applyFont="1" applyFill="1" applyBorder="1" applyAlignment="1">
      <alignment horizontal="center" vertical="center" wrapText="1"/>
    </xf>
    <xf numFmtId="1" fontId="3" fillId="0" borderId="2" xfId="4" applyNumberFormat="1" applyFont="1" applyFill="1" applyBorder="1" applyAlignment="1">
      <alignment horizontal="center" vertical="center" wrapText="1"/>
    </xf>
    <xf numFmtId="2" fontId="23" fillId="0" borderId="1" xfId="3" applyNumberFormat="1" applyFont="1" applyFill="1" applyBorder="1" applyAlignment="1">
      <alignment horizontal="center" vertical="center" wrapText="1"/>
    </xf>
    <xf numFmtId="1" fontId="2" fillId="0" borderId="1" xfId="4" applyNumberFormat="1" applyFont="1" applyFill="1" applyBorder="1" applyAlignment="1">
      <alignment horizontal="center" vertical="center" wrapText="1"/>
    </xf>
    <xf numFmtId="1" fontId="3" fillId="0" borderId="4" xfId="4" applyNumberFormat="1" applyFont="1" applyFill="1" applyBorder="1" applyAlignment="1">
      <alignment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37" fillId="8" borderId="1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173" fontId="3" fillId="8" borderId="1" xfId="4" applyNumberFormat="1" applyFont="1" applyFill="1" applyBorder="1" applyAlignment="1">
      <alignment horizontal="center" vertical="center" wrapText="1"/>
    </xf>
    <xf numFmtId="173" fontId="3" fillId="8" borderId="1" xfId="4" applyNumberFormat="1" applyFont="1" applyFill="1" applyBorder="1" applyAlignment="1">
      <alignment horizontal="justify" vertical="center" wrapText="1"/>
    </xf>
    <xf numFmtId="0" fontId="39" fillId="8" borderId="1" xfId="1" applyFont="1" applyFill="1" applyBorder="1" applyAlignment="1">
      <alignment horizontal="center" vertical="center" wrapText="1"/>
    </xf>
    <xf numFmtId="1" fontId="3" fillId="8" borderId="1" xfId="4" applyNumberFormat="1" applyFont="1" applyFill="1" applyBorder="1" applyAlignment="1">
      <alignment horizontal="center" vertical="center" wrapText="1"/>
    </xf>
    <xf numFmtId="2" fontId="3" fillId="8" borderId="1" xfId="4" applyNumberFormat="1" applyFont="1" applyFill="1" applyBorder="1" applyAlignment="1">
      <alignment horizontal="center" vertical="center" wrapText="1"/>
    </xf>
    <xf numFmtId="14" fontId="3" fillId="8" borderId="1" xfId="4" applyNumberFormat="1" applyFont="1" applyFill="1" applyBorder="1" applyAlignment="1">
      <alignment horizontal="center" vertical="center" wrapText="1"/>
    </xf>
    <xf numFmtId="0" fontId="35" fillId="8" borderId="1" xfId="1" applyFont="1" applyFill="1" applyBorder="1" applyAlignment="1">
      <alignment horizontal="center" vertical="center" wrapText="1"/>
    </xf>
    <xf numFmtId="2" fontId="2" fillId="8" borderId="1" xfId="4" applyNumberFormat="1" applyFont="1" applyFill="1" applyBorder="1" applyAlignment="1">
      <alignment horizontal="center" vertical="center" wrapText="1"/>
    </xf>
    <xf numFmtId="2" fontId="2" fillId="8" borderId="1" xfId="3" applyNumberFormat="1" applyFont="1" applyFill="1" applyBorder="1" applyAlignment="1">
      <alignment horizontal="center" vertical="center" wrapText="1"/>
    </xf>
    <xf numFmtId="2" fontId="3" fillId="0" borderId="0" xfId="1" applyNumberFormat="1" applyFont="1"/>
    <xf numFmtId="14" fontId="41" fillId="0" borderId="1" xfId="4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4" fontId="3" fillId="0" borderId="1" xfId="4" applyNumberFormat="1" applyFont="1" applyFill="1" applyBorder="1" applyAlignment="1">
      <alignment horizontal="center" vertical="center" wrapText="1"/>
    </xf>
    <xf numFmtId="3" fontId="3" fillId="0" borderId="1" xfId="4" applyNumberFormat="1" applyFont="1" applyFill="1" applyBorder="1" applyAlignment="1">
      <alignment horizontal="center" vertical="center" wrapText="1"/>
    </xf>
    <xf numFmtId="173" fontId="41" fillId="0" borderId="1" xfId="4" applyNumberFormat="1" applyFont="1" applyFill="1" applyBorder="1" applyAlignment="1">
      <alignment horizontal="center" vertical="center" wrapText="1"/>
    </xf>
    <xf numFmtId="174" fontId="3" fillId="0" borderId="1" xfId="4" applyNumberFormat="1" applyFont="1" applyFill="1" applyBorder="1" applyAlignment="1">
      <alignment horizontal="center" vertical="center" wrapText="1"/>
    </xf>
    <xf numFmtId="173" fontId="3" fillId="0" borderId="1" xfId="4" applyNumberFormat="1" applyFont="1" applyFill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14" fontId="3" fillId="0" borderId="0" xfId="1" applyNumberFormat="1" applyFont="1" applyAlignment="1">
      <alignment horizontal="center" vertical="center"/>
    </xf>
    <xf numFmtId="0" fontId="35" fillId="0" borderId="0" xfId="1" applyFont="1" applyAlignment="1">
      <alignment horizontal="center" vertical="center" wrapText="1"/>
    </xf>
    <xf numFmtId="2" fontId="2" fillId="0" borderId="0" xfId="4" applyNumberFormat="1" applyFont="1" applyFill="1" applyBorder="1" applyAlignment="1">
      <alignment horizontal="center" vertical="center" wrapText="1"/>
    </xf>
    <xf numFmtId="2" fontId="2" fillId="0" borderId="0" xfId="3" applyNumberFormat="1" applyFont="1" applyFill="1" applyBorder="1" applyAlignment="1">
      <alignment horizontal="center" vertical="center" wrapText="1"/>
    </xf>
    <xf numFmtId="0" fontId="40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justify" vertical="center" wrapText="1"/>
    </xf>
    <xf numFmtId="0" fontId="20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justify" vertical="center" wrapText="1"/>
    </xf>
    <xf numFmtId="0" fontId="43" fillId="0" borderId="18" xfId="0" applyFont="1" applyBorder="1" applyAlignment="1">
      <alignment horizontal="justify" vertical="center" wrapText="1"/>
    </xf>
    <xf numFmtId="0" fontId="4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0" xfId="2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9" borderId="3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 wrapText="1"/>
    </xf>
    <xf numFmtId="43" fontId="15" fillId="7" borderId="1" xfId="12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43" fontId="0" fillId="0" borderId="0" xfId="12" applyFont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2" fillId="1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70" fontId="15" fillId="0" borderId="21" xfId="12" applyNumberFormat="1" applyFont="1" applyBorder="1" applyAlignment="1"/>
    <xf numFmtId="170" fontId="15" fillId="0" borderId="1" xfId="12" applyNumberFormat="1" applyFont="1" applyBorder="1" applyAlignment="1"/>
    <xf numFmtId="3" fontId="19" fillId="0" borderId="0" xfId="0" applyNumberFormat="1" applyFont="1" applyAlignment="1">
      <alignment horizontal="center"/>
    </xf>
    <xf numFmtId="9" fontId="15" fillId="0" borderId="0" xfId="13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" fillId="18" borderId="0" xfId="2" applyFill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36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42" fillId="8" borderId="1" xfId="1" applyFont="1" applyFill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14" fontId="39" fillId="0" borderId="2" xfId="1" applyNumberFormat="1" applyFont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center" vertical="center" wrapText="1"/>
    </xf>
    <xf numFmtId="0" fontId="2" fillId="8" borderId="3" xfId="1" applyFont="1" applyFill="1" applyBorder="1" applyAlignment="1">
      <alignment horizontal="center" vertical="center" wrapText="1"/>
    </xf>
    <xf numFmtId="0" fontId="40" fillId="8" borderId="1" xfId="1" applyFont="1" applyFill="1" applyBorder="1" applyAlignment="1">
      <alignment horizontal="center" vertical="center" wrapText="1"/>
    </xf>
    <xf numFmtId="0" fontId="35" fillId="8" borderId="1" xfId="1" applyFont="1" applyFill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 wrapText="1"/>
    </xf>
    <xf numFmtId="2" fontId="39" fillId="0" borderId="2" xfId="1" applyNumberFormat="1" applyFont="1" applyBorder="1" applyAlignment="1">
      <alignment horizontal="center" vertical="center" wrapText="1"/>
    </xf>
    <xf numFmtId="2" fontId="39" fillId="0" borderId="3" xfId="1" applyNumberFormat="1" applyFont="1" applyBorder="1" applyAlignment="1">
      <alignment horizontal="center" vertical="center" wrapText="1"/>
    </xf>
    <xf numFmtId="1" fontId="3" fillId="0" borderId="2" xfId="4" applyNumberFormat="1" applyFont="1" applyFill="1" applyBorder="1" applyAlignment="1">
      <alignment horizontal="center" vertical="center" wrapText="1"/>
    </xf>
    <xf numFmtId="1" fontId="3" fillId="0" borderId="3" xfId="4" applyNumberFormat="1" applyFont="1" applyFill="1" applyBorder="1" applyAlignment="1">
      <alignment horizontal="center" vertical="center" wrapText="1"/>
    </xf>
    <xf numFmtId="1" fontId="3" fillId="0" borderId="4" xfId="4" applyNumberFormat="1" applyFont="1" applyFill="1" applyBorder="1" applyAlignment="1">
      <alignment horizontal="center" vertical="center" wrapText="1"/>
    </xf>
    <xf numFmtId="2" fontId="3" fillId="0" borderId="2" xfId="4" applyNumberFormat="1" applyFont="1" applyFill="1" applyBorder="1" applyAlignment="1">
      <alignment horizontal="center" vertical="center" wrapText="1"/>
    </xf>
    <xf numFmtId="2" fontId="3" fillId="0" borderId="3" xfId="4" applyNumberFormat="1" applyFont="1" applyFill="1" applyBorder="1" applyAlignment="1">
      <alignment horizontal="center" vertical="center" wrapText="1"/>
    </xf>
    <xf numFmtId="14" fontId="3" fillId="0" borderId="2" xfId="4" applyNumberFormat="1" applyFont="1" applyFill="1" applyBorder="1" applyAlignment="1">
      <alignment horizontal="center" vertical="center" wrapText="1"/>
    </xf>
    <xf numFmtId="14" fontId="3" fillId="0" borderId="3" xfId="4" applyNumberFormat="1" applyFont="1" applyFill="1" applyBorder="1" applyAlignment="1">
      <alignment horizontal="center" vertical="center" wrapText="1"/>
    </xf>
    <xf numFmtId="0" fontId="40" fillId="0" borderId="2" xfId="1" applyFont="1" applyBorder="1" applyAlignment="1">
      <alignment horizontal="center" vertical="center" wrapText="1"/>
    </xf>
    <xf numFmtId="0" fontId="40" fillId="0" borderId="4" xfId="1" applyFont="1" applyBorder="1" applyAlignment="1">
      <alignment horizontal="center" vertical="center" wrapText="1"/>
    </xf>
    <xf numFmtId="0" fontId="40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8" borderId="0" xfId="1" applyFont="1" applyFill="1" applyAlignment="1">
      <alignment horizontal="center" vertical="center"/>
    </xf>
    <xf numFmtId="0" fontId="32" fillId="0" borderId="1" xfId="16" applyFont="1" applyBorder="1" applyAlignment="1">
      <alignment horizontal="center" vertical="center" wrapText="1"/>
    </xf>
    <xf numFmtId="0" fontId="33" fillId="0" borderId="16" xfId="16" applyFont="1" applyBorder="1" applyAlignment="1">
      <alignment horizontal="justify" vertical="center" wrapText="1"/>
    </xf>
    <xf numFmtId="0" fontId="33" fillId="0" borderId="23" xfId="16" applyFont="1" applyBorder="1" applyAlignment="1">
      <alignment horizontal="justify" vertical="center" wrapText="1"/>
    </xf>
    <xf numFmtId="0" fontId="33" fillId="0" borderId="15" xfId="16" applyFont="1" applyBorder="1" applyAlignment="1">
      <alignment horizontal="justify" vertical="center" wrapText="1"/>
    </xf>
    <xf numFmtId="0" fontId="35" fillId="0" borderId="17" xfId="1" applyFont="1" applyBorder="1" applyAlignment="1">
      <alignment horizontal="center" vertical="center"/>
    </xf>
    <xf numFmtId="0" fontId="35" fillId="0" borderId="24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5" fillId="10" borderId="1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6" fillId="15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3" fontId="8" fillId="0" borderId="2" xfId="2" applyNumberFormat="1" applyFont="1" applyBorder="1" applyAlignment="1">
      <alignment horizontal="left" vertical="center" wrapText="1"/>
    </xf>
    <xf numFmtId="0" fontId="8" fillId="0" borderId="4" xfId="2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" fillId="0" borderId="3" xfId="2" applyBorder="1" applyAlignment="1">
      <alignment horizontal="center" vertical="center" wrapText="1"/>
    </xf>
    <xf numFmtId="3" fontId="8" fillId="0" borderId="3" xfId="2" applyNumberFormat="1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wrapText="1"/>
    </xf>
    <xf numFmtId="0" fontId="1" fillId="0" borderId="1" xfId="2" applyBorder="1" applyAlignment="1">
      <alignment horizontal="center" vertical="center" wrapText="1"/>
    </xf>
    <xf numFmtId="3" fontId="8" fillId="0" borderId="1" xfId="2" applyNumberFormat="1" applyFont="1" applyBorder="1" applyAlignment="1">
      <alignment horizontal="left" vertical="center" wrapText="1"/>
    </xf>
    <xf numFmtId="3" fontId="8" fillId="0" borderId="4" xfId="2" applyNumberFormat="1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wrapText="1"/>
    </xf>
    <xf numFmtId="0" fontId="8" fillId="0" borderId="3" xfId="2" applyFont="1" applyBorder="1" applyAlignment="1">
      <alignment horizontal="left" vertical="center" wrapText="1"/>
    </xf>
    <xf numFmtId="43" fontId="15" fillId="6" borderId="20" xfId="12" applyFont="1" applyFill="1" applyBorder="1" applyAlignment="1">
      <alignment horizontal="center"/>
    </xf>
    <xf numFmtId="43" fontId="15" fillId="6" borderId="21" xfId="12" applyFont="1" applyFill="1" applyBorder="1" applyAlignment="1">
      <alignment horizontal="center"/>
    </xf>
    <xf numFmtId="43" fontId="15" fillId="6" borderId="22" xfId="12" applyFont="1" applyFill="1" applyBorder="1" applyAlignment="1">
      <alignment horizontal="center"/>
    </xf>
    <xf numFmtId="43" fontId="15" fillId="6" borderId="16" xfId="12" applyFont="1" applyFill="1" applyBorder="1" applyAlignment="1">
      <alignment horizontal="center"/>
    </xf>
    <xf numFmtId="43" fontId="15" fillId="6" borderId="23" xfId="12" applyFont="1" applyFill="1" applyBorder="1" applyAlignment="1">
      <alignment horizontal="center"/>
    </xf>
    <xf numFmtId="43" fontId="15" fillId="6" borderId="15" xfId="12" applyFont="1" applyFill="1" applyBorder="1" applyAlignment="1">
      <alignment horizontal="center"/>
    </xf>
    <xf numFmtId="43" fontId="15" fillId="6" borderId="1" xfId="12" applyFont="1" applyFill="1" applyBorder="1" applyAlignment="1">
      <alignment horizontal="center"/>
    </xf>
    <xf numFmtId="0" fontId="15" fillId="9" borderId="3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 wrapText="1"/>
    </xf>
    <xf numFmtId="0" fontId="8" fillId="7" borderId="1" xfId="2" applyFont="1" applyFill="1" applyBorder="1" applyAlignment="1">
      <alignment horizontal="left" vertical="center" wrapText="1"/>
    </xf>
    <xf numFmtId="43" fontId="16" fillId="7" borderId="1" xfId="12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43" fontId="15" fillId="7" borderId="1" xfId="12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3" fontId="0" fillId="0" borderId="9" xfId="12" applyFont="1" applyFill="1" applyBorder="1" applyAlignment="1">
      <alignment horizontal="center"/>
    </xf>
    <xf numFmtId="3" fontId="0" fillId="0" borderId="11" xfId="0" applyNumberFormat="1" applyBorder="1" applyAlignment="1">
      <alignment horizontal="center" vertical="center"/>
    </xf>
    <xf numFmtId="43" fontId="0" fillId="0" borderId="12" xfId="12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3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43" fontId="0" fillId="0" borderId="9" xfId="12" applyFont="1" applyBorder="1" applyAlignment="1">
      <alignment horizontal="center"/>
    </xf>
    <xf numFmtId="3" fontId="15" fillId="5" borderId="5" xfId="0" applyNumberFormat="1" applyFont="1" applyFill="1" applyBorder="1" applyAlignment="1">
      <alignment horizontal="center" vertical="center" wrapText="1"/>
    </xf>
    <xf numFmtId="3" fontId="15" fillId="5" borderId="6" xfId="0" applyNumberFormat="1" applyFont="1" applyFill="1" applyBorder="1" applyAlignment="1">
      <alignment horizontal="center" vertical="center" wrapText="1"/>
    </xf>
    <xf numFmtId="3" fontId="15" fillId="5" borderId="7" xfId="0" applyNumberFormat="1" applyFont="1" applyFill="1" applyBorder="1" applyAlignment="1">
      <alignment horizontal="center" vertical="center" wrapText="1"/>
    </xf>
    <xf numFmtId="3" fontId="15" fillId="5" borderId="8" xfId="0" applyNumberFormat="1" applyFont="1" applyFill="1" applyBorder="1" applyAlignment="1">
      <alignment horizontal="center" vertical="center" wrapText="1"/>
    </xf>
    <xf numFmtId="3" fontId="15" fillId="5" borderId="0" xfId="0" applyNumberFormat="1" applyFont="1" applyFill="1" applyAlignment="1">
      <alignment horizontal="center" vertical="center" wrapText="1"/>
    </xf>
    <xf numFmtId="3" fontId="15" fillId="5" borderId="9" xfId="0" applyNumberFormat="1" applyFont="1" applyFill="1" applyBorder="1" applyAlignment="1">
      <alignment horizontal="center" vertical="center" wrapText="1"/>
    </xf>
    <xf numFmtId="3" fontId="15" fillId="5" borderId="10" xfId="0" applyNumberFormat="1" applyFont="1" applyFill="1" applyBorder="1" applyAlignment="1">
      <alignment horizontal="center" vertical="center" wrapText="1"/>
    </xf>
    <xf numFmtId="3" fontId="15" fillId="5" borderId="11" xfId="0" applyNumberFormat="1" applyFont="1" applyFill="1" applyBorder="1" applyAlignment="1">
      <alignment horizontal="center" vertical="center" wrapText="1"/>
    </xf>
    <xf numFmtId="3" fontId="15" fillId="5" borderId="12" xfId="0" applyNumberFormat="1" applyFont="1" applyFill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 wrapText="1"/>
    </xf>
    <xf numFmtId="3" fontId="15" fillId="0" borderId="6" xfId="0" applyNumberFormat="1" applyFont="1" applyBorder="1" applyAlignment="1">
      <alignment horizontal="center" vertical="center" wrapText="1"/>
    </xf>
    <xf numFmtId="3" fontId="15" fillId="0" borderId="7" xfId="0" applyNumberFormat="1" applyFont="1" applyBorder="1" applyAlignment="1">
      <alignment horizontal="center" vertical="center" wrapText="1"/>
    </xf>
    <xf numFmtId="3" fontId="15" fillId="0" borderId="8" xfId="0" applyNumberFormat="1" applyFont="1" applyBorder="1" applyAlignment="1">
      <alignment horizontal="center" vertical="center" wrapText="1"/>
    </xf>
    <xf numFmtId="3" fontId="15" fillId="0" borderId="0" xfId="0" applyNumberFormat="1" applyFont="1" applyAlignment="1">
      <alignment horizontal="center" vertical="center" wrapText="1"/>
    </xf>
    <xf numFmtId="3" fontId="15" fillId="0" borderId="9" xfId="0" applyNumberFormat="1" applyFont="1" applyBorder="1" applyAlignment="1">
      <alignment horizontal="center" vertical="center" wrapText="1"/>
    </xf>
    <xf numFmtId="3" fontId="15" fillId="0" borderId="10" xfId="0" applyNumberFormat="1" applyFont="1" applyBorder="1" applyAlignment="1">
      <alignment horizontal="center" vertical="center" wrapText="1"/>
    </xf>
    <xf numFmtId="3" fontId="15" fillId="0" borderId="11" xfId="0" applyNumberFormat="1" applyFont="1" applyBorder="1" applyAlignment="1">
      <alignment horizontal="center" vertical="center" wrapText="1"/>
    </xf>
    <xf numFmtId="3" fontId="15" fillId="0" borderId="12" xfId="0" applyNumberFormat="1" applyFont="1" applyBorder="1" applyAlignment="1">
      <alignment horizontal="center" vertical="center" wrapText="1"/>
    </xf>
    <xf numFmtId="43" fontId="0" fillId="0" borderId="0" xfId="12" applyFont="1" applyFill="1" applyBorder="1" applyAlignment="1">
      <alignment horizontal="center"/>
    </xf>
    <xf numFmtId="43" fontId="0" fillId="0" borderId="11" xfId="12" applyFont="1" applyFill="1" applyBorder="1" applyAlignment="1">
      <alignment horizontal="center"/>
    </xf>
    <xf numFmtId="43" fontId="0" fillId="0" borderId="0" xfId="12" applyFont="1" applyAlignment="1">
      <alignment horizontal="center"/>
    </xf>
    <xf numFmtId="3" fontId="0" fillId="0" borderId="6" xfId="0" applyNumberFormat="1" applyBorder="1" applyAlignment="1">
      <alignment horizontal="center" vertical="center"/>
    </xf>
    <xf numFmtId="43" fontId="0" fillId="0" borderId="7" xfId="12" applyFont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3" fontId="0" fillId="0" borderId="1" xfId="12" applyFont="1" applyFill="1" applyBorder="1" applyAlignment="1">
      <alignment horizontal="center"/>
    </xf>
    <xf numFmtId="43" fontId="0" fillId="0" borderId="1" xfId="12" applyFont="1" applyBorder="1" applyAlignment="1">
      <alignment horizontal="center"/>
    </xf>
    <xf numFmtId="3" fontId="15" fillId="5" borderId="1" xfId="0" applyNumberFormat="1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43" fontId="18" fillId="0" borderId="1" xfId="12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wrapText="1"/>
    </xf>
    <xf numFmtId="0" fontId="18" fillId="0" borderId="24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3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3" fontId="15" fillId="0" borderId="17" xfId="0" applyNumberFormat="1" applyFont="1" applyBorder="1" applyAlignment="1">
      <alignment horizontal="center"/>
    </xf>
    <xf numFmtId="3" fontId="15" fillId="0" borderId="24" xfId="0" applyNumberFormat="1" applyFont="1" applyBorder="1" applyAlignment="1">
      <alignment horizontal="center"/>
    </xf>
    <xf numFmtId="3" fontId="15" fillId="0" borderId="18" xfId="0" applyNumberFormat="1" applyFont="1" applyBorder="1" applyAlignment="1">
      <alignment horizontal="center"/>
    </xf>
    <xf numFmtId="3" fontId="15" fillId="5" borderId="17" xfId="0" applyNumberFormat="1" applyFont="1" applyFill="1" applyBorder="1" applyAlignment="1">
      <alignment horizontal="center"/>
    </xf>
    <xf numFmtId="3" fontId="15" fillId="5" borderId="24" xfId="0" applyNumberFormat="1" applyFont="1" applyFill="1" applyBorder="1" applyAlignment="1">
      <alignment horizontal="center"/>
    </xf>
    <xf numFmtId="3" fontId="15" fillId="5" borderId="18" xfId="0" applyNumberFormat="1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 wrapText="1"/>
    </xf>
    <xf numFmtId="10" fontId="0" fillId="0" borderId="1" xfId="13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10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7">
    <cellStyle name="Millares" xfId="12" builtinId="3"/>
    <cellStyle name="Millares [0] 2" xfId="6" xr:uid="{00000000-0005-0000-0000-000001000000}"/>
    <cellStyle name="Millares [0] 2 2" xfId="11" xr:uid="{00000000-0005-0000-0000-000002000000}"/>
    <cellStyle name="Millares [0] 2 2 2" xfId="15" xr:uid="{20EA5C25-2F46-4F99-9A8D-C73293109775}"/>
    <cellStyle name="Millares 2" xfId="7" xr:uid="{00000000-0005-0000-0000-000003000000}"/>
    <cellStyle name="Millares 2 2" xfId="4" xr:uid="{00000000-0005-0000-0000-000004000000}"/>
    <cellStyle name="Millares 3" xfId="5" xr:uid="{00000000-0005-0000-0000-000005000000}"/>
    <cellStyle name="Millares 3 2" xfId="10" xr:uid="{00000000-0005-0000-0000-000006000000}"/>
    <cellStyle name="Millares 3 2 2" xfId="14" xr:uid="{8211F0B6-3A00-45D6-BECA-476E6A5BF913}"/>
    <cellStyle name="Moneda 2" xfId="3" xr:uid="{00000000-0005-0000-0000-000007000000}"/>
    <cellStyle name="Moneda 3" xfId="8" xr:uid="{00000000-0005-0000-0000-000008000000}"/>
    <cellStyle name="Normal" xfId="0" builtinId="0"/>
    <cellStyle name="Normal 2" xfId="2" xr:uid="{00000000-0005-0000-0000-00000A000000}"/>
    <cellStyle name="Normal 2_EVALUACION PROPUESTAS SISTE DE RIEGO" xfId="16" xr:uid="{6F8E57B1-61E5-4A4D-82D3-32C65DBE0CF9}"/>
    <cellStyle name="Normal 3" xfId="1" xr:uid="{00000000-0005-0000-0000-00000C000000}"/>
    <cellStyle name="Porcentaje" xfId="13" builtinId="5"/>
    <cellStyle name="Porcentaje 2" xfId="9" xr:uid="{00000000-0005-0000-0000-00000E000000}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9D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23091</xdr:colOff>
      <xdr:row>29</xdr:row>
      <xdr:rowOff>80818</xdr:rowOff>
    </xdr:from>
    <xdr:to>
      <xdr:col>3</xdr:col>
      <xdr:colOff>80818</xdr:colOff>
      <xdr:row>33</xdr:row>
      <xdr:rowOff>184727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174B1DB-DC09-499D-A958-0312BE699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091" y="35456091"/>
          <a:ext cx="819727" cy="889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0</xdr:row>
      <xdr:rowOff>140873</xdr:rowOff>
    </xdr:from>
    <xdr:to>
      <xdr:col>2</xdr:col>
      <xdr:colOff>1760651</xdr:colOff>
      <xdr:row>4</xdr:row>
      <xdr:rowOff>170231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8433C92-8477-4C0F-8389-3CBD1C27D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670" y="140873"/>
          <a:ext cx="2607545" cy="816758"/>
        </a:xfrm>
        <a:prstGeom prst="rect">
          <a:avLst/>
        </a:prstGeom>
      </xdr:spPr>
    </xdr:pic>
    <xdr:clientData/>
  </xdr:twoCellAnchor>
  <xdr:twoCellAnchor editAs="oneCell">
    <xdr:from>
      <xdr:col>1</xdr:col>
      <xdr:colOff>319229</xdr:colOff>
      <xdr:row>392</xdr:row>
      <xdr:rowOff>103909</xdr:rowOff>
    </xdr:from>
    <xdr:to>
      <xdr:col>2</xdr:col>
      <xdr:colOff>934027</xdr:colOff>
      <xdr:row>396</xdr:row>
      <xdr:rowOff>36467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3EEE505-325A-49C9-B26F-0D52C6482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6429" y="291194259"/>
          <a:ext cx="1596162" cy="719958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387</xdr:row>
      <xdr:rowOff>46180</xdr:rowOff>
    </xdr:from>
    <xdr:to>
      <xdr:col>2</xdr:col>
      <xdr:colOff>748553</xdr:colOff>
      <xdr:row>390</xdr:row>
      <xdr:rowOff>30187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A2E6C0C-3489-4DE4-AA07-B6F56E1B8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1200" y="290152280"/>
          <a:ext cx="1475917" cy="5745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7796</xdr:colOff>
      <xdr:row>1</xdr:row>
      <xdr:rowOff>19545</xdr:rowOff>
    </xdr:from>
    <xdr:to>
      <xdr:col>2</xdr:col>
      <xdr:colOff>1581150</xdr:colOff>
      <xdr:row>3</xdr:row>
      <xdr:rowOff>179031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9E92DA-767E-4CE7-A334-CBE0D2D1E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246" y="203695"/>
          <a:ext cx="1890854" cy="52778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1599626</xdr:colOff>
      <xdr:row>68</xdr:row>
      <xdr:rowOff>165199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72D8615-31E7-4A4F-A946-CF6712202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950" y="12122150"/>
          <a:ext cx="1599626" cy="717649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58</xdr:row>
      <xdr:rowOff>84858</xdr:rowOff>
    </xdr:from>
    <xdr:to>
      <xdr:col>2</xdr:col>
      <xdr:colOff>1067209</xdr:colOff>
      <xdr:row>61</xdr:row>
      <xdr:rowOff>12869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81F6F9-860F-1CE9-E1BF-40665439F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050" y="10917958"/>
          <a:ext cx="1156109" cy="4804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</xdr:row>
      <xdr:rowOff>10884</xdr:rowOff>
    </xdr:from>
    <xdr:to>
      <xdr:col>2</xdr:col>
      <xdr:colOff>1885950</xdr:colOff>
      <xdr:row>4</xdr:row>
      <xdr:rowOff>132229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163284"/>
          <a:ext cx="2352674" cy="67491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85726</xdr:colOff>
      <xdr:row>1</xdr:row>
      <xdr:rowOff>10884</xdr:rowOff>
    </xdr:from>
    <xdr:to>
      <xdr:col>2</xdr:col>
      <xdr:colOff>1885950</xdr:colOff>
      <xdr:row>4</xdr:row>
      <xdr:rowOff>132229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163284"/>
          <a:ext cx="2352674" cy="6749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ownloads/EVALUACION%20ECONOMICA%20V2.xlsx" TargetMode="External"/><Relationship Id="rId1" Type="http://schemas.openxmlformats.org/officeDocument/2006/relationships/externalLinkPath" Target="/Downloads/EVALUACION%20ECONOMICA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mcantilm/Downloads/EVALUACION%20INDICADORES%20FINANCIEROS%20Y%20ORGANIZACIONALES%20LP-01-2026.-26052026.xlsx" TargetMode="External"/><Relationship Id="rId1" Type="http://schemas.openxmlformats.org/officeDocument/2006/relationships/externalLinkPath" Target="/Users/mcantilm/Downloads/EVALUACION%20INDICADORES%20FINANCIEROS%20Y%20ORGANIZACIONALES%20LP-01-2026.-2605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FINANCIERO"/>
      <sheetName val="RESUMEN FIN"/>
      <sheetName val="ECONOMICA MV"/>
      <sheetName val="ECONOMICA MED"/>
      <sheetName val="RESUMEN ECO"/>
      <sheetName val="MEDIA ARITMETICA"/>
      <sheetName val="MEDIA ARITMETICA ALTA"/>
      <sheetName val="MEDIA GEOM + PO"/>
      <sheetName val="MEDIA GEOM"/>
      <sheetName val="MEDIA GEOM SR-SP"/>
      <sheetName val="MEDIA ARIT + PO"/>
      <sheetName val="C.O"/>
      <sheetName val="C.R"/>
      <sheetName val="CALCULOS"/>
      <sheetName val="data"/>
      <sheetName val="ECONOMICA Mgcr2"/>
      <sheetName val="MEDDATA"/>
      <sheetName val="MEDDATA (2)"/>
      <sheetName val="MEDDATA (3)"/>
      <sheetName val="MEDDATA (4)"/>
      <sheetName val="MEDDATA (5)"/>
      <sheetName val="ECONOMICA MGCR"/>
    </sheetNames>
    <sheetDataSet>
      <sheetData sheetId="0"/>
      <sheetData sheetId="1"/>
      <sheetData sheetId="2"/>
      <sheetData sheetId="3">
        <row r="9">
          <cell r="J9">
            <v>200</v>
          </cell>
        </row>
        <row r="12">
          <cell r="J12">
            <v>3073715816</v>
          </cell>
        </row>
        <row r="13">
          <cell r="J13">
            <v>3073866367</v>
          </cell>
        </row>
        <row r="14">
          <cell r="J14" t="str">
            <v/>
          </cell>
        </row>
        <row r="15">
          <cell r="J15" t="str">
            <v/>
          </cell>
        </row>
        <row r="16">
          <cell r="J16" t="str">
            <v/>
          </cell>
        </row>
        <row r="17">
          <cell r="J17" t="str">
            <v/>
          </cell>
        </row>
        <row r="18">
          <cell r="J18" t="str">
            <v/>
          </cell>
        </row>
        <row r="19">
          <cell r="J19" t="str">
            <v/>
          </cell>
        </row>
        <row r="20">
          <cell r="J20" t="str">
            <v/>
          </cell>
        </row>
        <row r="21">
          <cell r="J21" t="str">
            <v/>
          </cell>
        </row>
      </sheetData>
      <sheetData sheetId="4">
        <row r="7">
          <cell r="B7" t="str">
            <v>PRESUPUESTO</v>
          </cell>
          <cell r="J7">
            <v>3074910967</v>
          </cell>
        </row>
        <row r="8">
          <cell r="B8" t="str">
            <v>CONSORCIO UNIOBRAS Y CIA</v>
          </cell>
          <cell r="J8">
            <v>3073715816</v>
          </cell>
        </row>
        <row r="9">
          <cell r="B9" t="str">
            <v>CONSORCIO ADECUACIONES</v>
          </cell>
          <cell r="J9">
            <v>3073866367</v>
          </cell>
        </row>
        <row r="10">
          <cell r="B10">
            <v>0</v>
          </cell>
          <cell r="J10">
            <v>0</v>
          </cell>
        </row>
        <row r="11">
          <cell r="B11">
            <v>0</v>
          </cell>
          <cell r="J11">
            <v>0</v>
          </cell>
        </row>
        <row r="12">
          <cell r="B12">
            <v>0</v>
          </cell>
          <cell r="J12">
            <v>0</v>
          </cell>
        </row>
        <row r="13">
          <cell r="B13">
            <v>0</v>
          </cell>
          <cell r="J13">
            <v>0</v>
          </cell>
        </row>
        <row r="14">
          <cell r="B14">
            <v>0</v>
          </cell>
          <cell r="J14">
            <v>0</v>
          </cell>
        </row>
        <row r="15">
          <cell r="B15">
            <v>0</v>
          </cell>
          <cell r="J15">
            <v>0</v>
          </cell>
        </row>
        <row r="16">
          <cell r="B16">
            <v>0</v>
          </cell>
          <cell r="J16">
            <v>0</v>
          </cell>
        </row>
        <row r="17">
          <cell r="B17">
            <v>0</v>
          </cell>
          <cell r="J17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INDICADORES"/>
      <sheetName val="Hoja1"/>
      <sheetName val="INDICADORES"/>
      <sheetName val="RUP"/>
      <sheetName val="DETALLADA FINANCIERA CONSORCIOS"/>
      <sheetName val="Hoja2"/>
      <sheetName val="OFERENTES"/>
    </sheetNames>
    <sheetDataSet>
      <sheetData sheetId="0" refreshError="1"/>
      <sheetData sheetId="1" refreshError="1"/>
      <sheetData sheetId="2">
        <row r="1">
          <cell r="E1" t="str">
            <v>CONSORCIO PLC</v>
          </cell>
          <cell r="H1" t="str">
            <v>CONSORCIO NEXUS JUDICIAL</v>
          </cell>
          <cell r="K1" t="str">
            <v>UNION TEMPORAL CARINCEL 2.0</v>
          </cell>
          <cell r="N1" t="str">
            <v>CONSORCIO PALACIO KASAF</v>
          </cell>
          <cell r="Q1" t="str">
            <v>CONSORCIO CONSTRUCCIONES CIS</v>
          </cell>
          <cell r="T1" t="str">
            <v>CONSORCIO TEMIS</v>
          </cell>
        </row>
        <row r="4">
          <cell r="G4">
            <v>4.5400160300152246</v>
          </cell>
          <cell r="J4">
            <v>7.1620155370985117</v>
          </cell>
          <cell r="M4">
            <v>94.058522327883466</v>
          </cell>
          <cell r="P4">
            <v>75.177973216928734</v>
          </cell>
          <cell r="S4">
            <v>2.7327165628984758</v>
          </cell>
          <cell r="V4">
            <v>6.8919681785880984</v>
          </cell>
        </row>
        <row r="7">
          <cell r="G7">
            <v>0.22778012228529768</v>
          </cell>
          <cell r="J7">
            <v>0.13800782962388464</v>
          </cell>
          <cell r="M7">
            <v>0.43902962400466777</v>
          </cell>
          <cell r="P7">
            <v>0.45890674209098636</v>
          </cell>
          <cell r="S7">
            <v>0.31678392805612648</v>
          </cell>
          <cell r="V7">
            <v>0.62492475847085815</v>
          </cell>
        </row>
        <row r="10">
          <cell r="F10">
            <v>8471633560</v>
          </cell>
          <cell r="I10">
            <v>37826918085</v>
          </cell>
          <cell r="L10">
            <v>16064461818</v>
          </cell>
          <cell r="O10">
            <v>26673210049</v>
          </cell>
          <cell r="R10">
            <v>1928709149</v>
          </cell>
          <cell r="U10">
            <v>16588945866</v>
          </cell>
        </row>
        <row r="13">
          <cell r="G13">
            <v>5.4024509705754369</v>
          </cell>
          <cell r="J13">
            <v>143.86914824943693</v>
          </cell>
          <cell r="M13">
            <v>35.672336926789811</v>
          </cell>
          <cell r="P13">
            <v>58.422744344956605</v>
          </cell>
          <cell r="S13">
            <v>7773.4939708561014</v>
          </cell>
          <cell r="V13">
            <v>24.310422157580252</v>
          </cell>
        </row>
        <row r="16">
          <cell r="G16">
            <v>0.22497963795148329</v>
          </cell>
          <cell r="J16">
            <v>0.48488312883263202</v>
          </cell>
          <cell r="M16">
            <v>0.39717516152739774</v>
          </cell>
          <cell r="P16">
            <v>0.49019100927987458</v>
          </cell>
          <cell r="S16">
            <v>0.16523024829378286</v>
          </cell>
          <cell r="V16">
            <v>0.19775859264933573</v>
          </cell>
        </row>
        <row r="19">
          <cell r="G19">
            <v>0.17373374850719242</v>
          </cell>
          <cell r="J19">
            <v>0.41796546060120204</v>
          </cell>
          <cell r="M19">
            <v>0.22280349969803112</v>
          </cell>
          <cell r="P19">
            <v>0.26523905020895489</v>
          </cell>
          <cell r="S19">
            <v>0.11288796120558924</v>
          </cell>
          <cell r="V19">
            <v>7.4174351902412769E-2</v>
          </cell>
        </row>
        <row r="23">
          <cell r="E23" t="str">
            <v>CONSORCIO INGENIERIA DEL CARIBE</v>
          </cell>
          <cell r="H23" t="str">
            <v>CONSORCIO PALACIO LC</v>
          </cell>
          <cell r="K23" t="str">
            <v xml:space="preserve">CONSORCIO PRO PALACIO </v>
          </cell>
          <cell r="N23" t="str">
            <v>CONSORCIO CONACERO 2026</v>
          </cell>
          <cell r="Q23" t="str">
            <v xml:space="preserve">CONSORCIO PALATIUM CS. </v>
          </cell>
          <cell r="T23" t="str">
            <v>CONSORCIO CONSTRUCTORES 2026</v>
          </cell>
        </row>
        <row r="26">
          <cell r="G26">
            <v>7.8752532383605676</v>
          </cell>
          <cell r="J26">
            <v>6.2049401132524773</v>
          </cell>
          <cell r="M26">
            <v>2.7425619398967562</v>
          </cell>
          <cell r="P26">
            <v>5.2762620449804434</v>
          </cell>
          <cell r="S26">
            <v>2.4154847586564436</v>
          </cell>
          <cell r="V26">
            <v>88.394493168871591</v>
          </cell>
        </row>
        <row r="29">
          <cell r="G29">
            <v>0.47162820997255067</v>
          </cell>
          <cell r="J29">
            <v>0.33185311762237962</v>
          </cell>
          <cell r="M29">
            <v>0.61621739229497763</v>
          </cell>
          <cell r="P29">
            <v>0.52522218777608964</v>
          </cell>
          <cell r="S29">
            <v>0.60705076057490992</v>
          </cell>
          <cell r="V29">
            <v>0.29067069249657507</v>
          </cell>
        </row>
        <row r="32">
          <cell r="F32">
            <v>7630361694</v>
          </cell>
          <cell r="I32">
            <v>31044588837</v>
          </cell>
          <cell r="L32">
            <v>47026067106</v>
          </cell>
          <cell r="O32">
            <v>8051559212</v>
          </cell>
          <cell r="R32">
            <v>16145899581</v>
          </cell>
          <cell r="U32">
            <v>6310668835.8999996</v>
          </cell>
        </row>
        <row r="35">
          <cell r="G35">
            <v>108.64005344315711</v>
          </cell>
          <cell r="J35">
            <v>3.6659836425497767</v>
          </cell>
          <cell r="M35">
            <v>4.9375256559597531</v>
          </cell>
          <cell r="P35">
            <v>4.577892741084213</v>
          </cell>
          <cell r="S35" t="str">
            <v>INDETERMINADO</v>
          </cell>
          <cell r="V35" t="str">
            <v>INDETERMINADO</v>
          </cell>
        </row>
        <row r="38">
          <cell r="G38">
            <v>0.7215878935227602</v>
          </cell>
          <cell r="J38">
            <v>0.16940408084230177</v>
          </cell>
          <cell r="M38">
            <v>0.32627291471878139</v>
          </cell>
          <cell r="P38">
            <v>0.2465490776786223</v>
          </cell>
          <cell r="S38">
            <v>0.4834350639306213</v>
          </cell>
          <cell r="V38">
            <v>0.21395271514703357</v>
          </cell>
        </row>
        <row r="41">
          <cell r="G41">
            <v>0.38126668696275734</v>
          </cell>
          <cell r="J41">
            <v>0.1131868084768303</v>
          </cell>
          <cell r="M41">
            <v>0.1252178700342923</v>
          </cell>
          <cell r="P41">
            <v>0.11705603170607923</v>
          </cell>
          <cell r="S41">
            <v>0.18996544068295745</v>
          </cell>
          <cell r="V41">
            <v>0.15176293127372287</v>
          </cell>
        </row>
        <row r="45">
          <cell r="E45" t="str">
            <v>CONSORCIO PALACIO 2027</v>
          </cell>
          <cell r="H45" t="str">
            <v>CONSORCIO R.M.C. 2026</v>
          </cell>
          <cell r="K45" t="str">
            <v>CONSORCIO PALACIO JUDICIAL</v>
          </cell>
          <cell r="N45" t="str">
            <v>CONSORCIO JUSTICIA</v>
          </cell>
          <cell r="Q45" t="str">
            <v>CONSORCIO PALACIO DE JUSTICIA</v>
          </cell>
          <cell r="T45" t="str">
            <v>CONSORCIO ID PALACIO</v>
          </cell>
        </row>
        <row r="48">
          <cell r="G48">
            <v>22.30339654000867</v>
          </cell>
          <cell r="J48">
            <v>20.66296081926988</v>
          </cell>
          <cell r="P48">
            <v>202.20690426738418</v>
          </cell>
          <cell r="S48">
            <v>2.1878671942168864</v>
          </cell>
          <cell r="V48">
            <v>6.6482683010129584</v>
          </cell>
        </row>
        <row r="51">
          <cell r="G51">
            <v>0.53435018253883593</v>
          </cell>
          <cell r="J51">
            <v>0.16043249306215865</v>
          </cell>
          <cell r="P51">
            <v>0.4797031331398679</v>
          </cell>
          <cell r="S51">
            <v>0.42438394520571476</v>
          </cell>
          <cell r="V51">
            <v>0.21612601763884581</v>
          </cell>
        </row>
        <row r="54">
          <cell r="F54">
            <v>24119341168</v>
          </cell>
          <cell r="I54">
            <v>6375171487</v>
          </cell>
          <cell r="O54">
            <v>16361500712</v>
          </cell>
          <cell r="R54">
            <v>87776767574</v>
          </cell>
          <cell r="U54">
            <v>11157899949</v>
          </cell>
        </row>
        <row r="57">
          <cell r="G57">
            <v>2.309082018920396</v>
          </cell>
          <cell r="J57">
            <v>23.599529467172982</v>
          </cell>
          <cell r="P57">
            <v>13.3713724990935</v>
          </cell>
          <cell r="S57">
            <v>107.68897930919431</v>
          </cell>
          <cell r="V57">
            <v>79.191501339169676</v>
          </cell>
        </row>
        <row r="60">
          <cell r="G60">
            <v>0.30286205379261066</v>
          </cell>
          <cell r="J60">
            <v>7.9317449260327369E-2</v>
          </cell>
          <cell r="P60">
            <v>0.25858916791467457</v>
          </cell>
          <cell r="S60">
            <v>0.35963715180630962</v>
          </cell>
          <cell r="V60">
            <v>0.41159921128237026</v>
          </cell>
        </row>
        <row r="63">
          <cell r="G63">
            <v>0.14102766006444239</v>
          </cell>
          <cell r="J63">
            <v>6.6592353132161788E-2</v>
          </cell>
          <cell r="P63">
            <v>0.13454313386997377</v>
          </cell>
          <cell r="S63">
            <v>0.20701291848020137</v>
          </cell>
          <cell r="V63">
            <v>0.32264191288462168</v>
          </cell>
        </row>
        <row r="67">
          <cell r="E67" t="str">
            <v>CONSORCIO YOSHER</v>
          </cell>
          <cell r="H67" t="str">
            <v>CONSORCIO PMB</v>
          </cell>
          <cell r="K67" t="str">
            <v>Consorcio AE-2</v>
          </cell>
          <cell r="N67" t="str">
            <v>CONSORCIO JUSTICIA Y PROGRESO</v>
          </cell>
          <cell r="Q67" t="str">
            <v>CONSORCIO CONSTRUPALACIO SEV.</v>
          </cell>
          <cell r="T67" t="str">
            <v>CONSORCIO OBRAS JUDICIALES</v>
          </cell>
        </row>
        <row r="70">
          <cell r="G70">
            <v>6.4990595755009641</v>
          </cell>
          <cell r="J70">
            <v>31.456058080166887</v>
          </cell>
          <cell r="M70">
            <v>6.8483720543792588</v>
          </cell>
          <cell r="P70">
            <v>7.1531194070723876</v>
          </cell>
          <cell r="S70">
            <v>9.8466112426382786</v>
          </cell>
          <cell r="V70">
            <v>27.490642018628201</v>
          </cell>
        </row>
        <row r="73">
          <cell r="G73">
            <v>0.52681812558526819</v>
          </cell>
          <cell r="J73">
            <v>9.1971867014962017E-2</v>
          </cell>
          <cell r="M73">
            <v>0.10295366732022801</v>
          </cell>
          <cell r="P73">
            <v>0.25150890752674676</v>
          </cell>
          <cell r="S73">
            <v>0.16410964418439952</v>
          </cell>
          <cell r="V73">
            <v>0.55879031477891694</v>
          </cell>
        </row>
        <row r="76">
          <cell r="F76">
            <v>4480892363</v>
          </cell>
          <cell r="I76">
            <v>22678883004</v>
          </cell>
          <cell r="L76">
            <v>4927582106</v>
          </cell>
          <cell r="O76">
            <v>12107953398</v>
          </cell>
          <cell r="R76">
            <v>7382655170</v>
          </cell>
          <cell r="U76">
            <v>11350737000</v>
          </cell>
        </row>
        <row r="79">
          <cell r="G79">
            <v>17.826190905289646</v>
          </cell>
          <cell r="J79">
            <v>8773.7216170498032</v>
          </cell>
          <cell r="M79">
            <v>17.812562747433045</v>
          </cell>
          <cell r="P79">
            <v>58.81633736973432</v>
          </cell>
          <cell r="S79">
            <v>3.7075386989174874</v>
          </cell>
          <cell r="V79">
            <v>193.39839075716938</v>
          </cell>
        </row>
        <row r="82">
          <cell r="G82">
            <v>0.2367502412205002</v>
          </cell>
          <cell r="J82">
            <v>4.5616053374410964E-2</v>
          </cell>
          <cell r="M82">
            <v>0.23603207023363365</v>
          </cell>
          <cell r="P82">
            <v>0.39191691090695846</v>
          </cell>
          <cell r="S82">
            <v>0.10351699475446056</v>
          </cell>
          <cell r="V82">
            <v>0.49035047399289516</v>
          </cell>
        </row>
        <row r="85">
          <cell r="G85">
            <v>0.1120259229088562</v>
          </cell>
          <cell r="J85">
            <v>4.1420659779712231E-2</v>
          </cell>
          <cell r="M85">
            <v>0.21173170299789545</v>
          </cell>
          <cell r="P85">
            <v>0.29334631680349199</v>
          </cell>
          <cell r="S85">
            <v>8.6528857578267698E-2</v>
          </cell>
          <cell r="V85">
            <v>0.21634737827841413</v>
          </cell>
        </row>
        <row r="89">
          <cell r="E89" t="str">
            <v>CONSORCIO PALACIO DE MAGANGUÉ.</v>
          </cell>
          <cell r="H89" t="str">
            <v>CONSORCIO SOCISER MAGANGUE</v>
          </cell>
          <cell r="K89" t="str">
            <v>CONSORCIO PALACIO XP</v>
          </cell>
          <cell r="N89" t="str">
            <v>BROKA CONSTRUCCIONES E INTERVENTORIAS S.A.S NIT:901167911-0</v>
          </cell>
          <cell r="Q89" t="str">
            <v>CONSORCIO INFRAESTRUCTURA JUDICIAL</v>
          </cell>
          <cell r="T89" t="str">
            <v>CONSORCIO PALACIO MAGANGUE</v>
          </cell>
        </row>
        <row r="92">
          <cell r="G92">
            <v>3.2703670079457536</v>
          </cell>
          <cell r="J92">
            <v>9.5625923909165884</v>
          </cell>
          <cell r="M92">
            <v>17.478430551258857</v>
          </cell>
          <cell r="P92">
            <v>12.074657489026901</v>
          </cell>
          <cell r="S92">
            <v>5.0016325650902562</v>
          </cell>
          <cell r="V92">
            <v>4.5325823151041789</v>
          </cell>
        </row>
        <row r="95">
          <cell r="G95">
            <v>0.33563840917738852</v>
          </cell>
          <cell r="J95">
            <v>9.6422625675220322E-2</v>
          </cell>
          <cell r="M95">
            <v>0.33224011025398997</v>
          </cell>
          <cell r="P95">
            <v>0.18093108915916306</v>
          </cell>
          <cell r="S95">
            <v>0.29662181229425288</v>
          </cell>
          <cell r="V95">
            <v>0.22996950339395547</v>
          </cell>
        </row>
        <row r="98">
          <cell r="F98">
            <v>19520846997</v>
          </cell>
          <cell r="I98">
            <v>26495687151</v>
          </cell>
          <cell r="L98">
            <v>24045900964</v>
          </cell>
          <cell r="O98">
            <v>11934397702</v>
          </cell>
          <cell r="R98">
            <v>13698257091</v>
          </cell>
          <cell r="U98">
            <v>49004714659</v>
          </cell>
        </row>
        <row r="101">
          <cell r="G101">
            <v>15.192644308363283</v>
          </cell>
          <cell r="J101">
            <v>57.527837973608719</v>
          </cell>
          <cell r="M101">
            <v>19.51760549093699</v>
          </cell>
          <cell r="P101">
            <v>76.177032181319049</v>
          </cell>
          <cell r="S101">
            <v>69.41269426210043</v>
          </cell>
          <cell r="V101">
            <v>346.54197139308434</v>
          </cell>
        </row>
        <row r="104">
          <cell r="G104">
            <v>0.83717943908099468</v>
          </cell>
          <cell r="J104">
            <v>0.10709066639653511</v>
          </cell>
          <cell r="M104">
            <v>0.16252469362334859</v>
          </cell>
          <cell r="P104">
            <v>0.21781606808382545</v>
          </cell>
          <cell r="S104">
            <v>0.51868432604305059</v>
          </cell>
          <cell r="V104">
            <v>0.44312866463743322</v>
          </cell>
        </row>
        <row r="107">
          <cell r="G107">
            <v>0.55618986395183112</v>
          </cell>
          <cell r="J107">
            <v>9.6764703157272119E-2</v>
          </cell>
          <cell r="M107">
            <v>0.10852747149493133</v>
          </cell>
          <cell r="P107">
            <v>0.17840636964905252</v>
          </cell>
          <cell r="S107">
            <v>0.36483124124353777</v>
          </cell>
          <cell r="V107">
            <v>0.34122258569113612</v>
          </cell>
        </row>
        <row r="111">
          <cell r="E111" t="str">
            <v>CONSORCIO JUSTICIA MAGANGUÉ 2026</v>
          </cell>
          <cell r="H111" t="str">
            <v xml:space="preserve">Consorcio TRIUNFO MO. </v>
          </cell>
          <cell r="K111" t="str">
            <v>CONSORCIO RJ DUOVAL 2026</v>
          </cell>
          <cell r="N111" t="str">
            <v>CONSORCIO PALACIO DE JUSTICIA C&amp;E</v>
          </cell>
          <cell r="Q111" t="str">
            <v xml:space="preserve">Consorcio Edificaciones 2627 </v>
          </cell>
          <cell r="T111" t="str">
            <v>CONSORCIO INFRAESTRUCTURA BOLIVAR MGD</v>
          </cell>
        </row>
        <row r="114">
          <cell r="G114">
            <v>110.48415616196247</v>
          </cell>
          <cell r="J114">
            <v>36.74961912476833</v>
          </cell>
          <cell r="M114">
            <v>2.9756181568134843</v>
          </cell>
          <cell r="P114">
            <v>3.6388021982973631</v>
          </cell>
          <cell r="S114">
            <v>11.572769227298581</v>
          </cell>
          <cell r="V114">
            <v>12.971952345945782</v>
          </cell>
        </row>
        <row r="117">
          <cell r="G117">
            <v>0.44373238545978755</v>
          </cell>
          <cell r="J117">
            <v>0.57654935606640612</v>
          </cell>
          <cell r="M117">
            <v>0.59301751053899487</v>
          </cell>
          <cell r="P117">
            <v>0.29831836222914682</v>
          </cell>
          <cell r="S117">
            <v>0.13703788410244244</v>
          </cell>
          <cell r="V117">
            <v>0.30634925757816278</v>
          </cell>
        </row>
        <row r="120">
          <cell r="F120">
            <v>4793256777</v>
          </cell>
          <cell r="I120">
            <v>116779183779</v>
          </cell>
          <cell r="L120">
            <v>49939863319</v>
          </cell>
          <cell r="O120">
            <v>11692207604</v>
          </cell>
          <cell r="R120">
            <v>6250551157</v>
          </cell>
          <cell r="U120">
            <v>58222507584</v>
          </cell>
        </row>
        <row r="123">
          <cell r="G123">
            <v>705.00735033007061</v>
          </cell>
          <cell r="J123">
            <v>1065.4365621761569</v>
          </cell>
          <cell r="M123">
            <v>4.8625495543840422</v>
          </cell>
          <cell r="P123">
            <v>18.935198651467768</v>
          </cell>
          <cell r="S123">
            <v>5.3526640427743422</v>
          </cell>
          <cell r="V123">
            <v>1412.2655578705585</v>
          </cell>
        </row>
        <row r="126">
          <cell r="G126">
            <v>0.30762686367447162</v>
          </cell>
          <cell r="J126">
            <v>0.87412864409623858</v>
          </cell>
          <cell r="M126">
            <v>8.8935062198898712E-2</v>
          </cell>
          <cell r="P126">
            <v>0.34843005844683922</v>
          </cell>
          <cell r="S126">
            <v>0.24955550911745064</v>
          </cell>
          <cell r="V126">
            <v>0.27523043155725246</v>
          </cell>
        </row>
        <row r="129">
          <cell r="G129">
            <v>0.17112286162468546</v>
          </cell>
          <cell r="J129">
            <v>0.37015033722335156</v>
          </cell>
          <cell r="M129">
            <v>3.6195013014077126E-2</v>
          </cell>
          <cell r="P129">
            <v>0.24448697405957223</v>
          </cell>
          <cell r="S129">
            <v>0.21535695018188741</v>
          </cell>
          <cell r="V129">
            <v>0.19091379318677082</v>
          </cell>
        </row>
        <row r="133">
          <cell r="E133" t="str">
            <v>Consorcio Pal. JUSTICIA</v>
          </cell>
          <cell r="H133" t="str">
            <v>CONSORCIO JUDICATURA MAGANGUÉ</v>
          </cell>
          <cell r="K133" t="str">
            <v>UNION TEMPORAL DE LOS RIOS</v>
          </cell>
          <cell r="N133" t="str">
            <v>CONSORCIO DIKÉ</v>
          </cell>
          <cell r="Q133" t="str">
            <v>GEOCIVA SAS NIT:800252171-4</v>
          </cell>
          <cell r="T133" t="str">
            <v>CONSORCIO BCHC</v>
          </cell>
        </row>
        <row r="136">
          <cell r="G136">
            <v>4.6755880062945776</v>
          </cell>
          <cell r="J136">
            <v>75.381124890291915</v>
          </cell>
          <cell r="M136">
            <v>3.9051304966822724</v>
          </cell>
          <cell r="P136">
            <v>141.96958805124424</v>
          </cell>
          <cell r="S136">
            <v>36.469518631839698</v>
          </cell>
        </row>
        <row r="139">
          <cell r="G139">
            <v>0.22550650705166658</v>
          </cell>
          <cell r="J139">
            <v>1.7387450133387466E-2</v>
          </cell>
          <cell r="M139">
            <v>0.4811140762199505</v>
          </cell>
          <cell r="P139">
            <v>7.1818052337682039E-3</v>
          </cell>
          <cell r="S139">
            <v>1.975741798087053E-2</v>
          </cell>
        </row>
        <row r="142">
          <cell r="F142">
            <v>51348845414</v>
          </cell>
          <cell r="I142">
            <v>10209727397</v>
          </cell>
          <cell r="L142">
            <v>12226220447</v>
          </cell>
          <cell r="O142">
            <v>16676633892</v>
          </cell>
          <cell r="R142">
            <v>15221070000</v>
          </cell>
        </row>
        <row r="145">
          <cell r="G145">
            <v>662.69086173766527</v>
          </cell>
          <cell r="J145">
            <v>413.82499679540535</v>
          </cell>
          <cell r="M145">
            <v>36.360097906755129</v>
          </cell>
          <cell r="P145">
            <v>29076.849499374719</v>
          </cell>
          <cell r="S145" t="str">
            <v>INDETERMINADO</v>
          </cell>
        </row>
        <row r="148">
          <cell r="G148">
            <v>0.72562747561258578</v>
          </cell>
          <cell r="J148">
            <v>0.27994857762940434</v>
          </cell>
          <cell r="M148">
            <v>0.34912518327932685</v>
          </cell>
          <cell r="P148">
            <v>0.12272148791161418</v>
          </cell>
          <cell r="S148">
            <v>0.33107685677184623</v>
          </cell>
        </row>
        <row r="151">
          <cell r="G151">
            <v>0.56199375816647323</v>
          </cell>
          <cell r="J151">
            <v>0.27508098569596029</v>
          </cell>
          <cell r="M151">
            <v>0.18115614324077262</v>
          </cell>
          <cell r="P151">
            <v>0.12184012608743472</v>
          </cell>
          <cell r="S151">
            <v>0.32453563292881205</v>
          </cell>
        </row>
        <row r="155">
          <cell r="E155" t="str">
            <v>CONSORCIO FR</v>
          </cell>
          <cell r="H155" t="str">
            <v>JALCONS GROUP S.A.S NIT:800180302-2</v>
          </cell>
          <cell r="K155" t="str">
            <v>GRUPO MORE S.A.S
NIT:829001262-5</v>
          </cell>
          <cell r="N155" t="str">
            <v>CONSORCIO OBRAS BTR</v>
          </cell>
          <cell r="Q155" t="str">
            <v>CONSORCIO PALACIO MAGANGUE</v>
          </cell>
          <cell r="T155" t="str">
            <v>CONSORCIO CONSTRU JUSTICIA IE</v>
          </cell>
        </row>
        <row r="158">
          <cell r="G158">
            <v>2.9675438491874329</v>
          </cell>
          <cell r="J158">
            <v>58.193549515881266</v>
          </cell>
          <cell r="M158">
            <v>27.114791652479212</v>
          </cell>
          <cell r="P158">
            <v>35.425472641629334</v>
          </cell>
          <cell r="S158">
            <v>2.4561051596899666</v>
          </cell>
          <cell r="V158">
            <v>21.171708406522807</v>
          </cell>
        </row>
        <row r="161">
          <cell r="G161">
            <v>0.37107464853758371</v>
          </cell>
          <cell r="J161">
            <v>1.2863052647157423E-2</v>
          </cell>
          <cell r="M161">
            <v>2.84370147686503E-2</v>
          </cell>
          <cell r="P161">
            <v>0.55666279319453316</v>
          </cell>
          <cell r="S161">
            <v>0.42865064864317554</v>
          </cell>
          <cell r="V161">
            <v>0.57053412323985375</v>
          </cell>
        </row>
        <row r="164">
          <cell r="F164">
            <v>31253622986</v>
          </cell>
          <cell r="I164">
            <v>16344601000</v>
          </cell>
          <cell r="L164">
            <v>13805219000</v>
          </cell>
          <cell r="O164">
            <v>4202396830</v>
          </cell>
          <cell r="R164">
            <v>4187130740</v>
          </cell>
          <cell r="U164">
            <v>4913456983</v>
          </cell>
        </row>
        <row r="167">
          <cell r="G167">
            <v>155.61954349781718</v>
          </cell>
          <cell r="J167">
            <v>1109.1955473748794</v>
          </cell>
          <cell r="M167">
            <v>252.58517620500814</v>
          </cell>
          <cell r="P167">
            <v>22.304893068498895</v>
          </cell>
          <cell r="S167">
            <v>23.126774132466043</v>
          </cell>
          <cell r="V167">
            <v>52256.558170656848</v>
          </cell>
        </row>
        <row r="170">
          <cell r="G170">
            <v>0.47371368189363122</v>
          </cell>
          <cell r="J170">
            <v>0.57702557795635612</v>
          </cell>
          <cell r="M170">
            <v>0.66907298284892058</v>
          </cell>
          <cell r="P170">
            <v>0.42052094410514451</v>
          </cell>
          <cell r="S170">
            <v>0.25923755872493209</v>
          </cell>
          <cell r="V170">
            <v>0.8144300977926916</v>
          </cell>
        </row>
        <row r="173">
          <cell r="G173">
            <v>0.29793054387750728</v>
          </cell>
          <cell r="J173">
            <v>0.56960326756834712</v>
          </cell>
          <cell r="M173">
            <v>0.65004654455434097</v>
          </cell>
          <cell r="P173">
            <v>0.18643258076277264</v>
          </cell>
          <cell r="S173">
            <v>0.14811521102481665</v>
          </cell>
          <cell r="V173">
            <v>0.34976993600838996</v>
          </cell>
        </row>
        <row r="177">
          <cell r="E177" t="str">
            <v>CONSORCIO JUDICATURA BOLIVAR</v>
          </cell>
        </row>
        <row r="180">
          <cell r="G180">
            <v>14.845099248329817</v>
          </cell>
        </row>
        <row r="183">
          <cell r="G183">
            <v>0.29960600460734105</v>
          </cell>
        </row>
        <row r="186">
          <cell r="F186">
            <v>25988038002</v>
          </cell>
        </row>
        <row r="189">
          <cell r="G189" t="str">
            <v>INDETERMINADO</v>
          </cell>
        </row>
        <row r="192">
          <cell r="G192">
            <v>6.2178107152574137E-2</v>
          </cell>
        </row>
        <row r="195">
          <cell r="G195">
            <v>4.3549172894544262E-2</v>
          </cell>
        </row>
      </sheetData>
      <sheetData sheetId="3">
        <row r="104">
          <cell r="D104" t="str">
            <v>RECHAZADO, NO ACREDITA RENOVACION DEL RUP DEL PROPONENTE CONSULTCARIBE S.A.S., EN EL CERTIFICADO APORTADO , POR TANTO SE RECHAZA POR ESTAR INCURSA EN LA CAUSAL F) DEL PUNTO 1.15 DEL PLIEGO DE CONDICIONES LP-01-2026</v>
          </cell>
        </row>
      </sheetData>
      <sheetData sheetId="4">
        <row r="6">
          <cell r="M6">
            <v>3134693998.5</v>
          </cell>
        </row>
        <row r="7">
          <cell r="M7">
            <v>690458795.25</v>
          </cell>
        </row>
        <row r="9">
          <cell r="M9">
            <v>747175480.25</v>
          </cell>
        </row>
        <row r="10">
          <cell r="M10">
            <v>3280248832.75</v>
          </cell>
        </row>
        <row r="12">
          <cell r="N12">
            <v>8471633560</v>
          </cell>
        </row>
        <row r="14">
          <cell r="M14">
            <v>569889925.75</v>
          </cell>
        </row>
        <row r="15">
          <cell r="M15">
            <v>105487292.5</v>
          </cell>
        </row>
        <row r="30">
          <cell r="J30">
            <v>27259458590.5</v>
          </cell>
        </row>
        <row r="31">
          <cell r="J31">
            <v>3806115534</v>
          </cell>
        </row>
        <row r="33">
          <cell r="J33">
            <v>3806115534</v>
          </cell>
        </row>
        <row r="34">
          <cell r="J34">
            <v>27578982615.5</v>
          </cell>
        </row>
        <row r="36">
          <cell r="K36">
            <v>37826918085</v>
          </cell>
        </row>
        <row r="38">
          <cell r="J38">
            <v>11527062171.800001</v>
          </cell>
        </row>
        <row r="39">
          <cell r="J39">
            <v>80121849</v>
          </cell>
        </row>
        <row r="53">
          <cell r="J53">
            <v>10673541778.700001</v>
          </cell>
        </row>
        <row r="54">
          <cell r="J54">
            <v>113477668.10000001</v>
          </cell>
        </row>
        <row r="56">
          <cell r="J56">
            <v>5577123266.5</v>
          </cell>
        </row>
        <row r="57">
          <cell r="J57">
            <v>12703296000</v>
          </cell>
        </row>
        <row r="59">
          <cell r="K59">
            <v>16064461818</v>
          </cell>
        </row>
        <row r="61">
          <cell r="J61">
            <v>2830338806.5</v>
          </cell>
        </row>
        <row r="62">
          <cell r="J62">
            <v>79342679.799999997</v>
          </cell>
        </row>
        <row r="76">
          <cell r="J76">
            <v>23625739806.900002</v>
          </cell>
        </row>
        <row r="77">
          <cell r="J77">
            <v>314264122.80000001</v>
          </cell>
        </row>
        <row r="79">
          <cell r="J79">
            <v>18352015642.600002</v>
          </cell>
        </row>
        <row r="80">
          <cell r="J80">
            <v>39990730053.300003</v>
          </cell>
        </row>
        <row r="82">
          <cell r="K82">
            <v>26673210049</v>
          </cell>
        </row>
        <row r="84">
          <cell r="J84">
            <v>10607103256.5</v>
          </cell>
        </row>
        <row r="85">
          <cell r="J85">
            <v>181557771.30000001</v>
          </cell>
        </row>
        <row r="99">
          <cell r="J99">
            <v>1309057432.8</v>
          </cell>
        </row>
        <row r="100">
          <cell r="J100">
            <v>479031543.39999998</v>
          </cell>
        </row>
        <row r="102">
          <cell r="J102">
            <v>479031543.39999998</v>
          </cell>
        </row>
        <row r="103">
          <cell r="J103">
            <v>1512171234</v>
          </cell>
        </row>
        <row r="105">
          <cell r="K105">
            <v>1928709149</v>
          </cell>
        </row>
        <row r="107">
          <cell r="J107">
            <v>170705927.59999999</v>
          </cell>
        </row>
        <row r="108">
          <cell r="J108">
            <v>21960</v>
          </cell>
        </row>
        <row r="122">
          <cell r="M122">
            <v>5581923390.5</v>
          </cell>
        </row>
        <row r="123">
          <cell r="M123">
            <v>809917174</v>
          </cell>
        </row>
        <row r="125">
          <cell r="M125">
            <v>3863230283.75</v>
          </cell>
        </row>
        <row r="126">
          <cell r="M126">
            <v>6181912672.5</v>
          </cell>
        </row>
        <row r="128">
          <cell r="N128">
            <v>16588945866</v>
          </cell>
        </row>
        <row r="130">
          <cell r="M130">
            <v>458539366</v>
          </cell>
        </row>
        <row r="131">
          <cell r="M131">
            <v>18861843</v>
          </cell>
        </row>
        <row r="146">
          <cell r="J146">
            <v>4412736003.25</v>
          </cell>
        </row>
        <row r="147">
          <cell r="J147">
            <v>560329410.33000004</v>
          </cell>
        </row>
        <row r="149">
          <cell r="J149">
            <v>2336487148.0900002</v>
          </cell>
        </row>
        <row r="150">
          <cell r="J150">
            <v>4954086924.1599998</v>
          </cell>
        </row>
        <row r="152">
          <cell r="K152">
            <v>7630361694</v>
          </cell>
        </row>
        <row r="154">
          <cell r="J154">
            <v>1888828308.5</v>
          </cell>
        </row>
        <row r="155">
          <cell r="J155">
            <v>17386113.580000002</v>
          </cell>
        </row>
        <row r="169">
          <cell r="J169">
            <v>19188883116.800003</v>
          </cell>
        </row>
        <row r="170">
          <cell r="J170">
            <v>3092517053.6000004</v>
          </cell>
        </row>
        <row r="172">
          <cell r="J172">
            <v>7175504839.6000004</v>
          </cell>
        </row>
        <row r="173">
          <cell r="J173">
            <v>21622532556</v>
          </cell>
        </row>
        <row r="175">
          <cell r="K175">
            <v>31044588837</v>
          </cell>
        </row>
        <row r="177">
          <cell r="J177">
            <v>2447385451.1999998</v>
          </cell>
        </row>
        <row r="178">
          <cell r="J178">
            <v>667593118.20000005</v>
          </cell>
        </row>
        <row r="192">
          <cell r="J192">
            <v>62788003691.400002</v>
          </cell>
        </row>
        <row r="193">
          <cell r="J193">
            <v>22893923662.400002</v>
          </cell>
        </row>
        <row r="195">
          <cell r="J195">
            <v>49051448945.700005</v>
          </cell>
        </row>
        <row r="196">
          <cell r="J196">
            <v>79600883647.600006</v>
          </cell>
        </row>
        <row r="198">
          <cell r="K198">
            <v>47026067106</v>
          </cell>
        </row>
        <row r="200">
          <cell r="J200">
            <v>9967453103.2000008</v>
          </cell>
        </row>
        <row r="201">
          <cell r="J201">
            <v>2018714189.5999999</v>
          </cell>
        </row>
        <row r="215">
          <cell r="J215">
            <v>5952561634.8999996</v>
          </cell>
        </row>
        <row r="216">
          <cell r="J216">
            <v>1128177786.5</v>
          </cell>
        </row>
        <row r="218">
          <cell r="J218">
            <v>3596595085.2999997</v>
          </cell>
        </row>
        <row r="219">
          <cell r="J219">
            <v>6847759232.1999998</v>
          </cell>
        </row>
        <row r="221">
          <cell r="K221">
            <v>8051559212</v>
          </cell>
        </row>
        <row r="223">
          <cell r="J223">
            <v>801571521.79999995</v>
          </cell>
        </row>
        <row r="224">
          <cell r="J224">
            <v>175096177.89999998</v>
          </cell>
        </row>
        <row r="238">
          <cell r="J238">
            <v>23068606212.599998</v>
          </cell>
        </row>
        <row r="239">
          <cell r="J239">
            <v>9550300878.5000019</v>
          </cell>
        </row>
        <row r="241">
          <cell r="J241">
            <v>15478984089.1</v>
          </cell>
        </row>
        <row r="242">
          <cell r="J242">
            <v>25498665176.600002</v>
          </cell>
        </row>
        <row r="244">
          <cell r="K244">
            <v>16145899581</v>
          </cell>
        </row>
        <row r="246">
          <cell r="J246">
            <v>4843865167.1000004</v>
          </cell>
        </row>
        <row r="247">
          <cell r="J247">
            <v>0</v>
          </cell>
        </row>
        <row r="261">
          <cell r="P261">
            <v>2356362544.6999998</v>
          </cell>
        </row>
        <row r="262">
          <cell r="P262">
            <v>26657345.5</v>
          </cell>
        </row>
        <row r="264">
          <cell r="P264">
            <v>803165344.10000002</v>
          </cell>
        </row>
        <row r="265">
          <cell r="P265">
            <v>2763145252.8000002</v>
          </cell>
        </row>
        <row r="267">
          <cell r="Q267">
            <v>6310668835.8999996</v>
          </cell>
        </row>
        <row r="269">
          <cell r="P269">
            <v>419343023.10000002</v>
          </cell>
        </row>
        <row r="270">
          <cell r="P270">
            <v>0</v>
          </cell>
        </row>
        <row r="285">
          <cell r="J285">
            <v>12625762031.5</v>
          </cell>
        </row>
        <row r="286">
          <cell r="J286">
            <v>566091447.5</v>
          </cell>
        </row>
        <row r="288">
          <cell r="J288">
            <v>9783121110.5</v>
          </cell>
        </row>
        <row r="289">
          <cell r="J289">
            <v>18308445342</v>
          </cell>
        </row>
        <row r="291">
          <cell r="K291">
            <v>24119341168</v>
          </cell>
        </row>
        <row r="293">
          <cell r="J293">
            <v>2581997206</v>
          </cell>
        </row>
        <row r="294">
          <cell r="J294">
            <v>1118192071.5</v>
          </cell>
        </row>
        <row r="308">
          <cell r="M308">
            <v>1406887571.8999999</v>
          </cell>
        </row>
        <row r="309">
          <cell r="M309">
            <v>68087414.200000003</v>
          </cell>
        </row>
        <row r="311">
          <cell r="M311">
            <v>298901721.39999998</v>
          </cell>
        </row>
        <row r="312">
          <cell r="M312">
            <v>1863099648.3</v>
          </cell>
        </row>
        <row r="314">
          <cell r="N314">
            <v>6375171487</v>
          </cell>
        </row>
        <row r="316">
          <cell r="M316">
            <v>124068189.70000002</v>
          </cell>
        </row>
        <row r="317">
          <cell r="M317">
            <v>5257231.5</v>
          </cell>
        </row>
        <row r="331">
          <cell r="J331">
            <v>29527016166.400002</v>
          </cell>
        </row>
        <row r="332">
          <cell r="J332">
            <v>3367228009.1999998</v>
          </cell>
        </row>
        <row r="334">
          <cell r="J334">
            <v>5997231066.6999998</v>
          </cell>
        </row>
        <row r="335">
          <cell r="J335">
            <v>32223655530</v>
          </cell>
        </row>
        <row r="337">
          <cell r="K337">
            <v>29478503972</v>
          </cell>
        </row>
        <row r="339">
          <cell r="J339">
            <v>5265638832.8000002</v>
          </cell>
        </row>
        <row r="340">
          <cell r="J340">
            <v>118261823.80000001</v>
          </cell>
        </row>
        <row r="354">
          <cell r="J354">
            <v>7300008607.8999996</v>
          </cell>
        </row>
        <row r="355">
          <cell r="J355">
            <v>36101678.299999997</v>
          </cell>
        </row>
        <row r="357">
          <cell r="J357">
            <v>3758910309.8000002</v>
          </cell>
        </row>
        <row r="358">
          <cell r="J358">
            <v>7835909440.8999996</v>
          </cell>
        </row>
        <row r="360">
          <cell r="K360">
            <v>16361500712</v>
          </cell>
        </row>
        <row r="362">
          <cell r="J362">
            <v>1054267812.9</v>
          </cell>
        </row>
        <row r="363">
          <cell r="J363">
            <v>78845145.699999988</v>
          </cell>
        </row>
        <row r="377">
          <cell r="J377">
            <v>26699183311.900002</v>
          </cell>
        </row>
        <row r="378">
          <cell r="J378">
            <v>12203292495.300001</v>
          </cell>
        </row>
        <row r="380">
          <cell r="J380">
            <v>13575103283.4</v>
          </cell>
        </row>
        <row r="381">
          <cell r="J381">
            <v>31987787089.400002</v>
          </cell>
        </row>
        <row r="383">
          <cell r="K383">
            <v>87776767574</v>
          </cell>
        </row>
        <row r="385">
          <cell r="J385">
            <v>6621885161.1000004</v>
          </cell>
        </row>
        <row r="386">
          <cell r="J386">
            <v>61490834.100000001</v>
          </cell>
        </row>
        <row r="400">
          <cell r="J400">
            <v>1451249136.5</v>
          </cell>
        </row>
        <row r="401">
          <cell r="J401">
            <v>218289796.80000001</v>
          </cell>
        </row>
        <row r="403">
          <cell r="J403">
            <v>319882579.70000005</v>
          </cell>
        </row>
        <row r="404">
          <cell r="J404">
            <v>1480074371.4000001</v>
          </cell>
        </row>
        <row r="406">
          <cell r="K406">
            <v>11157899949</v>
          </cell>
        </row>
        <row r="408">
          <cell r="J408">
            <v>477534026.40000004</v>
          </cell>
        </row>
        <row r="409">
          <cell r="J409">
            <v>6030117.1000000006</v>
          </cell>
        </row>
        <row r="423">
          <cell r="M423">
            <v>2180770562.4000001</v>
          </cell>
        </row>
        <row r="424">
          <cell r="M424">
            <v>335551711.30000001</v>
          </cell>
        </row>
        <row r="426">
          <cell r="M426">
            <v>1151480792.1000001</v>
          </cell>
        </row>
        <row r="427">
          <cell r="M427">
            <v>2185727362.4000001</v>
          </cell>
        </row>
        <row r="429">
          <cell r="N429">
            <v>4480892363</v>
          </cell>
        </row>
        <row r="431">
          <cell r="M431">
            <v>244858125</v>
          </cell>
        </row>
        <row r="432">
          <cell r="M432">
            <v>13735863.5</v>
          </cell>
        </row>
        <row r="446">
          <cell r="J446">
            <v>12923248451.200001</v>
          </cell>
        </row>
        <row r="447">
          <cell r="J447">
            <v>410834962.79999995</v>
          </cell>
        </row>
        <row r="449">
          <cell r="J449">
            <v>1249571043.8999999</v>
          </cell>
        </row>
        <row r="450">
          <cell r="J450">
            <v>13586448600.599998</v>
          </cell>
        </row>
        <row r="452">
          <cell r="J452">
            <v>22678883004</v>
          </cell>
        </row>
        <row r="454">
          <cell r="J454">
            <v>562759665.0999999</v>
          </cell>
        </row>
        <row r="455">
          <cell r="J455">
            <v>64141.5</v>
          </cell>
        </row>
        <row r="469">
          <cell r="M469">
            <v>1927790894.4000001</v>
          </cell>
        </row>
        <row r="470">
          <cell r="M470">
            <v>281496227</v>
          </cell>
        </row>
        <row r="472">
          <cell r="M472">
            <v>284067267</v>
          </cell>
        </row>
        <row r="473">
          <cell r="M473">
            <v>2759175796.1999998</v>
          </cell>
        </row>
        <row r="475">
          <cell r="N475">
            <v>4927582106</v>
          </cell>
        </row>
        <row r="477">
          <cell r="M477">
            <v>584204990.20000005</v>
          </cell>
        </row>
        <row r="478">
          <cell r="M478">
            <v>32797357.600000001</v>
          </cell>
        </row>
        <row r="491">
          <cell r="J491">
            <v>11685119260.5</v>
          </cell>
        </row>
        <row r="492">
          <cell r="J492">
            <v>1633569719.1000001</v>
          </cell>
        </row>
        <row r="494">
          <cell r="J494">
            <v>3962055720.6000004</v>
          </cell>
        </row>
        <row r="495">
          <cell r="J495">
            <v>15753142739.799999</v>
          </cell>
        </row>
        <row r="497">
          <cell r="K497">
            <v>12107953398</v>
          </cell>
        </row>
        <row r="499">
          <cell r="J499">
            <v>4621126400.8000002</v>
          </cell>
        </row>
        <row r="500">
          <cell r="J500">
            <v>78568755</v>
          </cell>
        </row>
        <row r="514">
          <cell r="M514">
            <v>2217807340</v>
          </cell>
        </row>
        <row r="515">
          <cell r="M515">
            <v>225235594.80000001</v>
          </cell>
        </row>
        <row r="517">
          <cell r="M517">
            <v>514535723.60000002</v>
          </cell>
        </row>
        <row r="518">
          <cell r="M518">
            <v>3135316794.8000002</v>
          </cell>
        </row>
        <row r="520">
          <cell r="N520">
            <v>7382655170</v>
          </cell>
        </row>
        <row r="522">
          <cell r="M522">
            <v>271295380.39999998</v>
          </cell>
        </row>
        <row r="523">
          <cell r="M523">
            <v>73173984.799999997</v>
          </cell>
        </row>
        <row r="536">
          <cell r="J536">
            <v>10054903000</v>
          </cell>
        </row>
        <row r="537">
          <cell r="J537">
            <v>365757300</v>
          </cell>
        </row>
        <row r="539">
          <cell r="J539">
            <v>5810778900</v>
          </cell>
        </row>
        <row r="540">
          <cell r="J540">
            <v>10398854000</v>
          </cell>
        </row>
        <row r="542">
          <cell r="K542">
            <v>11350737000</v>
          </cell>
        </row>
        <row r="544">
          <cell r="J544">
            <v>2249764800</v>
          </cell>
        </row>
        <row r="545">
          <cell r="J545">
            <v>11632800</v>
          </cell>
        </row>
        <row r="559">
          <cell r="J559">
            <v>4239752550.6000004</v>
          </cell>
        </row>
        <row r="560">
          <cell r="J560">
            <v>1296414910.1000001</v>
          </cell>
        </row>
        <row r="562">
          <cell r="J562">
            <v>1516163037.3000002</v>
          </cell>
        </row>
        <row r="563">
          <cell r="J563">
            <v>4517251291.4000006</v>
          </cell>
        </row>
        <row r="565">
          <cell r="K565">
            <v>19520846997</v>
          </cell>
        </row>
        <row r="567">
          <cell r="J567">
            <v>2512449381.1999998</v>
          </cell>
        </row>
        <row r="568">
          <cell r="J568">
            <v>165372750.80000001</v>
          </cell>
        </row>
        <row r="582">
          <cell r="J582">
            <v>15065226126.18</v>
          </cell>
        </row>
        <row r="583">
          <cell r="J583">
            <v>1575433262.27</v>
          </cell>
        </row>
        <row r="585">
          <cell r="J585">
            <v>1647626790.1399999</v>
          </cell>
        </row>
        <row r="586">
          <cell r="J586">
            <v>17087553658.719999</v>
          </cell>
        </row>
        <row r="588">
          <cell r="K588">
            <v>26495687151</v>
          </cell>
        </row>
        <row r="590">
          <cell r="J590">
            <v>1653472057.4699998</v>
          </cell>
        </row>
        <row r="591">
          <cell r="J591">
            <v>28742120.609999999</v>
          </cell>
        </row>
        <row r="605">
          <cell r="J605">
            <v>13155880997.4</v>
          </cell>
        </row>
        <row r="606">
          <cell r="J606">
            <v>752692351.80000007</v>
          </cell>
        </row>
        <row r="608">
          <cell r="J608">
            <v>4985425048.8000002</v>
          </cell>
        </row>
        <row r="609">
          <cell r="J609">
            <v>15005488184.400002</v>
          </cell>
        </row>
        <row r="611">
          <cell r="K611">
            <v>24045900964</v>
          </cell>
        </row>
        <row r="613">
          <cell r="J613">
            <v>1628507691.2</v>
          </cell>
        </row>
        <row r="614">
          <cell r="J614">
            <v>83437883.399999991</v>
          </cell>
        </row>
        <row r="628">
          <cell r="J628">
            <v>14922988249.5</v>
          </cell>
        </row>
        <row r="629">
          <cell r="J629">
            <v>2983623458</v>
          </cell>
        </row>
        <row r="631">
          <cell r="J631">
            <v>5072197723.5</v>
          </cell>
        </row>
        <row r="632">
          <cell r="J632">
            <v>17099881105.4</v>
          </cell>
        </row>
        <row r="634">
          <cell r="K634">
            <v>13698257091</v>
          </cell>
        </row>
        <row r="636">
          <cell r="J636">
            <v>6238570848.8000002</v>
          </cell>
        </row>
        <row r="637">
          <cell r="J637">
            <v>89876512</v>
          </cell>
        </row>
        <row r="651">
          <cell r="M651">
            <v>7539926353.8999996</v>
          </cell>
        </row>
        <row r="652">
          <cell r="M652">
            <v>1663494632.8</v>
          </cell>
        </row>
        <row r="654">
          <cell r="M654">
            <v>1815731701.9000001</v>
          </cell>
        </row>
        <row r="655">
          <cell r="M655">
            <v>7895532560.2000008</v>
          </cell>
        </row>
        <row r="657">
          <cell r="N657">
            <v>49004714659</v>
          </cell>
        </row>
        <row r="659">
          <cell r="M659">
            <v>2694134035.5999999</v>
          </cell>
        </row>
        <row r="660">
          <cell r="M660">
            <v>7774336.9000000004</v>
          </cell>
        </row>
        <row r="674">
          <cell r="M674">
            <v>1953453626.75</v>
          </cell>
        </row>
        <row r="675">
          <cell r="M675">
            <v>17680848.5</v>
          </cell>
        </row>
        <row r="677">
          <cell r="M677">
            <v>1003871104.25</v>
          </cell>
        </row>
        <row r="678">
          <cell r="M678">
            <v>2262334544.75</v>
          </cell>
        </row>
        <row r="680">
          <cell r="N680">
            <v>4793256777</v>
          </cell>
        </row>
        <row r="682">
          <cell r="M682">
            <v>387137161.25</v>
          </cell>
        </row>
        <row r="683">
          <cell r="M683">
            <v>549125</v>
          </cell>
        </row>
        <row r="697">
          <cell r="J697">
            <v>69562603753.699997</v>
          </cell>
        </row>
        <row r="698">
          <cell r="J698">
            <v>1892879583.8000002</v>
          </cell>
        </row>
        <row r="700">
          <cell r="J700">
            <v>40744403269</v>
          </cell>
        </row>
        <row r="701">
          <cell r="J701">
            <v>70669410763</v>
          </cell>
        </row>
        <row r="703">
          <cell r="K703">
            <v>116779183779</v>
          </cell>
        </row>
        <row r="705">
          <cell r="J705">
            <v>26158306225.299999</v>
          </cell>
        </row>
        <row r="706">
          <cell r="J706">
            <v>24551725.699999999</v>
          </cell>
        </row>
        <row r="720">
          <cell r="J720">
            <v>11115767648.700001</v>
          </cell>
        </row>
        <row r="721">
          <cell r="J721">
            <v>3735616286.4000001</v>
          </cell>
        </row>
        <row r="723">
          <cell r="J723">
            <v>6812316541.1000004</v>
          </cell>
        </row>
        <row r="724">
          <cell r="J724">
            <v>11487547028.6</v>
          </cell>
        </row>
        <row r="726">
          <cell r="K726">
            <v>49939863319</v>
          </cell>
        </row>
        <row r="728">
          <cell r="J728">
            <v>415791914.20000005</v>
          </cell>
        </row>
        <row r="729">
          <cell r="J729">
            <v>85509033.800000012</v>
          </cell>
        </row>
        <row r="743">
          <cell r="J743">
            <v>12642734012.6</v>
          </cell>
        </row>
        <row r="744">
          <cell r="J744">
            <v>3474421890.4000001</v>
          </cell>
        </row>
        <row r="746">
          <cell r="J746">
            <v>3842145143.2000003</v>
          </cell>
        </row>
        <row r="747">
          <cell r="J747">
            <v>12879345121.400002</v>
          </cell>
        </row>
        <row r="749">
          <cell r="K749">
            <v>11692207604</v>
          </cell>
        </row>
        <row r="751">
          <cell r="J751">
            <v>3148832116.6000004</v>
          </cell>
        </row>
        <row r="752">
          <cell r="J752">
            <v>166295172</v>
          </cell>
        </row>
        <row r="766">
          <cell r="J766">
            <v>2256023457</v>
          </cell>
        </row>
        <row r="767">
          <cell r="J767">
            <v>194942404.25</v>
          </cell>
        </row>
        <row r="769">
          <cell r="J769">
            <v>363368617</v>
          </cell>
        </row>
        <row r="770">
          <cell r="J770">
            <v>2651592436.5</v>
          </cell>
        </row>
        <row r="772">
          <cell r="K772">
            <v>6250551157</v>
          </cell>
        </row>
        <row r="774">
          <cell r="J774">
            <v>571038860.25</v>
          </cell>
        </row>
        <row r="775">
          <cell r="J775">
            <v>106683112.5</v>
          </cell>
        </row>
        <row r="789">
          <cell r="M789">
            <v>27230226664.800003</v>
          </cell>
        </row>
        <row r="790">
          <cell r="M790">
            <v>2099161786.8000002</v>
          </cell>
        </row>
        <row r="792">
          <cell r="M792">
            <v>8774841234.5</v>
          </cell>
        </row>
        <row r="793">
          <cell r="M793">
            <v>28643259343.5</v>
          </cell>
        </row>
        <row r="795">
          <cell r="N795">
            <v>58222507584</v>
          </cell>
        </row>
        <row r="797">
          <cell r="M797">
            <v>5468393290.5</v>
          </cell>
        </row>
        <row r="798">
          <cell r="M798">
            <v>3872071.5520000006</v>
          </cell>
        </row>
        <row r="813">
          <cell r="J813">
            <v>29623235044.600002</v>
          </cell>
        </row>
        <row r="814">
          <cell r="J814">
            <v>6335723978.3999996</v>
          </cell>
        </row>
        <row r="816">
          <cell r="J816">
            <v>6694621519.6000004</v>
          </cell>
        </row>
        <row r="817">
          <cell r="J817">
            <v>29687043656.200005</v>
          </cell>
        </row>
        <row r="819">
          <cell r="K819">
            <v>51348845414</v>
          </cell>
        </row>
        <row r="821">
          <cell r="J821">
            <v>16683933233.199999</v>
          </cell>
        </row>
        <row r="822">
          <cell r="J822">
            <v>25176042.399999999</v>
          </cell>
        </row>
        <row r="836">
          <cell r="J836">
            <v>3184394510.9000001</v>
          </cell>
        </row>
        <row r="837">
          <cell r="J837">
            <v>42243924</v>
          </cell>
        </row>
        <row r="839">
          <cell r="J839">
            <v>55728924</v>
          </cell>
        </row>
        <row r="840">
          <cell r="J840">
            <v>3205123440.9000001</v>
          </cell>
        </row>
        <row r="842">
          <cell r="K842">
            <v>10209727397</v>
          </cell>
        </row>
        <row r="844">
          <cell r="J844">
            <v>881668515.39999998</v>
          </cell>
        </row>
        <row r="845">
          <cell r="J845">
            <v>2130534.7000000002</v>
          </cell>
        </row>
        <row r="859">
          <cell r="M859">
            <v>5520727796.6800003</v>
          </cell>
        </row>
        <row r="860">
          <cell r="M860">
            <v>1413711475.5500002</v>
          </cell>
        </row>
        <row r="862">
          <cell r="M862">
            <v>2856682040.4000006</v>
          </cell>
        </row>
        <row r="863">
          <cell r="M863">
            <v>5937639702.5100002</v>
          </cell>
        </row>
        <row r="865">
          <cell r="N865">
            <v>12226220447</v>
          </cell>
        </row>
        <row r="867">
          <cell r="M867">
            <v>1075639908.46</v>
          </cell>
        </row>
        <row r="868">
          <cell r="M868">
            <v>29582976.130000003</v>
          </cell>
        </row>
        <row r="882">
          <cell r="J882">
            <v>14830668029.400002</v>
          </cell>
        </row>
        <row r="883">
          <cell r="J883">
            <v>104463697.00000001</v>
          </cell>
        </row>
        <row r="885">
          <cell r="J885">
            <v>106763697.00000001</v>
          </cell>
        </row>
        <row r="886">
          <cell r="J886">
            <v>14865858029.400002</v>
          </cell>
        </row>
        <row r="888">
          <cell r="K888">
            <v>16676633892</v>
          </cell>
        </row>
        <row r="890">
          <cell r="J890">
            <v>1811258016.7</v>
          </cell>
        </row>
        <row r="891">
          <cell r="J891">
            <v>62292.100000000006</v>
          </cell>
        </row>
        <row r="928">
          <cell r="J928">
            <v>25714830520.300003</v>
          </cell>
        </row>
        <row r="929">
          <cell r="J929">
            <v>8665358231.2999992</v>
          </cell>
        </row>
        <row r="931">
          <cell r="J931">
            <v>10006053158.5</v>
          </cell>
        </row>
        <row r="932">
          <cell r="J932">
            <v>26965068074.400002</v>
          </cell>
        </row>
        <row r="934">
          <cell r="K934">
            <v>31253622986</v>
          </cell>
        </row>
        <row r="936">
          <cell r="J936">
            <v>8033717397.1000004</v>
          </cell>
        </row>
        <row r="937">
          <cell r="J937">
            <v>51624090.5</v>
          </cell>
        </row>
        <row r="951">
          <cell r="J951">
            <v>3033239424.2000003</v>
          </cell>
        </row>
        <row r="952">
          <cell r="J952">
            <v>85623118</v>
          </cell>
        </row>
        <row r="954">
          <cell r="J954">
            <v>2183799800.4000001</v>
          </cell>
        </row>
        <row r="955">
          <cell r="J955">
            <v>3923020951.1000004</v>
          </cell>
        </row>
        <row r="957">
          <cell r="K957">
            <v>4202396830</v>
          </cell>
        </row>
        <row r="959">
          <cell r="J959">
            <v>731378920.29999995</v>
          </cell>
        </row>
        <row r="960">
          <cell r="J960">
            <v>32790066.199999999</v>
          </cell>
        </row>
        <row r="974">
          <cell r="J974">
            <v>3531349829.5</v>
          </cell>
        </row>
        <row r="975">
          <cell r="J975">
            <v>1437784459.5</v>
          </cell>
        </row>
        <row r="977">
          <cell r="J977">
            <v>1543564146</v>
          </cell>
        </row>
        <row r="978">
          <cell r="J978">
            <v>3600984043.5</v>
          </cell>
        </row>
        <row r="980">
          <cell r="K980">
            <v>4187130740</v>
          </cell>
        </row>
        <row r="982">
          <cell r="J982">
            <v>533360511.5</v>
          </cell>
        </row>
        <row r="983">
          <cell r="J983">
            <v>23062469</v>
          </cell>
        </row>
        <row r="997">
          <cell r="J997">
            <v>2304658809.9000001</v>
          </cell>
        </row>
        <row r="998">
          <cell r="J998">
            <v>108855590</v>
          </cell>
        </row>
        <row r="1000">
          <cell r="J1000">
            <v>1388548434.2</v>
          </cell>
        </row>
        <row r="1001">
          <cell r="J1001">
            <v>2433769300.8000002</v>
          </cell>
        </row>
        <row r="1003">
          <cell r="K1003">
            <v>4913456983</v>
          </cell>
        </row>
        <row r="1005">
          <cell r="J1005">
            <v>851259332.60000002</v>
          </cell>
        </row>
        <row r="1006">
          <cell r="J1006">
            <v>16290</v>
          </cell>
        </row>
        <row r="1020">
          <cell r="J1020">
            <v>13320985771.099998</v>
          </cell>
        </row>
        <row r="1021">
          <cell r="J1021">
            <v>897332213.69999993</v>
          </cell>
        </row>
        <row r="1023">
          <cell r="J1023">
            <v>4222470818.8999996</v>
          </cell>
        </row>
        <row r="1024">
          <cell r="J1024">
            <v>14093411860.799999</v>
          </cell>
        </row>
        <row r="1026">
          <cell r="K1026">
            <v>25988038002</v>
          </cell>
        </row>
        <row r="1028">
          <cell r="J1028">
            <v>613756429.79999995</v>
          </cell>
        </row>
        <row r="1029">
          <cell r="J1029">
            <v>0</v>
          </cell>
        </row>
      </sheetData>
      <sheetData sheetId="5" refreshError="1"/>
      <sheetData sheetId="6">
        <row r="11">
          <cell r="A11" t="str">
            <v xml:space="preserve">CONSORCIO PALATIUM CS. </v>
          </cell>
        </row>
        <row r="20">
          <cell r="A20" t="str">
            <v>CONSORCIO PMB</v>
          </cell>
        </row>
        <row r="21">
          <cell r="A21" t="str">
            <v>Consorcio AE-2</v>
          </cell>
        </row>
        <row r="47">
          <cell r="A47" t="str">
            <v>CONSORCIO PALACIO MAGANGUE</v>
          </cell>
        </row>
        <row r="48">
          <cell r="A48" t="str">
            <v>CONSORCIO CONSTRU JUSTICIA IE</v>
          </cell>
        </row>
        <row r="49">
          <cell r="A49" t="str">
            <v>CONSORCIO JUDICATURA BOLIVAR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TB36"/>
  <sheetViews>
    <sheetView topLeftCell="AI1" zoomScale="55" zoomScaleNormal="55" workbookViewId="0">
      <selection activeCell="AY17" sqref="AY17:BA17"/>
    </sheetView>
  </sheetViews>
  <sheetFormatPr baseColWidth="10" defaultRowHeight="15"/>
  <cols>
    <col min="56" max="56" width="22.5703125" customWidth="1"/>
    <col min="59" max="59" width="24.42578125" customWidth="1"/>
    <col min="61" max="61" width="26.5703125" customWidth="1"/>
    <col min="67" max="67" width="14.5703125" customWidth="1"/>
    <col min="70" max="70" width="27.42578125" customWidth="1"/>
    <col min="97" max="97" width="11.5703125" bestFit="1" customWidth="1"/>
    <col min="104" max="104" width="14.42578125" bestFit="1" customWidth="1"/>
    <col min="108" max="108" width="38" customWidth="1"/>
  </cols>
  <sheetData>
    <row r="1" spans="1:112" s="107" customFormat="1" ht="15.75">
      <c r="A1" s="349"/>
      <c r="B1" s="349"/>
      <c r="C1" s="349"/>
      <c r="D1" s="349"/>
      <c r="E1" s="349"/>
      <c r="F1" s="349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R1" s="108"/>
      <c r="CS1" s="108"/>
      <c r="CT1" s="108"/>
      <c r="CU1" s="105"/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G1" s="106"/>
      <c r="DH1" s="106"/>
    </row>
    <row r="2" spans="1:112" s="107" customFormat="1" ht="15.75">
      <c r="A2" s="349"/>
      <c r="B2" s="349"/>
      <c r="C2" s="349"/>
      <c r="D2" s="349"/>
      <c r="E2" s="349"/>
      <c r="F2" s="349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R2" s="108"/>
      <c r="CS2" s="108"/>
      <c r="CT2" s="108"/>
      <c r="CU2" s="105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</row>
    <row r="3" spans="1:112" s="107" customFormat="1" ht="15.75">
      <c r="A3" s="350" t="s">
        <v>277</v>
      </c>
      <c r="B3" s="350"/>
      <c r="C3" s="350"/>
      <c r="D3" s="350"/>
      <c r="E3" s="350"/>
      <c r="F3" s="350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R3" s="108"/>
      <c r="CS3" s="108"/>
      <c r="CT3" s="108"/>
      <c r="CU3" s="105"/>
      <c r="CV3" s="106"/>
      <c r="CW3" s="106"/>
      <c r="CX3" s="106"/>
      <c r="CY3" s="106"/>
      <c r="CZ3" s="106"/>
      <c r="DA3" s="106"/>
      <c r="DB3" s="106"/>
      <c r="DC3" s="106"/>
      <c r="DD3" s="106"/>
      <c r="DE3" s="106"/>
      <c r="DF3" s="106"/>
      <c r="DG3" s="106"/>
      <c r="DH3" s="106"/>
    </row>
    <row r="4" spans="1:112" s="107" customFormat="1" ht="15.75">
      <c r="A4" s="350" t="s">
        <v>0</v>
      </c>
      <c r="B4" s="350"/>
      <c r="C4" s="350"/>
      <c r="D4" s="350"/>
      <c r="E4" s="350"/>
      <c r="F4" s="350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106"/>
      <c r="CE4" s="106"/>
      <c r="CR4" s="108"/>
      <c r="CS4" s="108"/>
      <c r="CT4" s="108"/>
      <c r="CU4" s="105"/>
      <c r="CV4" s="106"/>
      <c r="CW4" s="106"/>
      <c r="CX4" s="106"/>
      <c r="CY4" s="106"/>
      <c r="CZ4" s="106"/>
      <c r="DA4" s="106"/>
      <c r="DB4" s="106"/>
      <c r="DC4" s="106"/>
      <c r="DD4" s="106"/>
      <c r="DE4" s="106"/>
      <c r="DF4" s="106"/>
      <c r="DG4" s="106"/>
      <c r="DH4" s="106"/>
    </row>
    <row r="5" spans="1:112" s="107" customFormat="1" ht="15.75">
      <c r="A5" s="350" t="s">
        <v>278</v>
      </c>
      <c r="B5" s="350"/>
      <c r="C5" s="350"/>
      <c r="D5" s="350"/>
      <c r="E5" s="350"/>
      <c r="F5" s="350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R5" s="108"/>
      <c r="CS5" s="108"/>
      <c r="CT5" s="108"/>
      <c r="CU5" s="105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</row>
    <row r="6" spans="1:112" s="107" customFormat="1" ht="15.75">
      <c r="A6" s="350" t="s">
        <v>250</v>
      </c>
      <c r="B6" s="350"/>
      <c r="C6" s="350"/>
      <c r="D6" s="350"/>
      <c r="E6" s="350"/>
      <c r="F6" s="350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R6" s="108"/>
      <c r="CS6" s="108"/>
      <c r="CT6" s="108"/>
      <c r="CU6" s="105"/>
      <c r="CV6" s="106"/>
      <c r="CW6" s="106"/>
      <c r="CX6" s="106"/>
      <c r="CY6" s="106"/>
      <c r="CZ6" s="106"/>
      <c r="DA6" s="106"/>
      <c r="DB6" s="106"/>
      <c r="DC6" s="106"/>
      <c r="DD6" s="106"/>
      <c r="DE6" s="106"/>
      <c r="DF6" s="106"/>
      <c r="DG6" s="106"/>
      <c r="DH6" s="106"/>
    </row>
    <row r="7" spans="1:112" s="107" customFormat="1" ht="15.75">
      <c r="A7" s="350" t="s">
        <v>2</v>
      </c>
      <c r="B7" s="350"/>
      <c r="C7" s="350"/>
      <c r="D7" s="350"/>
      <c r="E7" s="350"/>
      <c r="F7" s="350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R7" s="108"/>
      <c r="CS7" s="108"/>
      <c r="CT7" s="108"/>
      <c r="CU7" s="105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</row>
    <row r="8" spans="1:112" s="107" customFormat="1" ht="15.75">
      <c r="A8" s="111"/>
      <c r="B8" s="112"/>
      <c r="C8" s="112"/>
      <c r="D8" s="112"/>
      <c r="E8" s="105"/>
      <c r="F8" s="113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6"/>
      <c r="AQ8" s="106"/>
      <c r="AR8" s="106"/>
      <c r="AS8" s="106"/>
      <c r="AT8" s="106"/>
      <c r="AU8" s="106"/>
      <c r="AV8" s="106"/>
      <c r="AW8" s="106"/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R8" s="108"/>
      <c r="CS8" s="108"/>
      <c r="CT8" s="108"/>
      <c r="CU8" s="105"/>
      <c r="CV8" s="106"/>
      <c r="CW8" s="106"/>
      <c r="CX8" s="106"/>
      <c r="CY8" s="106"/>
      <c r="CZ8" s="106"/>
      <c r="DA8" s="106"/>
      <c r="DB8" s="106"/>
      <c r="DC8" s="106"/>
      <c r="DD8" s="106"/>
      <c r="DE8" s="106"/>
      <c r="DF8" s="106"/>
      <c r="DG8" s="106"/>
      <c r="DH8" s="106"/>
    </row>
    <row r="9" spans="1:112" s="107" customFormat="1" ht="15.75">
      <c r="A9" s="111"/>
      <c r="B9" s="112"/>
      <c r="C9" s="112"/>
      <c r="D9" s="112"/>
      <c r="E9" s="105"/>
      <c r="F9" s="113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6"/>
      <c r="AQ9" s="106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R9" s="108"/>
      <c r="CS9" s="108"/>
      <c r="CT9" s="108"/>
      <c r="CU9" s="105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</row>
    <row r="10" spans="1:112" s="107" customFormat="1" ht="15.75">
      <c r="A10" s="111"/>
      <c r="B10" s="112"/>
      <c r="C10" s="112"/>
      <c r="D10" s="112"/>
      <c r="E10" s="105"/>
      <c r="F10" s="113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R10" s="108"/>
      <c r="CS10" s="108"/>
      <c r="CT10" s="108"/>
      <c r="CU10" s="105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</row>
    <row r="11" spans="1:112" s="107" customFormat="1" ht="15.75">
      <c r="A11" s="114"/>
      <c r="B11" s="114"/>
      <c r="C11" s="114"/>
      <c r="D11" s="114"/>
      <c r="E11" s="114"/>
      <c r="F11" s="114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6"/>
      <c r="BG11" s="106"/>
      <c r="BH11" s="106"/>
      <c r="BI11" s="106"/>
      <c r="BJ11" s="106"/>
      <c r="BK11" s="106"/>
      <c r="BL11" s="106"/>
      <c r="BM11" s="106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06"/>
      <c r="CR11" s="108"/>
      <c r="CS11" s="108"/>
      <c r="CT11" s="108"/>
      <c r="CU11" s="105"/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</row>
    <row r="12" spans="1:112" s="351" customFormat="1" ht="15.75">
      <c r="A12" s="351" t="s">
        <v>279</v>
      </c>
    </row>
    <row r="13" spans="1:112" s="107" customFormat="1" ht="15.75">
      <c r="A13" s="351" t="s">
        <v>280</v>
      </c>
      <c r="B13" s="351"/>
      <c r="C13" s="351"/>
      <c r="D13" s="351"/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1"/>
      <c r="P13" s="351"/>
      <c r="Q13" s="351"/>
      <c r="R13" s="351"/>
      <c r="S13" s="351"/>
      <c r="T13" s="351"/>
      <c r="U13" s="351"/>
      <c r="V13" s="351"/>
      <c r="W13" s="351"/>
      <c r="X13" s="351"/>
      <c r="Y13" s="351"/>
      <c r="Z13" s="351"/>
      <c r="AA13" s="351"/>
      <c r="AB13" s="351"/>
      <c r="AC13" s="351"/>
      <c r="AD13" s="351"/>
      <c r="AE13" s="351"/>
      <c r="AF13" s="351"/>
      <c r="AG13" s="351"/>
      <c r="AH13" s="351"/>
      <c r="AI13" s="351"/>
      <c r="AJ13" s="351"/>
      <c r="AK13" s="351"/>
      <c r="AL13" s="351"/>
      <c r="AM13" s="351"/>
      <c r="AN13" s="351"/>
      <c r="AO13" s="351"/>
      <c r="AP13" s="351"/>
      <c r="AQ13" s="351"/>
      <c r="AR13" s="351"/>
      <c r="AS13" s="351"/>
      <c r="AT13" s="351"/>
      <c r="AU13" s="351"/>
      <c r="AV13" s="351"/>
      <c r="AW13" s="351"/>
      <c r="AX13" s="351"/>
      <c r="AY13" s="351"/>
      <c r="AZ13" s="351"/>
      <c r="BA13" s="351"/>
      <c r="BB13" s="351"/>
      <c r="BC13" s="351"/>
      <c r="BD13" s="351"/>
      <c r="BE13" s="351"/>
      <c r="BF13" s="351"/>
      <c r="BG13" s="351"/>
      <c r="BH13" s="351"/>
      <c r="BI13" s="351"/>
      <c r="BJ13" s="351"/>
      <c r="BK13" s="351"/>
      <c r="BL13" s="351"/>
      <c r="BM13" s="351"/>
      <c r="BN13" s="351"/>
      <c r="BO13" s="351"/>
      <c r="BP13" s="351"/>
      <c r="BQ13" s="351"/>
      <c r="BR13" s="351"/>
      <c r="BS13" s="351"/>
      <c r="BT13" s="351"/>
      <c r="BU13" s="351"/>
      <c r="BV13" s="351"/>
      <c r="BW13" s="351"/>
      <c r="BX13" s="351"/>
      <c r="BY13" s="351"/>
      <c r="BZ13" s="351"/>
      <c r="CA13" s="351"/>
      <c r="CB13" s="351"/>
      <c r="CC13" s="351"/>
      <c r="CD13" s="351"/>
      <c r="CE13" s="351"/>
      <c r="CR13" s="108"/>
      <c r="CS13" s="108"/>
      <c r="CT13" s="108"/>
    </row>
    <row r="14" spans="1:112" s="107" customFormat="1" ht="78.75">
      <c r="A14" s="114" t="s">
        <v>109</v>
      </c>
      <c r="B14" s="114" t="s">
        <v>281</v>
      </c>
      <c r="C14" s="345" t="s">
        <v>282</v>
      </c>
      <c r="D14" s="345"/>
      <c r="E14" s="345"/>
      <c r="F14" s="345" t="s">
        <v>283</v>
      </c>
      <c r="G14" s="345"/>
      <c r="H14" s="345" t="s">
        <v>284</v>
      </c>
      <c r="I14" s="345"/>
      <c r="J14" s="345" t="s">
        <v>285</v>
      </c>
      <c r="K14" s="345"/>
      <c r="L14" s="345"/>
      <c r="M14" s="345" t="s">
        <v>286</v>
      </c>
      <c r="N14" s="345"/>
      <c r="O14" s="346" t="s">
        <v>287</v>
      </c>
      <c r="P14" s="346"/>
      <c r="Q14" s="346"/>
      <c r="R14" s="345" t="s">
        <v>288</v>
      </c>
      <c r="S14" s="345"/>
      <c r="T14" s="345" t="s">
        <v>289</v>
      </c>
      <c r="U14" s="345"/>
      <c r="V14" s="345" t="s">
        <v>290</v>
      </c>
      <c r="W14" s="345"/>
      <c r="X14" s="345" t="s">
        <v>291</v>
      </c>
      <c r="Y14" s="345"/>
      <c r="Z14" s="345"/>
      <c r="AA14" s="345" t="s">
        <v>292</v>
      </c>
      <c r="AB14" s="345"/>
      <c r="AC14" s="347" t="s">
        <v>293</v>
      </c>
      <c r="AD14" s="347"/>
      <c r="AE14" s="347"/>
      <c r="AF14" s="347"/>
      <c r="AG14" s="345" t="s">
        <v>294</v>
      </c>
      <c r="AH14" s="345"/>
      <c r="AI14" s="345" t="s">
        <v>295</v>
      </c>
      <c r="AJ14" s="345"/>
      <c r="AK14" s="345"/>
      <c r="AL14" s="345" t="s">
        <v>578</v>
      </c>
      <c r="AM14" s="345"/>
      <c r="AN14" s="345" t="s">
        <v>296</v>
      </c>
      <c r="AO14" s="345"/>
      <c r="AP14" s="345" t="s">
        <v>297</v>
      </c>
      <c r="AQ14" s="345"/>
      <c r="AR14" s="345" t="s">
        <v>298</v>
      </c>
      <c r="AS14" s="345"/>
      <c r="AT14" s="347" t="s">
        <v>299</v>
      </c>
      <c r="AU14" s="347"/>
      <c r="AV14" s="347"/>
      <c r="AW14" s="345" t="s">
        <v>300</v>
      </c>
      <c r="AX14" s="345"/>
      <c r="AY14" s="345" t="s">
        <v>301</v>
      </c>
      <c r="AZ14" s="345"/>
      <c r="BA14" s="345"/>
      <c r="BB14" s="345" t="s">
        <v>302</v>
      </c>
      <c r="BC14" s="345"/>
      <c r="BD14" s="346" t="s">
        <v>303</v>
      </c>
      <c r="BE14" s="346"/>
      <c r="BF14" s="346"/>
      <c r="BG14" s="345" t="s">
        <v>304</v>
      </c>
      <c r="BH14" s="345"/>
      <c r="BI14" s="345" t="s">
        <v>305</v>
      </c>
      <c r="BJ14" s="345"/>
      <c r="BK14" s="346" t="s">
        <v>306</v>
      </c>
      <c r="BL14" s="346"/>
      <c r="BM14" s="347" t="s">
        <v>307</v>
      </c>
      <c r="BN14" s="347"/>
      <c r="BO14" s="189" t="s">
        <v>382</v>
      </c>
      <c r="BP14" s="345" t="s">
        <v>308</v>
      </c>
      <c r="BQ14" s="345"/>
      <c r="BR14" s="347" t="s">
        <v>309</v>
      </c>
      <c r="BS14" s="347"/>
      <c r="BT14" s="347"/>
      <c r="BU14" s="345" t="s">
        <v>310</v>
      </c>
      <c r="BV14" s="345"/>
      <c r="BW14" s="345"/>
      <c r="BX14" s="345" t="s">
        <v>311</v>
      </c>
      <c r="BY14" s="345"/>
      <c r="BZ14" s="347" t="s">
        <v>312</v>
      </c>
      <c r="CA14" s="347"/>
      <c r="CB14" s="347" t="s">
        <v>313</v>
      </c>
      <c r="CC14" s="347"/>
      <c r="CD14" s="347" t="s">
        <v>314</v>
      </c>
      <c r="CE14" s="347"/>
      <c r="CF14" s="347" t="s">
        <v>315</v>
      </c>
      <c r="CG14" s="347"/>
      <c r="CH14" s="347"/>
      <c r="CI14" s="346" t="s">
        <v>316</v>
      </c>
      <c r="CJ14" s="346"/>
      <c r="CK14" s="346" t="s">
        <v>317</v>
      </c>
      <c r="CL14" s="346"/>
      <c r="CM14" s="346" t="s">
        <v>318</v>
      </c>
      <c r="CN14" s="346"/>
      <c r="CO14" s="346"/>
      <c r="CP14" s="346" t="s">
        <v>319</v>
      </c>
      <c r="CQ14" s="346"/>
      <c r="CR14" s="188" t="s">
        <v>398</v>
      </c>
      <c r="CS14" s="346" t="s">
        <v>320</v>
      </c>
      <c r="CT14" s="346"/>
      <c r="CU14" s="345" t="s">
        <v>321</v>
      </c>
      <c r="CV14" s="345"/>
      <c r="CW14" s="345" t="s">
        <v>322</v>
      </c>
      <c r="CX14" s="345"/>
      <c r="CY14" s="345"/>
      <c r="CZ14" s="116" t="s">
        <v>323</v>
      </c>
      <c r="DA14" s="345" t="s">
        <v>324</v>
      </c>
      <c r="DB14" s="345"/>
      <c r="DC14" s="345" t="s">
        <v>325</v>
      </c>
      <c r="DD14" s="345"/>
      <c r="DE14" s="345" t="s">
        <v>326</v>
      </c>
      <c r="DF14" s="345"/>
      <c r="DG14" s="347" t="s">
        <v>327</v>
      </c>
      <c r="DH14" s="347"/>
    </row>
    <row r="15" spans="1:112" s="107" customFormat="1" ht="157.5">
      <c r="A15" s="114"/>
      <c r="B15" s="114"/>
      <c r="C15" s="117" t="s">
        <v>328</v>
      </c>
      <c r="D15" s="117" t="s">
        <v>329</v>
      </c>
      <c r="E15" s="117" t="s">
        <v>330</v>
      </c>
      <c r="F15" s="117" t="s">
        <v>331</v>
      </c>
      <c r="G15" s="117" t="s">
        <v>332</v>
      </c>
      <c r="H15" s="117" t="s">
        <v>275</v>
      </c>
      <c r="I15" s="117" t="s">
        <v>333</v>
      </c>
      <c r="J15" s="117" t="s">
        <v>334</v>
      </c>
      <c r="K15" s="348" t="s">
        <v>335</v>
      </c>
      <c r="L15" s="348"/>
      <c r="M15" s="117" t="s">
        <v>336</v>
      </c>
      <c r="N15" s="117" t="s">
        <v>337</v>
      </c>
      <c r="O15" s="117" t="s">
        <v>338</v>
      </c>
      <c r="P15" s="117" t="s">
        <v>339</v>
      </c>
      <c r="Q15" s="118" t="s">
        <v>340</v>
      </c>
      <c r="R15" s="118" t="s">
        <v>341</v>
      </c>
      <c r="S15" s="118" t="s">
        <v>342</v>
      </c>
      <c r="T15" s="118" t="s">
        <v>343</v>
      </c>
      <c r="U15" s="118" t="s">
        <v>344</v>
      </c>
      <c r="V15" s="117" t="s">
        <v>345</v>
      </c>
      <c r="W15" s="117" t="s">
        <v>346</v>
      </c>
      <c r="X15" s="117" t="s">
        <v>347</v>
      </c>
      <c r="Y15" s="348" t="s">
        <v>348</v>
      </c>
      <c r="Z15" s="348"/>
      <c r="AA15" s="117" t="s">
        <v>349</v>
      </c>
      <c r="AB15" s="117" t="s">
        <v>350</v>
      </c>
      <c r="AC15" s="117" t="s">
        <v>351</v>
      </c>
      <c r="AD15" s="117" t="s">
        <v>352</v>
      </c>
      <c r="AE15" s="117" t="s">
        <v>353</v>
      </c>
      <c r="AF15" s="117" t="s">
        <v>354</v>
      </c>
      <c r="AG15" s="117" t="s">
        <v>355</v>
      </c>
      <c r="AH15" s="117" t="s">
        <v>356</v>
      </c>
      <c r="AI15" s="117" t="s">
        <v>357</v>
      </c>
      <c r="AJ15" s="117" t="s">
        <v>358</v>
      </c>
      <c r="AK15" s="117" t="s">
        <v>359</v>
      </c>
      <c r="AL15" s="117" t="s">
        <v>360</v>
      </c>
      <c r="AM15" s="117" t="s">
        <v>274</v>
      </c>
      <c r="AN15" s="117" t="s">
        <v>361</v>
      </c>
      <c r="AO15" s="117" t="s">
        <v>362</v>
      </c>
      <c r="AP15" s="117" t="s">
        <v>363</v>
      </c>
      <c r="AQ15" s="117" t="s">
        <v>273</v>
      </c>
      <c r="AR15" s="117" t="s">
        <v>364</v>
      </c>
      <c r="AS15" s="117" t="s">
        <v>365</v>
      </c>
      <c r="AT15" s="117" t="s">
        <v>366</v>
      </c>
      <c r="AU15" s="117" t="s">
        <v>367</v>
      </c>
      <c r="AV15" s="117" t="s">
        <v>368</v>
      </c>
      <c r="AW15" s="117" t="s">
        <v>369</v>
      </c>
      <c r="AX15" s="118" t="s">
        <v>370</v>
      </c>
      <c r="AY15" s="118" t="s">
        <v>371</v>
      </c>
      <c r="AZ15" s="117" t="s">
        <v>372</v>
      </c>
      <c r="BA15" s="119" t="s">
        <v>373</v>
      </c>
      <c r="BB15" s="117" t="s">
        <v>272</v>
      </c>
      <c r="BC15" s="117" t="s">
        <v>374</v>
      </c>
      <c r="BD15" s="117" t="s">
        <v>270</v>
      </c>
      <c r="BE15" s="117" t="s">
        <v>375</v>
      </c>
      <c r="BF15" s="117" t="s">
        <v>271</v>
      </c>
      <c r="BG15" s="117" t="s">
        <v>269</v>
      </c>
      <c r="BH15" s="117" t="s">
        <v>376</v>
      </c>
      <c r="BI15" s="117" t="s">
        <v>377</v>
      </c>
      <c r="BJ15" s="117" t="s">
        <v>378</v>
      </c>
      <c r="BK15" s="117" t="s">
        <v>379</v>
      </c>
      <c r="BL15" s="117" t="s">
        <v>380</v>
      </c>
      <c r="BM15" s="117" t="s">
        <v>268</v>
      </c>
      <c r="BN15" s="117" t="s">
        <v>381</v>
      </c>
      <c r="BO15" s="120" t="s">
        <v>664</v>
      </c>
      <c r="BP15" s="117" t="s">
        <v>383</v>
      </c>
      <c r="BQ15" s="117" t="s">
        <v>384</v>
      </c>
      <c r="BR15" s="121" t="s">
        <v>385</v>
      </c>
      <c r="BS15" s="117" t="s">
        <v>267</v>
      </c>
      <c r="BT15" s="117" t="s">
        <v>386</v>
      </c>
      <c r="BU15" s="118" t="s">
        <v>387</v>
      </c>
      <c r="BV15" s="118" t="s">
        <v>388</v>
      </c>
      <c r="BW15" s="118" t="s">
        <v>389</v>
      </c>
      <c r="BX15" s="118" t="s">
        <v>266</v>
      </c>
      <c r="BY15" s="118" t="s">
        <v>390</v>
      </c>
      <c r="BZ15" s="118" t="s">
        <v>265</v>
      </c>
      <c r="CA15" s="118" t="s">
        <v>391</v>
      </c>
      <c r="CB15" s="118" t="s">
        <v>392</v>
      </c>
      <c r="CC15" s="117" t="s">
        <v>264</v>
      </c>
      <c r="CD15" s="117" t="s">
        <v>262</v>
      </c>
      <c r="CE15" s="118" t="s">
        <v>263</v>
      </c>
      <c r="CF15" s="121" t="s">
        <v>261</v>
      </c>
      <c r="CG15" s="121" t="s">
        <v>393</v>
      </c>
      <c r="CH15" s="121" t="s">
        <v>394</v>
      </c>
      <c r="CI15" s="121" t="s">
        <v>591</v>
      </c>
      <c r="CJ15" s="121" t="s">
        <v>592</v>
      </c>
      <c r="CK15" s="121" t="s">
        <v>259</v>
      </c>
      <c r="CL15" s="122" t="s">
        <v>260</v>
      </c>
      <c r="CM15" s="121" t="s">
        <v>395</v>
      </c>
      <c r="CN15" s="121" t="s">
        <v>258</v>
      </c>
      <c r="CO15" s="121" t="s">
        <v>396</v>
      </c>
      <c r="CP15" s="121" t="s">
        <v>397</v>
      </c>
      <c r="CQ15" s="121" t="s">
        <v>257</v>
      </c>
      <c r="CR15" s="123" t="s">
        <v>663</v>
      </c>
      <c r="CS15" s="121" t="s">
        <v>256</v>
      </c>
      <c r="CT15" s="121" t="s">
        <v>399</v>
      </c>
      <c r="CU15" s="117" t="s">
        <v>255</v>
      </c>
      <c r="CV15" s="117" t="s">
        <v>400</v>
      </c>
      <c r="CW15" s="348" t="s">
        <v>401</v>
      </c>
      <c r="CX15" s="348"/>
      <c r="CY15" s="348"/>
      <c r="CZ15" s="117" t="s">
        <v>402</v>
      </c>
      <c r="DA15" s="117" t="s">
        <v>403</v>
      </c>
      <c r="DB15" s="117" t="s">
        <v>254</v>
      </c>
      <c r="DC15" s="118" t="s">
        <v>404</v>
      </c>
      <c r="DD15" s="118" t="s">
        <v>405</v>
      </c>
      <c r="DE15" s="117" t="s">
        <v>253</v>
      </c>
      <c r="DF15" s="119" t="s">
        <v>252</v>
      </c>
      <c r="DG15" s="117" t="s">
        <v>406</v>
      </c>
      <c r="DH15" s="117" t="s">
        <v>251</v>
      </c>
    </row>
    <row r="16" spans="1:112" s="107" customFormat="1" ht="220.5">
      <c r="A16" s="124">
        <v>1</v>
      </c>
      <c r="B16" s="124" t="s">
        <v>407</v>
      </c>
      <c r="C16" s="124" t="s">
        <v>408</v>
      </c>
      <c r="D16" s="125" t="s">
        <v>409</v>
      </c>
      <c r="E16" s="126" t="s">
        <v>410</v>
      </c>
      <c r="F16" s="127" t="s">
        <v>411</v>
      </c>
      <c r="G16" s="124" t="s">
        <v>412</v>
      </c>
      <c r="H16" s="124" t="s">
        <v>413</v>
      </c>
      <c r="I16" s="124" t="s">
        <v>414</v>
      </c>
      <c r="J16" s="124" t="s">
        <v>415</v>
      </c>
      <c r="K16" s="341" t="s">
        <v>416</v>
      </c>
      <c r="L16" s="341"/>
      <c r="M16" s="124" t="s">
        <v>417</v>
      </c>
      <c r="N16" s="124" t="s">
        <v>418</v>
      </c>
      <c r="O16" s="124" t="s">
        <v>419</v>
      </c>
      <c r="P16" s="126" t="s">
        <v>420</v>
      </c>
      <c r="Q16" s="124" t="s">
        <v>421</v>
      </c>
      <c r="R16" s="124" t="s">
        <v>422</v>
      </c>
      <c r="S16" s="128" t="s">
        <v>423</v>
      </c>
      <c r="T16" s="128" t="s">
        <v>424</v>
      </c>
      <c r="U16" s="124" t="s">
        <v>425</v>
      </c>
      <c r="V16" s="124" t="s">
        <v>426</v>
      </c>
      <c r="W16" s="124" t="s">
        <v>427</v>
      </c>
      <c r="X16" s="124" t="s">
        <v>428</v>
      </c>
      <c r="Y16" s="341" t="s">
        <v>429</v>
      </c>
      <c r="Z16" s="341"/>
      <c r="AA16" s="124" t="s">
        <v>430</v>
      </c>
      <c r="AB16" s="124" t="s">
        <v>431</v>
      </c>
      <c r="AC16" s="124" t="s">
        <v>432</v>
      </c>
      <c r="AD16" s="124" t="s">
        <v>433</v>
      </c>
      <c r="AE16" s="124" t="s">
        <v>434</v>
      </c>
      <c r="AF16" s="124" t="s">
        <v>435</v>
      </c>
      <c r="AG16" s="124" t="s">
        <v>436</v>
      </c>
      <c r="AH16" s="124" t="s">
        <v>437</v>
      </c>
      <c r="AI16" s="124" t="s">
        <v>438</v>
      </c>
      <c r="AJ16" s="124" t="s">
        <v>439</v>
      </c>
      <c r="AK16" s="124" t="s">
        <v>440</v>
      </c>
      <c r="AL16" s="124" t="s">
        <v>441</v>
      </c>
      <c r="AM16" s="124" t="s">
        <v>442</v>
      </c>
      <c r="AN16" s="126" t="s">
        <v>443</v>
      </c>
      <c r="AO16" s="126" t="s">
        <v>444</v>
      </c>
      <c r="AP16" s="128" t="s">
        <v>445</v>
      </c>
      <c r="AQ16" s="128" t="s">
        <v>446</v>
      </c>
      <c r="AR16" s="128" t="s">
        <v>447</v>
      </c>
      <c r="AS16" s="128" t="s">
        <v>448</v>
      </c>
      <c r="AT16" s="128" t="s">
        <v>449</v>
      </c>
      <c r="AU16" s="128" t="s">
        <v>450</v>
      </c>
      <c r="AV16" s="128" t="s">
        <v>451</v>
      </c>
      <c r="AW16" s="128" t="s">
        <v>452</v>
      </c>
      <c r="AX16" s="128" t="s">
        <v>453</v>
      </c>
      <c r="AY16" s="128" t="s">
        <v>454</v>
      </c>
      <c r="AZ16" s="128" t="s">
        <v>455</v>
      </c>
      <c r="BA16" s="128" t="s">
        <v>456</v>
      </c>
      <c r="BB16" s="128" t="s">
        <v>457</v>
      </c>
      <c r="BC16" s="128" t="s">
        <v>458</v>
      </c>
      <c r="BD16" s="128" t="s">
        <v>459</v>
      </c>
      <c r="BE16" s="128" t="s">
        <v>460</v>
      </c>
      <c r="BF16" s="128" t="s">
        <v>461</v>
      </c>
      <c r="BG16" s="128" t="s">
        <v>462</v>
      </c>
      <c r="BH16" s="128" t="s">
        <v>463</v>
      </c>
      <c r="BI16" s="128" t="s">
        <v>464</v>
      </c>
      <c r="BJ16" s="128" t="s">
        <v>465</v>
      </c>
      <c r="BK16" s="128" t="s">
        <v>466</v>
      </c>
      <c r="BL16" s="129" t="s">
        <v>593</v>
      </c>
      <c r="BM16" s="128" t="s">
        <v>467</v>
      </c>
      <c r="BN16" s="128" t="s">
        <v>468</v>
      </c>
      <c r="BO16" s="128" t="s">
        <v>469</v>
      </c>
      <c r="BP16" s="128" t="s">
        <v>470</v>
      </c>
      <c r="BQ16" s="128" t="s">
        <v>471</v>
      </c>
      <c r="BR16" s="128" t="s">
        <v>472</v>
      </c>
      <c r="BS16" s="128" t="s">
        <v>473</v>
      </c>
      <c r="BT16" s="128" t="s">
        <v>474</v>
      </c>
      <c r="BU16" s="128" t="s">
        <v>475</v>
      </c>
      <c r="BV16" s="128" t="s">
        <v>476</v>
      </c>
      <c r="BW16" s="128" t="s">
        <v>477</v>
      </c>
      <c r="BX16" s="128" t="s">
        <v>478</v>
      </c>
      <c r="BY16" s="128" t="s">
        <v>479</v>
      </c>
      <c r="BZ16" s="128" t="s">
        <v>480</v>
      </c>
      <c r="CA16" s="128" t="s">
        <v>481</v>
      </c>
      <c r="CB16" s="128" t="s">
        <v>482</v>
      </c>
      <c r="CC16" s="124" t="s">
        <v>483</v>
      </c>
      <c r="CD16" s="124" t="s">
        <v>484</v>
      </c>
      <c r="CE16" s="124" t="s">
        <v>485</v>
      </c>
      <c r="CF16" s="129" t="s">
        <v>486</v>
      </c>
      <c r="CG16" s="129" t="s">
        <v>487</v>
      </c>
      <c r="CH16" s="129" t="s">
        <v>488</v>
      </c>
      <c r="CI16" s="142" t="s">
        <v>594</v>
      </c>
      <c r="CJ16" s="142" t="s">
        <v>595</v>
      </c>
      <c r="CK16" s="129" t="s">
        <v>489</v>
      </c>
      <c r="CL16" s="115" t="s">
        <v>490</v>
      </c>
      <c r="CM16" s="108" t="s">
        <v>491</v>
      </c>
      <c r="CN16" s="108" t="s">
        <v>492</v>
      </c>
      <c r="CO16" s="108" t="s">
        <v>596</v>
      </c>
      <c r="CP16" s="108" t="s">
        <v>493</v>
      </c>
      <c r="CQ16" s="108" t="s">
        <v>494</v>
      </c>
      <c r="CR16" s="108" t="s">
        <v>495</v>
      </c>
      <c r="CS16" s="108" t="s">
        <v>496</v>
      </c>
      <c r="CT16" s="108" t="s">
        <v>497</v>
      </c>
      <c r="CU16" s="126" t="s">
        <v>498</v>
      </c>
      <c r="CV16" s="126" t="s">
        <v>499</v>
      </c>
      <c r="CW16" s="336" t="s">
        <v>500</v>
      </c>
      <c r="CX16" s="336"/>
      <c r="CY16" s="336"/>
      <c r="CZ16" s="128" t="s">
        <v>501</v>
      </c>
      <c r="DA16" s="128" t="s">
        <v>502</v>
      </c>
      <c r="DB16" s="128" t="s">
        <v>503</v>
      </c>
      <c r="DC16" s="128" t="s">
        <v>504</v>
      </c>
      <c r="DD16" s="128" t="s">
        <v>505</v>
      </c>
      <c r="DE16" s="128" t="s">
        <v>506</v>
      </c>
      <c r="DF16" s="128" t="s">
        <v>507</v>
      </c>
      <c r="DG16" s="128" t="s">
        <v>508</v>
      </c>
      <c r="DH16" s="128" t="s">
        <v>509</v>
      </c>
    </row>
    <row r="17" spans="1:14718" s="107" customFormat="1" ht="220.5">
      <c r="A17" s="114">
        <v>2</v>
      </c>
      <c r="B17" s="114" t="s">
        <v>510</v>
      </c>
      <c r="C17" s="342" t="s">
        <v>511</v>
      </c>
      <c r="D17" s="342"/>
      <c r="E17" s="342"/>
      <c r="F17" s="342" t="s">
        <v>597</v>
      </c>
      <c r="G17" s="342"/>
      <c r="H17" s="342" t="s">
        <v>598</v>
      </c>
      <c r="I17" s="342"/>
      <c r="J17" s="341" t="s">
        <v>512</v>
      </c>
      <c r="K17" s="341"/>
      <c r="L17" s="341"/>
      <c r="M17" s="341" t="s">
        <v>513</v>
      </c>
      <c r="N17" s="341"/>
      <c r="O17" s="341" t="s">
        <v>514</v>
      </c>
      <c r="P17" s="341"/>
      <c r="Q17" s="341"/>
      <c r="R17" s="320" t="s">
        <v>515</v>
      </c>
      <c r="S17" s="320"/>
      <c r="T17" s="341" t="s">
        <v>516</v>
      </c>
      <c r="U17" s="341"/>
      <c r="V17" s="341" t="s">
        <v>517</v>
      </c>
      <c r="W17" s="341"/>
      <c r="X17" s="341" t="s">
        <v>518</v>
      </c>
      <c r="Y17" s="341"/>
      <c r="Z17" s="341"/>
      <c r="AA17" s="341" t="s">
        <v>519</v>
      </c>
      <c r="AB17" s="341"/>
      <c r="AC17" s="341" t="s">
        <v>520</v>
      </c>
      <c r="AD17" s="341"/>
      <c r="AE17" s="341"/>
      <c r="AF17" s="341"/>
      <c r="AG17" s="341" t="s">
        <v>521</v>
      </c>
      <c r="AH17" s="341"/>
      <c r="AI17" s="341" t="s">
        <v>522</v>
      </c>
      <c r="AJ17" s="341"/>
      <c r="AK17" s="341"/>
      <c r="AL17" s="341" t="s">
        <v>523</v>
      </c>
      <c r="AM17" s="341"/>
      <c r="AN17" s="341" t="s">
        <v>524</v>
      </c>
      <c r="AO17" s="341"/>
      <c r="AP17" s="320" t="s">
        <v>525</v>
      </c>
      <c r="AQ17" s="320"/>
      <c r="AR17" s="320" t="s">
        <v>599</v>
      </c>
      <c r="AS17" s="320"/>
      <c r="AT17" s="320" t="s">
        <v>526</v>
      </c>
      <c r="AU17" s="320"/>
      <c r="AV17" s="320"/>
      <c r="AW17" s="320" t="s">
        <v>527</v>
      </c>
      <c r="AX17" s="320"/>
      <c r="AY17" s="341" t="s">
        <v>528</v>
      </c>
      <c r="AZ17" s="341"/>
      <c r="BA17" s="341"/>
      <c r="BB17" s="341" t="s">
        <v>529</v>
      </c>
      <c r="BC17" s="341"/>
      <c r="BD17" s="336" t="s">
        <v>530</v>
      </c>
      <c r="BE17" s="336"/>
      <c r="BF17" s="336"/>
      <c r="BG17" s="341" t="s">
        <v>531</v>
      </c>
      <c r="BH17" s="341"/>
      <c r="BI17" s="341" t="s">
        <v>532</v>
      </c>
      <c r="BJ17" s="341"/>
      <c r="BK17" s="341" t="s">
        <v>533</v>
      </c>
      <c r="BL17" s="341"/>
      <c r="BM17" s="341" t="s">
        <v>534</v>
      </c>
      <c r="BN17" s="341"/>
      <c r="BO17" s="114" t="s">
        <v>535</v>
      </c>
      <c r="BP17" s="341" t="s">
        <v>536</v>
      </c>
      <c r="BQ17" s="341"/>
      <c r="BR17" s="341" t="s">
        <v>537</v>
      </c>
      <c r="BS17" s="341"/>
      <c r="BT17" s="341"/>
      <c r="BU17" s="336" t="s">
        <v>538</v>
      </c>
      <c r="BV17" s="336"/>
      <c r="BW17" s="336"/>
      <c r="BX17" s="340" t="s">
        <v>600</v>
      </c>
      <c r="BY17" s="340"/>
      <c r="BZ17" s="341" t="s">
        <v>539</v>
      </c>
      <c r="CA17" s="341"/>
      <c r="CB17" s="336" t="s">
        <v>540</v>
      </c>
      <c r="CC17" s="336"/>
      <c r="CD17" s="341" t="s">
        <v>541</v>
      </c>
      <c r="CE17" s="341"/>
      <c r="CF17" s="326" t="s">
        <v>542</v>
      </c>
      <c r="CG17" s="326"/>
      <c r="CH17" s="326"/>
      <c r="CI17" s="326" t="s">
        <v>601</v>
      </c>
      <c r="CJ17" s="326"/>
      <c r="CK17" s="326" t="s">
        <v>543</v>
      </c>
      <c r="CL17" s="326"/>
      <c r="CM17" s="326" t="s">
        <v>602</v>
      </c>
      <c r="CN17" s="326"/>
      <c r="CO17" s="326"/>
      <c r="CP17" s="326" t="s">
        <v>544</v>
      </c>
      <c r="CQ17" s="326"/>
      <c r="CR17" s="108" t="s">
        <v>545</v>
      </c>
      <c r="CS17" s="326" t="s">
        <v>546</v>
      </c>
      <c r="CT17" s="326"/>
      <c r="CU17" s="341" t="s">
        <v>547</v>
      </c>
      <c r="CV17" s="341"/>
      <c r="CW17" s="344" t="s">
        <v>603</v>
      </c>
      <c r="CX17" s="344"/>
      <c r="CY17" s="344"/>
      <c r="CZ17" s="130" t="s">
        <v>548</v>
      </c>
      <c r="DA17" s="320" t="s">
        <v>549</v>
      </c>
      <c r="DB17" s="320"/>
      <c r="DC17" s="341" t="s">
        <v>550</v>
      </c>
      <c r="DD17" s="341"/>
      <c r="DE17" s="341" t="s">
        <v>551</v>
      </c>
      <c r="DF17" s="341"/>
      <c r="DG17" s="340" t="s">
        <v>604</v>
      </c>
      <c r="DH17" s="340"/>
    </row>
    <row r="18" spans="1:14718" s="107" customFormat="1" ht="252">
      <c r="A18" s="114">
        <v>3</v>
      </c>
      <c r="B18" s="114" t="s">
        <v>552</v>
      </c>
      <c r="C18" s="131" t="s">
        <v>276</v>
      </c>
      <c r="D18" s="131" t="s">
        <v>276</v>
      </c>
      <c r="E18" s="114" t="s">
        <v>276</v>
      </c>
      <c r="F18" s="114" t="s">
        <v>276</v>
      </c>
      <c r="G18" s="114" t="s">
        <v>276</v>
      </c>
      <c r="H18" s="114" t="s">
        <v>276</v>
      </c>
      <c r="I18" s="114" t="s">
        <v>276</v>
      </c>
      <c r="J18" s="114" t="s">
        <v>276</v>
      </c>
      <c r="K18" s="341" t="s">
        <v>276</v>
      </c>
      <c r="L18" s="341"/>
      <c r="M18" s="114" t="s">
        <v>276</v>
      </c>
      <c r="N18" s="114" t="s">
        <v>276</v>
      </c>
      <c r="O18" s="114" t="s">
        <v>276</v>
      </c>
      <c r="P18" s="114" t="s">
        <v>276</v>
      </c>
      <c r="Q18" s="114" t="s">
        <v>276</v>
      </c>
      <c r="R18" s="130" t="s">
        <v>276</v>
      </c>
      <c r="S18" s="114" t="s">
        <v>276</v>
      </c>
      <c r="T18" s="114" t="s">
        <v>276</v>
      </c>
      <c r="U18" s="114" t="s">
        <v>276</v>
      </c>
      <c r="V18" s="114" t="s">
        <v>276</v>
      </c>
      <c r="W18" s="114" t="s">
        <v>276</v>
      </c>
      <c r="X18" s="114" t="s">
        <v>276</v>
      </c>
      <c r="Y18" s="341" t="s">
        <v>276</v>
      </c>
      <c r="Z18" s="341"/>
      <c r="AA18" s="114" t="s">
        <v>276</v>
      </c>
      <c r="AB18" s="114" t="s">
        <v>276</v>
      </c>
      <c r="AC18" s="114" t="s">
        <v>276</v>
      </c>
      <c r="AD18" s="114" t="s">
        <v>276</v>
      </c>
      <c r="AE18" s="114" t="s">
        <v>276</v>
      </c>
      <c r="AF18" s="114" t="s">
        <v>276</v>
      </c>
      <c r="AG18" s="114" t="s">
        <v>276</v>
      </c>
      <c r="AH18" s="114" t="s">
        <v>276</v>
      </c>
      <c r="AI18" s="114" t="s">
        <v>276</v>
      </c>
      <c r="AJ18" s="114" t="s">
        <v>276</v>
      </c>
      <c r="AK18" s="114" t="s">
        <v>276</v>
      </c>
      <c r="AL18" s="114" t="s">
        <v>276</v>
      </c>
      <c r="AM18" s="114" t="s">
        <v>276</v>
      </c>
      <c r="AN18" s="114" t="s">
        <v>276</v>
      </c>
      <c r="AO18" s="114" t="s">
        <v>276</v>
      </c>
      <c r="AP18" s="114" t="s">
        <v>276</v>
      </c>
      <c r="AQ18" s="114" t="s">
        <v>276</v>
      </c>
      <c r="AR18" s="114" t="s">
        <v>276</v>
      </c>
      <c r="AS18" s="132" t="s">
        <v>276</v>
      </c>
      <c r="AT18" s="130" t="s">
        <v>276</v>
      </c>
      <c r="AU18" s="130" t="s">
        <v>276</v>
      </c>
      <c r="AV18" s="130" t="s">
        <v>276</v>
      </c>
      <c r="AW18" s="130" t="s">
        <v>276</v>
      </c>
      <c r="AX18" s="114" t="s">
        <v>276</v>
      </c>
      <c r="AY18" s="114" t="s">
        <v>276</v>
      </c>
      <c r="AZ18" s="114" t="s">
        <v>276</v>
      </c>
      <c r="BA18" s="114" t="s">
        <v>276</v>
      </c>
      <c r="BB18" s="114" t="s">
        <v>276</v>
      </c>
      <c r="BC18" s="132" t="s">
        <v>276</v>
      </c>
      <c r="BD18" s="132" t="s">
        <v>276</v>
      </c>
      <c r="BE18" s="114" t="s">
        <v>276</v>
      </c>
      <c r="BF18" s="114" t="s">
        <v>276</v>
      </c>
      <c r="BG18" s="114" t="s">
        <v>276</v>
      </c>
      <c r="BH18" s="114" t="s">
        <v>276</v>
      </c>
      <c r="BI18" s="114" t="s">
        <v>553</v>
      </c>
      <c r="BJ18" s="114" t="s">
        <v>276</v>
      </c>
      <c r="BK18" s="114" t="s">
        <v>276</v>
      </c>
      <c r="BL18" s="114" t="s">
        <v>276</v>
      </c>
      <c r="BM18" s="114" t="s">
        <v>276</v>
      </c>
      <c r="BN18" s="114" t="s">
        <v>276</v>
      </c>
      <c r="BO18" s="114" t="s">
        <v>276</v>
      </c>
      <c r="BP18" s="114" t="s">
        <v>276</v>
      </c>
      <c r="BQ18" s="114" t="s">
        <v>276</v>
      </c>
      <c r="BR18" s="114" t="s">
        <v>276</v>
      </c>
      <c r="BS18" s="114" t="s">
        <v>276</v>
      </c>
      <c r="BT18" s="114" t="s">
        <v>276</v>
      </c>
      <c r="BU18" s="132" t="s">
        <v>276</v>
      </c>
      <c r="BV18" s="132" t="s">
        <v>276</v>
      </c>
      <c r="BW18" s="132" t="s">
        <v>276</v>
      </c>
      <c r="BX18" s="132" t="s">
        <v>276</v>
      </c>
      <c r="BY18" s="114" t="s">
        <v>276</v>
      </c>
      <c r="BZ18" s="114" t="s">
        <v>276</v>
      </c>
      <c r="CA18" s="132" t="s">
        <v>276</v>
      </c>
      <c r="CB18" s="132" t="s">
        <v>276</v>
      </c>
      <c r="CC18" s="114" t="s">
        <v>276</v>
      </c>
      <c r="CD18" s="114" t="s">
        <v>276</v>
      </c>
      <c r="CE18" s="108" t="s">
        <v>276</v>
      </c>
      <c r="CF18" s="108" t="s">
        <v>276</v>
      </c>
      <c r="CG18" s="108" t="s">
        <v>276</v>
      </c>
      <c r="CH18" s="108" t="s">
        <v>276</v>
      </c>
      <c r="CI18" s="142" t="s">
        <v>276</v>
      </c>
      <c r="CJ18" s="142" t="s">
        <v>276</v>
      </c>
      <c r="CK18" s="108" t="s">
        <v>276</v>
      </c>
      <c r="CL18" s="133" t="s">
        <v>276</v>
      </c>
      <c r="CM18" s="133" t="s">
        <v>276</v>
      </c>
      <c r="CN18" s="133" t="s">
        <v>276</v>
      </c>
      <c r="CO18" s="133" t="s">
        <v>276</v>
      </c>
      <c r="CP18" s="108" t="s">
        <v>276</v>
      </c>
      <c r="CQ18" s="108" t="s">
        <v>276</v>
      </c>
      <c r="CR18" s="108" t="s">
        <v>276</v>
      </c>
      <c r="CS18" s="108" t="s">
        <v>276</v>
      </c>
      <c r="CT18" s="108" t="s">
        <v>276</v>
      </c>
      <c r="CU18" s="114" t="s">
        <v>276</v>
      </c>
      <c r="CV18" s="114" t="s">
        <v>276</v>
      </c>
      <c r="CW18" s="341" t="s">
        <v>276</v>
      </c>
      <c r="CX18" s="341"/>
      <c r="CY18" s="341"/>
      <c r="CZ18" s="114" t="s">
        <v>276</v>
      </c>
      <c r="DA18" s="114" t="s">
        <v>276</v>
      </c>
      <c r="DB18" s="114" t="s">
        <v>276</v>
      </c>
      <c r="DC18" s="114" t="s">
        <v>276</v>
      </c>
      <c r="DD18" s="114" t="s">
        <v>276</v>
      </c>
      <c r="DE18" s="114" t="s">
        <v>276</v>
      </c>
      <c r="DF18" s="114" t="s">
        <v>276</v>
      </c>
      <c r="DG18" s="114" t="s">
        <v>276</v>
      </c>
      <c r="DH18" s="114" t="s">
        <v>276</v>
      </c>
    </row>
    <row r="19" spans="1:14718" s="107" customFormat="1" ht="110.25">
      <c r="A19" s="114">
        <v>4</v>
      </c>
      <c r="B19" s="114" t="s">
        <v>554</v>
      </c>
      <c r="C19" s="114" t="s">
        <v>555</v>
      </c>
      <c r="D19" s="114" t="s">
        <v>556</v>
      </c>
      <c r="E19" s="114" t="s">
        <v>556</v>
      </c>
      <c r="F19" s="114" t="s">
        <v>555</v>
      </c>
      <c r="G19" s="130" t="s">
        <v>555</v>
      </c>
      <c r="H19" s="131" t="s">
        <v>555</v>
      </c>
      <c r="I19" s="114" t="s">
        <v>555</v>
      </c>
      <c r="J19" s="114" t="s">
        <v>555</v>
      </c>
      <c r="K19" s="341" t="s">
        <v>555</v>
      </c>
      <c r="L19" s="341"/>
      <c r="M19" s="134" t="s">
        <v>555</v>
      </c>
      <c r="N19" s="134" t="s">
        <v>555</v>
      </c>
      <c r="O19" s="114" t="s">
        <v>555</v>
      </c>
      <c r="P19" s="131" t="s">
        <v>555</v>
      </c>
      <c r="Q19" s="114" t="s">
        <v>276</v>
      </c>
      <c r="R19" s="114" t="s">
        <v>555</v>
      </c>
      <c r="S19" s="135" t="s">
        <v>556</v>
      </c>
      <c r="T19" s="135" t="s">
        <v>555</v>
      </c>
      <c r="U19" s="114" t="s">
        <v>555</v>
      </c>
      <c r="V19" s="114" t="s">
        <v>556</v>
      </c>
      <c r="W19" s="114" t="s">
        <v>555</v>
      </c>
      <c r="X19" s="114" t="s">
        <v>555</v>
      </c>
      <c r="Y19" s="342" t="s">
        <v>555</v>
      </c>
      <c r="Z19" s="342"/>
      <c r="AA19" s="114" t="s">
        <v>555</v>
      </c>
      <c r="AB19" s="114" t="s">
        <v>555</v>
      </c>
      <c r="AC19" s="114" t="s">
        <v>555</v>
      </c>
      <c r="AD19" s="114" t="s">
        <v>555</v>
      </c>
      <c r="AE19" s="114" t="s">
        <v>276</v>
      </c>
      <c r="AF19" s="114" t="s">
        <v>276</v>
      </c>
      <c r="AG19" s="114" t="s">
        <v>555</v>
      </c>
      <c r="AH19" s="114" t="s">
        <v>555</v>
      </c>
      <c r="AI19" s="114" t="s">
        <v>555</v>
      </c>
      <c r="AJ19" s="114" t="s">
        <v>276</v>
      </c>
      <c r="AK19" s="130" t="s">
        <v>555</v>
      </c>
      <c r="AL19" s="130" t="s">
        <v>555</v>
      </c>
      <c r="AM19" s="131" t="s">
        <v>555</v>
      </c>
      <c r="AN19" s="114" t="s">
        <v>555</v>
      </c>
      <c r="AO19" s="114" t="s">
        <v>555</v>
      </c>
      <c r="AP19" s="135" t="s">
        <v>555</v>
      </c>
      <c r="AQ19" s="114" t="s">
        <v>555</v>
      </c>
      <c r="AR19" s="135" t="s">
        <v>555</v>
      </c>
      <c r="AS19" s="135" t="s">
        <v>555</v>
      </c>
      <c r="AT19" s="135" t="s">
        <v>555</v>
      </c>
      <c r="AU19" s="135" t="s">
        <v>555</v>
      </c>
      <c r="AV19" s="135" t="s">
        <v>555</v>
      </c>
      <c r="AW19" s="135" t="s">
        <v>555</v>
      </c>
      <c r="AX19" s="135" t="s">
        <v>556</v>
      </c>
      <c r="AY19" s="135" t="s">
        <v>555</v>
      </c>
      <c r="AZ19" s="135" t="s">
        <v>556</v>
      </c>
      <c r="BA19" s="135" t="s">
        <v>555</v>
      </c>
      <c r="BB19" s="135" t="s">
        <v>556</v>
      </c>
      <c r="BC19" s="135" t="s">
        <v>555</v>
      </c>
      <c r="BD19" s="135" t="s">
        <v>556</v>
      </c>
      <c r="BE19" s="135" t="s">
        <v>556</v>
      </c>
      <c r="BF19" s="135" t="s">
        <v>556</v>
      </c>
      <c r="BG19" s="136" t="s">
        <v>555</v>
      </c>
      <c r="BH19" s="135" t="s">
        <v>556</v>
      </c>
      <c r="BI19" s="114" t="s">
        <v>556</v>
      </c>
      <c r="BJ19" s="135" t="s">
        <v>556</v>
      </c>
      <c r="BK19" s="135" t="s">
        <v>555</v>
      </c>
      <c r="BL19" s="135" t="s">
        <v>555</v>
      </c>
      <c r="BM19" s="135" t="s">
        <v>555</v>
      </c>
      <c r="BN19" s="135" t="s">
        <v>555</v>
      </c>
      <c r="BO19" s="135" t="s">
        <v>555</v>
      </c>
      <c r="BP19" s="135" t="s">
        <v>555</v>
      </c>
      <c r="BQ19" s="135" t="s">
        <v>555</v>
      </c>
      <c r="BR19" s="135" t="s">
        <v>555</v>
      </c>
      <c r="BS19" s="132" t="s">
        <v>555</v>
      </c>
      <c r="BT19" s="135" t="s">
        <v>555</v>
      </c>
      <c r="BU19" s="135" t="s">
        <v>555</v>
      </c>
      <c r="BV19" s="135" t="s">
        <v>555</v>
      </c>
      <c r="BW19" s="132" t="s">
        <v>555</v>
      </c>
      <c r="BX19" s="135" t="s">
        <v>555</v>
      </c>
      <c r="BY19" s="137" t="s">
        <v>555</v>
      </c>
      <c r="BZ19" s="138" t="s">
        <v>555</v>
      </c>
      <c r="CA19" s="135" t="s">
        <v>555</v>
      </c>
      <c r="CB19" s="135" t="s">
        <v>555</v>
      </c>
      <c r="CC19" s="135" t="s">
        <v>555</v>
      </c>
      <c r="CD19" s="135" t="s">
        <v>555</v>
      </c>
      <c r="CE19" s="114" t="s">
        <v>555</v>
      </c>
      <c r="CF19" s="108" t="s">
        <v>555</v>
      </c>
      <c r="CG19" s="133" t="s">
        <v>555</v>
      </c>
      <c r="CH19" s="133" t="s">
        <v>555</v>
      </c>
      <c r="CI19" s="142" t="s">
        <v>555</v>
      </c>
      <c r="CJ19" s="142" t="s">
        <v>571</v>
      </c>
      <c r="CK19" s="133" t="s">
        <v>555</v>
      </c>
      <c r="CL19" s="133" t="s">
        <v>555</v>
      </c>
      <c r="CM19" s="133" t="s">
        <v>555</v>
      </c>
      <c r="CN19" s="133" t="s">
        <v>555</v>
      </c>
      <c r="CO19" s="133" t="s">
        <v>555</v>
      </c>
      <c r="CP19" s="108" t="s">
        <v>555</v>
      </c>
      <c r="CQ19" s="108" t="s">
        <v>555</v>
      </c>
      <c r="CR19" s="108" t="s">
        <v>555</v>
      </c>
      <c r="CS19" s="108" t="s">
        <v>555</v>
      </c>
      <c r="CT19" s="108" t="s">
        <v>555</v>
      </c>
      <c r="CU19" s="114" t="s">
        <v>555</v>
      </c>
      <c r="CV19" s="135" t="s">
        <v>276</v>
      </c>
      <c r="CW19" s="341" t="s">
        <v>555</v>
      </c>
      <c r="CX19" s="341"/>
      <c r="CY19" s="341"/>
      <c r="CZ19" s="135" t="s">
        <v>555</v>
      </c>
      <c r="DA19" s="135" t="s">
        <v>555</v>
      </c>
      <c r="DB19" s="135" t="s">
        <v>555</v>
      </c>
      <c r="DC19" s="135" t="s">
        <v>556</v>
      </c>
      <c r="DD19" s="135" t="s">
        <v>555</v>
      </c>
      <c r="DE19" s="135" t="s">
        <v>556</v>
      </c>
      <c r="DF19" s="135" t="s">
        <v>555</v>
      </c>
      <c r="DG19" s="135" t="s">
        <v>555</v>
      </c>
      <c r="DH19" s="135" t="s">
        <v>556</v>
      </c>
    </row>
    <row r="20" spans="1:14718" s="107" customFormat="1" ht="126">
      <c r="A20" s="114">
        <v>5</v>
      </c>
      <c r="B20" s="114" t="s">
        <v>557</v>
      </c>
      <c r="C20" s="341" t="s">
        <v>555</v>
      </c>
      <c r="D20" s="341"/>
      <c r="E20" s="341"/>
      <c r="F20" s="134"/>
      <c r="G20" s="114" t="s">
        <v>555</v>
      </c>
      <c r="H20" s="341" t="s">
        <v>555</v>
      </c>
      <c r="I20" s="341"/>
      <c r="J20" s="341" t="s">
        <v>556</v>
      </c>
      <c r="K20" s="341"/>
      <c r="L20" s="341"/>
      <c r="M20" s="341" t="s">
        <v>556</v>
      </c>
      <c r="N20" s="341"/>
      <c r="O20" s="342" t="s">
        <v>555</v>
      </c>
      <c r="P20" s="342"/>
      <c r="Q20" s="342"/>
      <c r="R20" s="320" t="s">
        <v>555</v>
      </c>
      <c r="S20" s="320"/>
      <c r="T20" s="341" t="s">
        <v>555</v>
      </c>
      <c r="U20" s="341"/>
      <c r="V20" s="341" t="s">
        <v>556</v>
      </c>
      <c r="W20" s="341"/>
      <c r="X20" s="341" t="s">
        <v>555</v>
      </c>
      <c r="Y20" s="341"/>
      <c r="Z20" s="341"/>
      <c r="AA20" s="341" t="s">
        <v>556</v>
      </c>
      <c r="AB20" s="341"/>
      <c r="AC20" s="341" t="s">
        <v>555</v>
      </c>
      <c r="AD20" s="341"/>
      <c r="AE20" s="341"/>
      <c r="AF20" s="341"/>
      <c r="AG20" s="341" t="s">
        <v>555</v>
      </c>
      <c r="AH20" s="341"/>
      <c r="AI20" s="341" t="s">
        <v>555</v>
      </c>
      <c r="AJ20" s="341"/>
      <c r="AK20" s="114"/>
      <c r="AL20" s="341" t="s">
        <v>555</v>
      </c>
      <c r="AM20" s="341"/>
      <c r="AN20" s="320" t="s">
        <v>555</v>
      </c>
      <c r="AO20" s="320"/>
      <c r="AP20" s="341" t="s">
        <v>555</v>
      </c>
      <c r="AQ20" s="341"/>
      <c r="AR20" s="341" t="s">
        <v>555</v>
      </c>
      <c r="AS20" s="341"/>
      <c r="AT20" s="328" t="s">
        <v>555</v>
      </c>
      <c r="AU20" s="328"/>
      <c r="AV20" s="328"/>
      <c r="AW20" s="333" t="s">
        <v>555</v>
      </c>
      <c r="AX20" s="333"/>
      <c r="AY20" s="341" t="s">
        <v>555</v>
      </c>
      <c r="AZ20" s="341"/>
      <c r="BA20" s="341"/>
      <c r="BB20" s="341" t="s">
        <v>556</v>
      </c>
      <c r="BC20" s="341"/>
      <c r="BD20" s="329" t="s">
        <v>556</v>
      </c>
      <c r="BE20" s="329"/>
      <c r="BF20" s="329"/>
      <c r="BG20" s="341" t="s">
        <v>555</v>
      </c>
      <c r="BH20" s="341"/>
      <c r="BI20" s="341" t="s">
        <v>556</v>
      </c>
      <c r="BJ20" s="341"/>
      <c r="BK20" s="343" t="s">
        <v>555</v>
      </c>
      <c r="BL20" s="343"/>
      <c r="BM20" s="341" t="s">
        <v>555</v>
      </c>
      <c r="BN20" s="341"/>
      <c r="BO20" s="114" t="s">
        <v>276</v>
      </c>
      <c r="BP20" s="341" t="s">
        <v>555</v>
      </c>
      <c r="BQ20" s="341"/>
      <c r="BR20" s="341" t="s">
        <v>555</v>
      </c>
      <c r="BS20" s="341"/>
      <c r="BT20" s="341"/>
      <c r="BU20" s="329" t="s">
        <v>556</v>
      </c>
      <c r="BV20" s="329"/>
      <c r="BW20" s="329"/>
      <c r="BX20" s="340" t="s">
        <v>555</v>
      </c>
      <c r="BY20" s="340"/>
      <c r="BZ20" s="329" t="s">
        <v>555</v>
      </c>
      <c r="CA20" s="329"/>
      <c r="CB20" s="329" t="s">
        <v>555</v>
      </c>
      <c r="CC20" s="329"/>
      <c r="CD20" s="341" t="s">
        <v>555</v>
      </c>
      <c r="CE20" s="341"/>
      <c r="CF20" s="327" t="s">
        <v>555</v>
      </c>
      <c r="CG20" s="327"/>
      <c r="CH20" s="327"/>
      <c r="CI20" s="332" t="s">
        <v>555</v>
      </c>
      <c r="CJ20" s="332"/>
      <c r="CK20" s="326" t="s">
        <v>555</v>
      </c>
      <c r="CL20" s="326"/>
      <c r="CM20" s="327" t="s">
        <v>555</v>
      </c>
      <c r="CN20" s="327"/>
      <c r="CO20" s="327"/>
      <c r="CP20" s="326" t="s">
        <v>555</v>
      </c>
      <c r="CQ20" s="326"/>
      <c r="CR20" s="108" t="s">
        <v>276</v>
      </c>
      <c r="CS20" s="326" t="s">
        <v>555</v>
      </c>
      <c r="CT20" s="326"/>
      <c r="CU20" s="341" t="s">
        <v>555</v>
      </c>
      <c r="CV20" s="341"/>
      <c r="CW20" s="341" t="s">
        <v>276</v>
      </c>
      <c r="CX20" s="341"/>
      <c r="CY20" s="341"/>
      <c r="CZ20" s="139" t="s">
        <v>276</v>
      </c>
      <c r="DA20" s="333" t="s">
        <v>555</v>
      </c>
      <c r="DB20" s="333"/>
      <c r="DC20" s="341" t="s">
        <v>556</v>
      </c>
      <c r="DD20" s="341"/>
      <c r="DE20" s="341" t="s">
        <v>556</v>
      </c>
      <c r="DF20" s="341"/>
      <c r="DG20" s="329" t="s">
        <v>555</v>
      </c>
      <c r="DH20" s="329"/>
    </row>
    <row r="21" spans="1:14718" s="107" customFormat="1" ht="409.5">
      <c r="A21" s="114">
        <v>6</v>
      </c>
      <c r="B21" s="124" t="s">
        <v>558</v>
      </c>
      <c r="C21" s="114" t="s">
        <v>276</v>
      </c>
      <c r="D21" s="114" t="s">
        <v>556</v>
      </c>
      <c r="E21" s="114" t="s">
        <v>276</v>
      </c>
      <c r="F21" s="131" t="s">
        <v>555</v>
      </c>
      <c r="G21" s="131" t="s">
        <v>555</v>
      </c>
      <c r="H21" s="131" t="s">
        <v>555</v>
      </c>
      <c r="I21" s="114" t="s">
        <v>555</v>
      </c>
      <c r="J21" s="114" t="s">
        <v>276</v>
      </c>
      <c r="K21" s="341" t="s">
        <v>276</v>
      </c>
      <c r="L21" s="341"/>
      <c r="M21" s="114" t="s">
        <v>276</v>
      </c>
      <c r="N21" s="114" t="s">
        <v>276</v>
      </c>
      <c r="O21" s="131" t="s">
        <v>276</v>
      </c>
      <c r="P21" s="131" t="s">
        <v>276</v>
      </c>
      <c r="Q21" s="131" t="s">
        <v>276</v>
      </c>
      <c r="R21" s="114" t="s">
        <v>276</v>
      </c>
      <c r="S21" s="135" t="s">
        <v>276</v>
      </c>
      <c r="T21" s="135" t="s">
        <v>276</v>
      </c>
      <c r="U21" s="114" t="s">
        <v>276</v>
      </c>
      <c r="V21" s="140" t="s">
        <v>276</v>
      </c>
      <c r="W21" s="114" t="s">
        <v>276</v>
      </c>
      <c r="X21" s="114" t="s">
        <v>276</v>
      </c>
      <c r="Y21" s="341" t="s">
        <v>276</v>
      </c>
      <c r="Z21" s="341"/>
      <c r="AA21" s="114" t="s">
        <v>276</v>
      </c>
      <c r="AB21" s="114" t="s">
        <v>555</v>
      </c>
      <c r="AC21" s="114" t="s">
        <v>555</v>
      </c>
      <c r="AD21" s="114" t="s">
        <v>276</v>
      </c>
      <c r="AE21" s="114" t="s">
        <v>276</v>
      </c>
      <c r="AF21" s="114" t="s">
        <v>276</v>
      </c>
      <c r="AG21" s="114" t="s">
        <v>276</v>
      </c>
      <c r="AH21" s="114" t="s">
        <v>276</v>
      </c>
      <c r="AI21" s="114" t="s">
        <v>276</v>
      </c>
      <c r="AJ21" s="114" t="s">
        <v>276</v>
      </c>
      <c r="AK21" s="114" t="s">
        <v>276</v>
      </c>
      <c r="AL21" s="114" t="s">
        <v>276</v>
      </c>
      <c r="AM21" s="114" t="s">
        <v>276</v>
      </c>
      <c r="AN21" s="130" t="s">
        <v>276</v>
      </c>
      <c r="AO21" s="130" t="s">
        <v>276</v>
      </c>
      <c r="AP21" s="114" t="s">
        <v>276</v>
      </c>
      <c r="AQ21" s="135" t="s">
        <v>276</v>
      </c>
      <c r="AR21" s="135" t="s">
        <v>276</v>
      </c>
      <c r="AS21" s="135" t="s">
        <v>276</v>
      </c>
      <c r="AT21" s="135" t="s">
        <v>276</v>
      </c>
      <c r="AU21" s="135" t="s">
        <v>276</v>
      </c>
      <c r="AV21" s="135" t="s">
        <v>276</v>
      </c>
      <c r="AW21" s="135" t="s">
        <v>276</v>
      </c>
      <c r="AX21" s="135" t="s">
        <v>276</v>
      </c>
      <c r="AY21" s="135" t="s">
        <v>276</v>
      </c>
      <c r="AZ21" s="135" t="s">
        <v>276</v>
      </c>
      <c r="BA21" s="135" t="s">
        <v>276</v>
      </c>
      <c r="BB21" s="135" t="s">
        <v>276</v>
      </c>
      <c r="BC21" s="135" t="s">
        <v>276</v>
      </c>
      <c r="BD21" s="135" t="s">
        <v>276</v>
      </c>
      <c r="BE21" s="135" t="s">
        <v>276</v>
      </c>
      <c r="BF21" s="135" t="s">
        <v>276</v>
      </c>
      <c r="BG21" s="173" t="s">
        <v>605</v>
      </c>
      <c r="BH21" s="135" t="s">
        <v>276</v>
      </c>
      <c r="BI21" s="174" t="s">
        <v>606</v>
      </c>
      <c r="BJ21" s="139" t="s">
        <v>276</v>
      </c>
      <c r="BK21" s="139" t="s">
        <v>276</v>
      </c>
      <c r="BL21" s="114" t="s">
        <v>276</v>
      </c>
      <c r="BM21" s="114" t="s">
        <v>276</v>
      </c>
      <c r="BN21" s="135" t="s">
        <v>276</v>
      </c>
      <c r="BO21" s="135" t="s">
        <v>276</v>
      </c>
      <c r="BP21" s="135" t="s">
        <v>276</v>
      </c>
      <c r="BQ21" s="135" t="s">
        <v>276</v>
      </c>
      <c r="BR21" s="135" t="s">
        <v>276</v>
      </c>
      <c r="BS21" s="135" t="s">
        <v>276</v>
      </c>
      <c r="BT21" s="135" t="s">
        <v>276</v>
      </c>
      <c r="BU21" s="135" t="s">
        <v>276</v>
      </c>
      <c r="BV21" s="135" t="s">
        <v>276</v>
      </c>
      <c r="BW21" s="137" t="s">
        <v>555</v>
      </c>
      <c r="BX21" s="135" t="s">
        <v>276</v>
      </c>
      <c r="BY21" s="132" t="s">
        <v>276</v>
      </c>
      <c r="BZ21" s="141" t="s">
        <v>276</v>
      </c>
      <c r="CA21" s="135" t="s">
        <v>276</v>
      </c>
      <c r="CB21" s="114" t="s">
        <v>276</v>
      </c>
      <c r="CC21" s="135" t="s">
        <v>276</v>
      </c>
      <c r="CD21" s="135" t="s">
        <v>276</v>
      </c>
      <c r="CE21" s="114" t="s">
        <v>276</v>
      </c>
      <c r="CF21" s="133" t="s">
        <v>276</v>
      </c>
      <c r="CG21" s="133" t="s">
        <v>276</v>
      </c>
      <c r="CH21" s="133" t="s">
        <v>276</v>
      </c>
      <c r="CI21" s="136" t="s">
        <v>555</v>
      </c>
      <c r="CJ21" s="136" t="s">
        <v>555</v>
      </c>
      <c r="CK21" s="133" t="s">
        <v>276</v>
      </c>
      <c r="CL21" s="133" t="s">
        <v>276</v>
      </c>
      <c r="CM21" s="133" t="s">
        <v>276</v>
      </c>
      <c r="CN21" s="133" t="s">
        <v>276</v>
      </c>
      <c r="CO21" s="133" t="s">
        <v>276</v>
      </c>
      <c r="CP21" s="108" t="s">
        <v>276</v>
      </c>
      <c r="CQ21" s="108" t="s">
        <v>276</v>
      </c>
      <c r="CR21" s="108" t="s">
        <v>276</v>
      </c>
      <c r="CS21" s="108" t="s">
        <v>276</v>
      </c>
      <c r="CT21" s="108" t="s">
        <v>276</v>
      </c>
      <c r="CU21" s="130" t="s">
        <v>276</v>
      </c>
      <c r="CV21" s="114" t="s">
        <v>276</v>
      </c>
      <c r="CW21" s="329" t="s">
        <v>276</v>
      </c>
      <c r="CX21" s="329"/>
      <c r="CY21" s="329"/>
      <c r="CZ21" s="135" t="s">
        <v>276</v>
      </c>
      <c r="DA21" s="135" t="s">
        <v>276</v>
      </c>
      <c r="DB21" s="135" t="s">
        <v>276</v>
      </c>
      <c r="DC21" s="135" t="s">
        <v>276</v>
      </c>
      <c r="DD21" s="133" t="s">
        <v>276</v>
      </c>
      <c r="DE21" s="135" t="s">
        <v>276</v>
      </c>
      <c r="DF21" s="135" t="s">
        <v>276</v>
      </c>
      <c r="DG21" s="135" t="s">
        <v>276</v>
      </c>
      <c r="DH21" s="135" t="s">
        <v>276</v>
      </c>
    </row>
    <row r="22" spans="1:14718" s="143" customFormat="1" ht="362.25">
      <c r="A22" s="136">
        <v>7</v>
      </c>
      <c r="B22" s="136" t="s">
        <v>559</v>
      </c>
      <c r="C22" s="320" t="s">
        <v>607</v>
      </c>
      <c r="D22" s="320"/>
      <c r="E22" s="320"/>
      <c r="F22" s="320" t="s">
        <v>608</v>
      </c>
      <c r="G22" s="320"/>
      <c r="H22" s="328" t="s">
        <v>609</v>
      </c>
      <c r="I22" s="328"/>
      <c r="J22" s="332" t="s">
        <v>610</v>
      </c>
      <c r="K22" s="332"/>
      <c r="L22" s="332"/>
      <c r="M22" s="320" t="s">
        <v>611</v>
      </c>
      <c r="N22" s="320"/>
      <c r="O22" s="332" t="s">
        <v>612</v>
      </c>
      <c r="P22" s="332"/>
      <c r="Q22" s="332"/>
      <c r="R22" s="320" t="s">
        <v>613</v>
      </c>
      <c r="S22" s="320"/>
      <c r="T22" s="320" t="s">
        <v>614</v>
      </c>
      <c r="U22" s="320"/>
      <c r="V22" s="320" t="s">
        <v>615</v>
      </c>
      <c r="W22" s="320"/>
      <c r="X22" s="328" t="s">
        <v>616</v>
      </c>
      <c r="Y22" s="328"/>
      <c r="Z22" s="328"/>
      <c r="AA22" s="332" t="s">
        <v>617</v>
      </c>
      <c r="AB22" s="332"/>
      <c r="AC22" s="320" t="s">
        <v>618</v>
      </c>
      <c r="AD22" s="320"/>
      <c r="AE22" s="320"/>
      <c r="AF22" s="320"/>
      <c r="AG22" s="336" t="s">
        <v>619</v>
      </c>
      <c r="AH22" s="336"/>
      <c r="AI22" s="336" t="s">
        <v>620</v>
      </c>
      <c r="AJ22" s="336"/>
      <c r="AK22" s="336"/>
      <c r="AL22" s="336" t="s">
        <v>621</v>
      </c>
      <c r="AM22" s="336"/>
      <c r="AN22" s="332" t="s">
        <v>622</v>
      </c>
      <c r="AO22" s="332"/>
      <c r="AP22" s="328" t="s">
        <v>623</v>
      </c>
      <c r="AQ22" s="328"/>
      <c r="AR22" s="336" t="s">
        <v>624</v>
      </c>
      <c r="AS22" s="336"/>
      <c r="AT22" s="336" t="s">
        <v>625</v>
      </c>
      <c r="AU22" s="336"/>
      <c r="AV22" s="336"/>
      <c r="AW22" s="336" t="s">
        <v>626</v>
      </c>
      <c r="AX22" s="336"/>
      <c r="AY22" s="336" t="s">
        <v>627</v>
      </c>
      <c r="AZ22" s="336"/>
      <c r="BA22" s="336"/>
      <c r="BB22" s="336" t="s">
        <v>628</v>
      </c>
      <c r="BC22" s="336"/>
      <c r="BD22" s="320" t="s">
        <v>629</v>
      </c>
      <c r="BE22" s="320"/>
      <c r="BF22" s="320"/>
      <c r="BG22" s="320" t="s">
        <v>630</v>
      </c>
      <c r="BH22" s="320"/>
      <c r="BI22" s="320" t="s">
        <v>631</v>
      </c>
      <c r="BJ22" s="320"/>
      <c r="BK22" s="320" t="s">
        <v>632</v>
      </c>
      <c r="BL22" s="320"/>
      <c r="BM22" s="320" t="s">
        <v>633</v>
      </c>
      <c r="BN22" s="320"/>
      <c r="BO22" s="108" t="s">
        <v>634</v>
      </c>
      <c r="BP22" s="320" t="s">
        <v>635</v>
      </c>
      <c r="BQ22" s="320"/>
      <c r="BR22" s="320" t="s">
        <v>636</v>
      </c>
      <c r="BS22" s="320"/>
      <c r="BT22" s="320"/>
      <c r="BU22" s="320" t="s">
        <v>560</v>
      </c>
      <c r="BV22" s="320"/>
      <c r="BW22" s="320"/>
      <c r="BX22" s="320" t="s">
        <v>561</v>
      </c>
      <c r="BY22" s="320"/>
      <c r="BZ22" s="328" t="s">
        <v>637</v>
      </c>
      <c r="CA22" s="328"/>
      <c r="CB22" s="320" t="s">
        <v>638</v>
      </c>
      <c r="CC22" s="320"/>
      <c r="CD22" s="320" t="s">
        <v>639</v>
      </c>
      <c r="CE22" s="320"/>
      <c r="CF22" s="320" t="s">
        <v>640</v>
      </c>
      <c r="CG22" s="320"/>
      <c r="CH22" s="320"/>
      <c r="CI22" s="320" t="s">
        <v>641</v>
      </c>
      <c r="CJ22" s="320"/>
      <c r="CK22" s="320" t="s">
        <v>642</v>
      </c>
      <c r="CL22" s="320"/>
      <c r="CM22" s="320" t="s">
        <v>562</v>
      </c>
      <c r="CN22" s="320"/>
      <c r="CO22" s="320"/>
      <c r="CP22" s="320" t="s">
        <v>643</v>
      </c>
      <c r="CQ22" s="320"/>
      <c r="CR22" s="108" t="s">
        <v>644</v>
      </c>
      <c r="CS22" s="320" t="s">
        <v>563</v>
      </c>
      <c r="CT22" s="320"/>
      <c r="CU22" s="328" t="s">
        <v>645</v>
      </c>
      <c r="CV22" s="328"/>
      <c r="CW22" s="340" t="s">
        <v>564</v>
      </c>
      <c r="CX22" s="340"/>
      <c r="CY22" s="340"/>
      <c r="CZ22" s="108" t="s">
        <v>565</v>
      </c>
      <c r="DA22" s="320" t="s">
        <v>566</v>
      </c>
      <c r="DB22" s="320"/>
      <c r="DC22" s="320" t="s">
        <v>567</v>
      </c>
      <c r="DD22" s="320"/>
      <c r="DE22" s="320" t="s">
        <v>568</v>
      </c>
      <c r="DF22" s="320"/>
      <c r="DG22" s="320" t="s">
        <v>569</v>
      </c>
      <c r="DH22" s="320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  <c r="FA22" s="142"/>
      <c r="FB22" s="142"/>
      <c r="FC22" s="142"/>
      <c r="FD22" s="142"/>
      <c r="FE22" s="142"/>
      <c r="FF22" s="142"/>
      <c r="FG22" s="142"/>
      <c r="FH22" s="142"/>
      <c r="FI22" s="142"/>
      <c r="FJ22" s="142"/>
      <c r="FK22" s="142"/>
      <c r="FL22" s="142"/>
      <c r="FM22" s="142"/>
      <c r="FN22" s="142"/>
      <c r="FO22" s="142"/>
      <c r="FP22" s="142"/>
      <c r="FQ22" s="142"/>
      <c r="FR22" s="142"/>
      <c r="FS22" s="142"/>
      <c r="FT22" s="142"/>
      <c r="FU22" s="142"/>
      <c r="FV22" s="142"/>
      <c r="FW22" s="142"/>
      <c r="FX22" s="142"/>
      <c r="FY22" s="142"/>
      <c r="FZ22" s="142"/>
      <c r="GA22" s="142"/>
      <c r="GB22" s="142"/>
      <c r="GC22" s="142"/>
      <c r="GD22" s="142"/>
      <c r="GE22" s="142"/>
      <c r="GF22" s="142"/>
      <c r="GG22" s="142"/>
      <c r="GH22" s="142"/>
      <c r="GI22" s="142"/>
      <c r="GJ22" s="142"/>
      <c r="GK22" s="142"/>
      <c r="GL22" s="142"/>
      <c r="GM22" s="142"/>
      <c r="GN22" s="142"/>
      <c r="GO22" s="142"/>
      <c r="GP22" s="142"/>
      <c r="GQ22" s="142"/>
      <c r="GR22" s="142"/>
      <c r="GS22" s="142"/>
      <c r="GT22" s="142"/>
      <c r="GU22" s="142"/>
      <c r="GV22" s="142"/>
      <c r="GW22" s="142"/>
      <c r="GX22" s="142"/>
      <c r="GY22" s="142"/>
      <c r="GZ22" s="142"/>
      <c r="HA22" s="142"/>
      <c r="HB22" s="142"/>
      <c r="HC22" s="142"/>
      <c r="HD22" s="142"/>
      <c r="HE22" s="142"/>
      <c r="HF22" s="142"/>
      <c r="HG22" s="142"/>
      <c r="HH22" s="142"/>
      <c r="HI22" s="142"/>
      <c r="HJ22" s="142"/>
      <c r="HK22" s="142"/>
      <c r="HL22" s="142"/>
      <c r="HM22" s="142"/>
      <c r="HN22" s="142"/>
      <c r="HO22" s="142"/>
      <c r="HP22" s="142"/>
      <c r="HQ22" s="142"/>
      <c r="HR22" s="142"/>
      <c r="HS22" s="142"/>
      <c r="HT22" s="142"/>
      <c r="HU22" s="142"/>
      <c r="HV22" s="142"/>
      <c r="HW22" s="142"/>
      <c r="HX22" s="142"/>
      <c r="HY22" s="142"/>
      <c r="HZ22" s="142"/>
      <c r="IA22" s="142"/>
      <c r="IB22" s="142"/>
      <c r="IC22" s="142"/>
      <c r="ID22" s="142"/>
      <c r="IE22" s="142"/>
      <c r="IF22" s="142"/>
      <c r="IG22" s="142"/>
      <c r="IH22" s="142"/>
      <c r="II22" s="142"/>
      <c r="IJ22" s="142"/>
      <c r="IK22" s="142"/>
      <c r="IL22" s="142"/>
      <c r="IM22" s="142"/>
      <c r="IN22" s="142"/>
      <c r="IO22" s="142"/>
      <c r="IP22" s="142"/>
      <c r="IQ22" s="142"/>
      <c r="IR22" s="142"/>
      <c r="IS22" s="142"/>
      <c r="IT22" s="142"/>
      <c r="IU22" s="142"/>
      <c r="IV22" s="142"/>
      <c r="IW22" s="142"/>
      <c r="IX22" s="142"/>
      <c r="IY22" s="142"/>
      <c r="IZ22" s="142"/>
      <c r="JA22" s="142"/>
      <c r="JB22" s="142"/>
      <c r="JC22" s="142"/>
      <c r="JD22" s="142"/>
      <c r="JE22" s="142"/>
      <c r="JF22" s="142"/>
      <c r="JG22" s="142"/>
      <c r="JH22" s="142"/>
      <c r="JI22" s="142"/>
      <c r="JJ22" s="142"/>
      <c r="JK22" s="142"/>
      <c r="JL22" s="142"/>
      <c r="JM22" s="142"/>
      <c r="JN22" s="142"/>
      <c r="JO22" s="142"/>
      <c r="JP22" s="142"/>
      <c r="JQ22" s="142"/>
      <c r="JR22" s="142"/>
      <c r="JS22" s="142"/>
      <c r="JT22" s="142"/>
      <c r="JU22" s="142"/>
      <c r="JV22" s="142"/>
      <c r="JW22" s="142"/>
      <c r="JX22" s="142"/>
      <c r="JY22" s="142"/>
      <c r="JZ22" s="142"/>
      <c r="KA22" s="142"/>
      <c r="KB22" s="142"/>
      <c r="KC22" s="142"/>
      <c r="KD22" s="142"/>
      <c r="KE22" s="142"/>
      <c r="KF22" s="142"/>
      <c r="KG22" s="142"/>
      <c r="KH22" s="142"/>
      <c r="KI22" s="142"/>
      <c r="KJ22" s="142"/>
      <c r="KK22" s="142"/>
      <c r="KL22" s="142"/>
      <c r="KM22" s="142"/>
      <c r="KN22" s="142"/>
      <c r="KO22" s="142"/>
      <c r="KP22" s="142"/>
      <c r="KQ22" s="142"/>
      <c r="KR22" s="142"/>
      <c r="KS22" s="142"/>
      <c r="KT22" s="142"/>
      <c r="KU22" s="142"/>
      <c r="KV22" s="142"/>
      <c r="KW22" s="142"/>
      <c r="KX22" s="142"/>
      <c r="KY22" s="142"/>
      <c r="KZ22" s="142"/>
      <c r="LA22" s="142"/>
      <c r="LB22" s="142"/>
      <c r="LC22" s="142"/>
      <c r="LD22" s="142"/>
      <c r="LE22" s="142"/>
      <c r="LF22" s="142"/>
      <c r="LG22" s="142"/>
      <c r="LH22" s="142"/>
      <c r="LI22" s="142"/>
      <c r="LJ22" s="142"/>
      <c r="LK22" s="142"/>
      <c r="LL22" s="142"/>
      <c r="LM22" s="142"/>
      <c r="LN22" s="142"/>
      <c r="LO22" s="142"/>
      <c r="LP22" s="142"/>
      <c r="LQ22" s="142"/>
      <c r="LR22" s="142"/>
      <c r="LS22" s="142"/>
      <c r="LT22" s="142"/>
      <c r="LU22" s="142"/>
      <c r="LV22" s="142"/>
      <c r="LW22" s="142"/>
      <c r="LX22" s="142"/>
      <c r="LY22" s="142"/>
      <c r="LZ22" s="142"/>
      <c r="MA22" s="142"/>
      <c r="MB22" s="142"/>
      <c r="MC22" s="142"/>
      <c r="MD22" s="142"/>
      <c r="ME22" s="142"/>
      <c r="MF22" s="142"/>
      <c r="MG22" s="142"/>
      <c r="MH22" s="142"/>
      <c r="MI22" s="142"/>
      <c r="MJ22" s="142"/>
      <c r="MK22" s="142"/>
      <c r="ML22" s="142"/>
      <c r="MM22" s="142"/>
      <c r="MN22" s="142"/>
      <c r="MO22" s="142"/>
      <c r="MP22" s="142"/>
      <c r="MQ22" s="142"/>
      <c r="MR22" s="142"/>
      <c r="MS22" s="142"/>
      <c r="MT22" s="142"/>
      <c r="MU22" s="142"/>
      <c r="MV22" s="142"/>
      <c r="MW22" s="142"/>
      <c r="MX22" s="142"/>
      <c r="MY22" s="142"/>
      <c r="MZ22" s="142"/>
      <c r="NA22" s="142"/>
      <c r="NB22" s="142"/>
      <c r="NC22" s="142"/>
      <c r="ND22" s="142"/>
      <c r="NE22" s="142"/>
      <c r="NF22" s="142"/>
      <c r="NG22" s="142"/>
      <c r="NH22" s="142"/>
      <c r="NI22" s="142"/>
      <c r="NJ22" s="142"/>
      <c r="NK22" s="142"/>
      <c r="NL22" s="142"/>
      <c r="NM22" s="142"/>
      <c r="NN22" s="142"/>
      <c r="NO22" s="142"/>
      <c r="NP22" s="142"/>
      <c r="NQ22" s="142"/>
      <c r="NR22" s="142"/>
      <c r="NS22" s="142"/>
      <c r="NT22" s="142"/>
      <c r="NU22" s="142"/>
      <c r="NV22" s="142"/>
      <c r="NW22" s="142"/>
      <c r="NX22" s="142"/>
      <c r="NY22" s="142"/>
      <c r="NZ22" s="142"/>
      <c r="OA22" s="142"/>
      <c r="OB22" s="142"/>
      <c r="OC22" s="142"/>
      <c r="OD22" s="142"/>
      <c r="OE22" s="142"/>
      <c r="OF22" s="142"/>
      <c r="OG22" s="142"/>
      <c r="OH22" s="142"/>
      <c r="OI22" s="142"/>
      <c r="OJ22" s="142"/>
      <c r="OK22" s="142"/>
      <c r="OL22" s="142"/>
      <c r="OM22" s="142"/>
      <c r="ON22" s="142"/>
      <c r="OO22" s="142"/>
      <c r="OP22" s="142"/>
      <c r="OQ22" s="142"/>
      <c r="OR22" s="142"/>
      <c r="OS22" s="142"/>
      <c r="OT22" s="142"/>
      <c r="OU22" s="142"/>
      <c r="OV22" s="142"/>
      <c r="OW22" s="142"/>
      <c r="OX22" s="142"/>
      <c r="OY22" s="142"/>
      <c r="OZ22" s="142"/>
      <c r="PA22" s="142"/>
      <c r="PB22" s="142"/>
      <c r="PC22" s="142"/>
      <c r="PD22" s="142"/>
      <c r="PE22" s="142"/>
      <c r="PF22" s="142"/>
      <c r="PG22" s="142"/>
      <c r="PH22" s="142"/>
      <c r="PI22" s="142"/>
      <c r="PJ22" s="142"/>
      <c r="PK22" s="142"/>
      <c r="PL22" s="142"/>
      <c r="PM22" s="142"/>
      <c r="PN22" s="142"/>
      <c r="PO22" s="142"/>
      <c r="PP22" s="142"/>
      <c r="PQ22" s="142"/>
      <c r="PR22" s="142"/>
      <c r="PS22" s="142"/>
      <c r="PT22" s="142"/>
      <c r="PU22" s="142"/>
      <c r="PV22" s="142"/>
      <c r="PW22" s="142"/>
      <c r="PX22" s="142"/>
      <c r="PY22" s="142"/>
      <c r="PZ22" s="142"/>
      <c r="QA22" s="142"/>
      <c r="QB22" s="142"/>
      <c r="QC22" s="142"/>
      <c r="QD22" s="142"/>
      <c r="QE22" s="142"/>
      <c r="QF22" s="142"/>
      <c r="QG22" s="142"/>
      <c r="QH22" s="142"/>
      <c r="QI22" s="142"/>
      <c r="QJ22" s="142"/>
      <c r="QK22" s="142"/>
      <c r="QL22" s="142"/>
      <c r="QM22" s="142"/>
      <c r="QN22" s="142"/>
      <c r="QO22" s="142"/>
      <c r="QP22" s="142"/>
      <c r="QQ22" s="142"/>
      <c r="QR22" s="142"/>
      <c r="QS22" s="142"/>
      <c r="QT22" s="142"/>
      <c r="QU22" s="142"/>
      <c r="QV22" s="142"/>
      <c r="QW22" s="142"/>
      <c r="QX22" s="142"/>
      <c r="QY22" s="142"/>
      <c r="QZ22" s="142"/>
      <c r="RA22" s="142"/>
      <c r="RB22" s="142"/>
      <c r="RC22" s="142"/>
      <c r="RD22" s="142"/>
      <c r="RE22" s="142"/>
      <c r="RF22" s="142"/>
      <c r="RG22" s="142"/>
      <c r="RH22" s="142"/>
      <c r="RI22" s="142"/>
      <c r="RJ22" s="142"/>
      <c r="RK22" s="142"/>
      <c r="RL22" s="142"/>
      <c r="RM22" s="142"/>
      <c r="RN22" s="142"/>
      <c r="RO22" s="142"/>
      <c r="RP22" s="142"/>
      <c r="RQ22" s="142"/>
      <c r="RR22" s="142"/>
      <c r="RS22" s="142"/>
      <c r="RT22" s="142"/>
      <c r="RU22" s="142"/>
      <c r="RV22" s="142"/>
      <c r="RW22" s="142"/>
      <c r="RX22" s="142"/>
      <c r="RY22" s="142"/>
      <c r="RZ22" s="142"/>
      <c r="SA22" s="142"/>
      <c r="SB22" s="142"/>
      <c r="SC22" s="142"/>
      <c r="SD22" s="142"/>
      <c r="SE22" s="142"/>
      <c r="SF22" s="142"/>
      <c r="SG22" s="142"/>
      <c r="SH22" s="142"/>
      <c r="SI22" s="142"/>
      <c r="SJ22" s="142"/>
      <c r="SK22" s="142"/>
      <c r="SL22" s="142"/>
      <c r="SM22" s="142"/>
      <c r="SN22" s="142"/>
      <c r="SO22" s="142"/>
      <c r="SP22" s="142"/>
      <c r="SQ22" s="142"/>
      <c r="SR22" s="142"/>
      <c r="SS22" s="142"/>
      <c r="ST22" s="142"/>
      <c r="SU22" s="142"/>
      <c r="SV22" s="142"/>
      <c r="SW22" s="142"/>
      <c r="SX22" s="142"/>
      <c r="SY22" s="142"/>
      <c r="SZ22" s="142"/>
      <c r="TA22" s="142"/>
      <c r="TB22" s="142"/>
      <c r="TC22" s="142"/>
      <c r="TD22" s="142"/>
      <c r="TE22" s="142"/>
      <c r="TF22" s="142"/>
      <c r="TG22" s="142"/>
      <c r="TH22" s="142"/>
      <c r="TI22" s="142"/>
      <c r="TJ22" s="142"/>
      <c r="TK22" s="142"/>
      <c r="TL22" s="142"/>
      <c r="TM22" s="142"/>
      <c r="TN22" s="142"/>
      <c r="TO22" s="142"/>
      <c r="TP22" s="142"/>
      <c r="TQ22" s="142"/>
      <c r="TR22" s="142"/>
      <c r="TS22" s="142"/>
      <c r="TT22" s="142"/>
      <c r="TU22" s="142"/>
      <c r="TV22" s="142"/>
      <c r="TW22" s="142"/>
      <c r="TX22" s="142"/>
      <c r="TY22" s="142"/>
      <c r="TZ22" s="142"/>
      <c r="UA22" s="142"/>
      <c r="UB22" s="142"/>
      <c r="UC22" s="142"/>
      <c r="UD22" s="142"/>
      <c r="UE22" s="142"/>
      <c r="UF22" s="142"/>
      <c r="UG22" s="142"/>
      <c r="UH22" s="142"/>
      <c r="UI22" s="142"/>
      <c r="UJ22" s="142"/>
      <c r="UK22" s="142"/>
      <c r="UL22" s="142"/>
      <c r="UM22" s="142"/>
      <c r="UN22" s="142"/>
      <c r="UO22" s="142"/>
      <c r="UP22" s="142"/>
      <c r="UQ22" s="142"/>
      <c r="UR22" s="142"/>
      <c r="US22" s="142"/>
      <c r="UT22" s="142"/>
      <c r="UU22" s="142"/>
      <c r="UV22" s="142"/>
      <c r="UW22" s="142"/>
      <c r="UX22" s="142"/>
      <c r="UY22" s="142"/>
      <c r="UZ22" s="142"/>
      <c r="VA22" s="142"/>
      <c r="VB22" s="142"/>
      <c r="VC22" s="142"/>
      <c r="VD22" s="142"/>
      <c r="VE22" s="142"/>
      <c r="VF22" s="142"/>
      <c r="VG22" s="142"/>
      <c r="VH22" s="142"/>
      <c r="VI22" s="142"/>
      <c r="VJ22" s="142"/>
      <c r="VK22" s="142"/>
      <c r="VL22" s="142"/>
      <c r="VM22" s="142"/>
      <c r="VN22" s="142"/>
      <c r="VO22" s="142"/>
      <c r="VP22" s="142"/>
      <c r="VQ22" s="142"/>
      <c r="VR22" s="142"/>
      <c r="VS22" s="142"/>
      <c r="VT22" s="142"/>
      <c r="VU22" s="142"/>
      <c r="VV22" s="142"/>
      <c r="VW22" s="142"/>
      <c r="VX22" s="142"/>
      <c r="VY22" s="142"/>
      <c r="VZ22" s="142"/>
      <c r="WA22" s="142"/>
      <c r="WB22" s="142"/>
      <c r="WC22" s="142"/>
      <c r="WD22" s="142"/>
      <c r="WE22" s="142"/>
      <c r="WF22" s="142"/>
      <c r="WG22" s="142"/>
      <c r="WH22" s="142"/>
      <c r="WI22" s="142"/>
      <c r="WJ22" s="142"/>
      <c r="WK22" s="142"/>
      <c r="WL22" s="142"/>
      <c r="WM22" s="142"/>
      <c r="WN22" s="142"/>
      <c r="WO22" s="142"/>
      <c r="WP22" s="142"/>
      <c r="WQ22" s="142"/>
      <c r="WR22" s="142"/>
      <c r="WS22" s="142"/>
      <c r="WT22" s="142"/>
      <c r="WU22" s="142"/>
      <c r="WV22" s="142"/>
      <c r="WW22" s="142"/>
      <c r="WX22" s="142"/>
      <c r="WY22" s="142"/>
      <c r="WZ22" s="142"/>
      <c r="XA22" s="142"/>
      <c r="XB22" s="142"/>
      <c r="XC22" s="142"/>
      <c r="XD22" s="142"/>
      <c r="XE22" s="142"/>
      <c r="XF22" s="142"/>
      <c r="XG22" s="142"/>
      <c r="XH22" s="142"/>
      <c r="XI22" s="142"/>
      <c r="XJ22" s="142"/>
      <c r="XK22" s="142"/>
      <c r="XL22" s="142"/>
      <c r="XM22" s="142"/>
      <c r="XN22" s="142"/>
      <c r="XO22" s="142"/>
      <c r="XP22" s="142"/>
      <c r="XQ22" s="142"/>
      <c r="XR22" s="142"/>
      <c r="XS22" s="142"/>
      <c r="XT22" s="142"/>
      <c r="XU22" s="142"/>
      <c r="XV22" s="142"/>
      <c r="XW22" s="142"/>
      <c r="XX22" s="142"/>
      <c r="XY22" s="142"/>
      <c r="XZ22" s="142"/>
      <c r="YA22" s="142"/>
      <c r="YB22" s="142"/>
      <c r="YC22" s="142"/>
      <c r="YD22" s="142"/>
      <c r="YE22" s="142"/>
      <c r="YF22" s="142"/>
      <c r="YG22" s="142"/>
      <c r="YH22" s="142"/>
      <c r="YI22" s="142"/>
      <c r="YJ22" s="142"/>
      <c r="YK22" s="142"/>
      <c r="YL22" s="142"/>
      <c r="YM22" s="142"/>
      <c r="YN22" s="142"/>
      <c r="YO22" s="142"/>
      <c r="YP22" s="142"/>
      <c r="YQ22" s="142"/>
      <c r="YR22" s="142"/>
      <c r="YS22" s="142"/>
      <c r="YT22" s="142"/>
      <c r="YU22" s="142"/>
      <c r="YV22" s="142"/>
      <c r="YW22" s="142"/>
      <c r="YX22" s="142"/>
      <c r="YY22" s="142"/>
      <c r="YZ22" s="142"/>
      <c r="ZA22" s="142"/>
      <c r="ZB22" s="142"/>
      <c r="ZC22" s="142"/>
      <c r="ZD22" s="142"/>
      <c r="ZE22" s="142"/>
      <c r="ZF22" s="142"/>
      <c r="ZG22" s="142"/>
      <c r="ZH22" s="142"/>
      <c r="ZI22" s="142"/>
      <c r="ZJ22" s="142"/>
      <c r="ZK22" s="142"/>
      <c r="ZL22" s="142"/>
      <c r="ZM22" s="142"/>
      <c r="ZN22" s="142"/>
      <c r="ZO22" s="142"/>
      <c r="ZP22" s="142"/>
      <c r="ZQ22" s="142"/>
      <c r="ZR22" s="142"/>
      <c r="ZS22" s="142"/>
      <c r="ZT22" s="142"/>
      <c r="ZU22" s="142"/>
      <c r="ZV22" s="142"/>
      <c r="ZW22" s="142"/>
      <c r="ZX22" s="142"/>
      <c r="ZY22" s="142"/>
      <c r="ZZ22" s="142"/>
      <c r="AAA22" s="142"/>
      <c r="AAB22" s="142"/>
      <c r="AAC22" s="142"/>
      <c r="AAD22" s="142"/>
      <c r="AAE22" s="142"/>
      <c r="AAF22" s="142"/>
      <c r="AAG22" s="142"/>
      <c r="AAH22" s="142"/>
      <c r="AAI22" s="142"/>
      <c r="AAJ22" s="142"/>
      <c r="AAK22" s="142"/>
      <c r="AAL22" s="142"/>
      <c r="AAM22" s="142"/>
      <c r="AAN22" s="142"/>
      <c r="AAO22" s="142"/>
      <c r="AAP22" s="142"/>
      <c r="AAQ22" s="142"/>
      <c r="AAR22" s="142"/>
      <c r="AAS22" s="142"/>
      <c r="AAT22" s="142"/>
      <c r="AAU22" s="142"/>
      <c r="AAV22" s="142"/>
      <c r="AAW22" s="142"/>
      <c r="AAX22" s="142"/>
      <c r="AAY22" s="142"/>
      <c r="AAZ22" s="142"/>
      <c r="ABA22" s="142"/>
      <c r="ABB22" s="142"/>
      <c r="ABC22" s="142"/>
      <c r="ABD22" s="142"/>
      <c r="ABE22" s="142"/>
      <c r="ABF22" s="142"/>
      <c r="ABG22" s="142"/>
      <c r="ABH22" s="142"/>
      <c r="ABI22" s="142"/>
      <c r="ABJ22" s="142"/>
      <c r="ABK22" s="142"/>
      <c r="ABL22" s="142"/>
      <c r="ABM22" s="142"/>
      <c r="ABN22" s="142"/>
      <c r="ABO22" s="142"/>
      <c r="ABP22" s="142"/>
      <c r="ABQ22" s="142"/>
      <c r="ABR22" s="142"/>
      <c r="ABS22" s="142"/>
      <c r="ABT22" s="142"/>
      <c r="ABU22" s="142"/>
      <c r="ABV22" s="142"/>
      <c r="ABW22" s="142"/>
      <c r="ABX22" s="142"/>
      <c r="ABY22" s="142"/>
      <c r="ABZ22" s="142"/>
      <c r="ACA22" s="142"/>
      <c r="ACB22" s="142"/>
      <c r="ACC22" s="142"/>
      <c r="ACD22" s="142"/>
      <c r="ACE22" s="142"/>
      <c r="ACF22" s="142"/>
      <c r="ACG22" s="142"/>
      <c r="ACH22" s="142"/>
      <c r="ACI22" s="142"/>
      <c r="ACJ22" s="142"/>
      <c r="ACK22" s="142"/>
      <c r="ACL22" s="142"/>
      <c r="ACM22" s="142"/>
      <c r="ACN22" s="142"/>
      <c r="ACO22" s="142"/>
      <c r="ACP22" s="142"/>
      <c r="ACQ22" s="142"/>
      <c r="ACR22" s="142"/>
      <c r="ACS22" s="142"/>
      <c r="ACT22" s="142"/>
      <c r="ACU22" s="142"/>
      <c r="ACV22" s="142"/>
      <c r="ACW22" s="142"/>
      <c r="ACX22" s="142"/>
      <c r="ACY22" s="142"/>
      <c r="ACZ22" s="142"/>
      <c r="ADA22" s="142"/>
      <c r="ADB22" s="142"/>
      <c r="ADC22" s="142"/>
      <c r="ADD22" s="142"/>
      <c r="ADE22" s="142"/>
      <c r="ADF22" s="142"/>
      <c r="ADG22" s="142"/>
      <c r="ADH22" s="142"/>
      <c r="ADI22" s="142"/>
      <c r="ADJ22" s="142"/>
      <c r="ADK22" s="142"/>
      <c r="ADL22" s="142"/>
      <c r="ADM22" s="142"/>
      <c r="ADN22" s="142"/>
      <c r="ADO22" s="142"/>
      <c r="ADP22" s="142"/>
      <c r="ADQ22" s="142"/>
      <c r="ADR22" s="142"/>
      <c r="ADS22" s="142"/>
      <c r="ADT22" s="142"/>
      <c r="ADU22" s="142"/>
      <c r="ADV22" s="142"/>
      <c r="ADW22" s="142"/>
      <c r="ADX22" s="142"/>
      <c r="ADY22" s="142"/>
      <c r="ADZ22" s="142"/>
      <c r="AEA22" s="142"/>
      <c r="AEB22" s="142"/>
      <c r="AEC22" s="142"/>
      <c r="AED22" s="142"/>
      <c r="AEE22" s="142"/>
      <c r="AEF22" s="142"/>
      <c r="AEG22" s="142"/>
      <c r="AEH22" s="142"/>
      <c r="AEI22" s="142"/>
      <c r="AEJ22" s="142"/>
      <c r="AEK22" s="142"/>
      <c r="AEL22" s="142"/>
      <c r="AEM22" s="142"/>
      <c r="AEN22" s="142"/>
      <c r="AEO22" s="142"/>
      <c r="AEP22" s="142"/>
      <c r="AEQ22" s="142"/>
      <c r="AER22" s="142"/>
      <c r="AES22" s="142"/>
      <c r="AET22" s="142"/>
      <c r="AEU22" s="142"/>
      <c r="AEV22" s="142"/>
      <c r="AEW22" s="142"/>
      <c r="AEX22" s="142"/>
      <c r="AEY22" s="142"/>
      <c r="AEZ22" s="142"/>
      <c r="AFA22" s="142"/>
      <c r="AFB22" s="142"/>
      <c r="AFC22" s="142"/>
      <c r="AFD22" s="142"/>
      <c r="AFE22" s="142"/>
      <c r="AFF22" s="142"/>
      <c r="AFG22" s="142"/>
      <c r="AFH22" s="142"/>
      <c r="AFI22" s="142"/>
      <c r="AFJ22" s="142"/>
      <c r="AFK22" s="142"/>
      <c r="AFL22" s="142"/>
      <c r="AFM22" s="142"/>
      <c r="AFN22" s="142"/>
      <c r="AFO22" s="142"/>
      <c r="AFP22" s="142"/>
      <c r="AFQ22" s="142"/>
      <c r="AFR22" s="142"/>
      <c r="AFS22" s="142"/>
      <c r="AFT22" s="142"/>
      <c r="AFU22" s="142"/>
      <c r="AFV22" s="142"/>
      <c r="AFW22" s="142"/>
      <c r="AFX22" s="142"/>
      <c r="AFY22" s="142"/>
      <c r="AFZ22" s="142"/>
      <c r="AGA22" s="142"/>
      <c r="AGB22" s="142"/>
      <c r="AGC22" s="142"/>
      <c r="AGD22" s="142"/>
      <c r="AGE22" s="142"/>
      <c r="AGF22" s="142"/>
      <c r="AGG22" s="142"/>
      <c r="AGH22" s="142"/>
      <c r="AGI22" s="142"/>
      <c r="AGJ22" s="142"/>
      <c r="AGK22" s="142"/>
      <c r="AGL22" s="142"/>
      <c r="AGM22" s="142"/>
      <c r="AGN22" s="142"/>
      <c r="AGO22" s="142"/>
      <c r="AGP22" s="142"/>
      <c r="AGQ22" s="142"/>
      <c r="AGR22" s="142"/>
      <c r="AGS22" s="142"/>
      <c r="AGT22" s="142"/>
      <c r="AGU22" s="142"/>
      <c r="AGV22" s="142"/>
      <c r="AGW22" s="142"/>
      <c r="AGX22" s="142"/>
      <c r="AGY22" s="142"/>
      <c r="AGZ22" s="142"/>
      <c r="AHA22" s="142"/>
      <c r="AHB22" s="142"/>
      <c r="AHC22" s="142"/>
      <c r="AHD22" s="142"/>
      <c r="AHE22" s="142"/>
      <c r="AHF22" s="142"/>
      <c r="AHG22" s="142"/>
      <c r="AHH22" s="142"/>
      <c r="AHI22" s="142"/>
      <c r="AHJ22" s="142"/>
      <c r="AHK22" s="142"/>
      <c r="AHL22" s="142"/>
      <c r="AHM22" s="142"/>
      <c r="AHN22" s="142"/>
      <c r="AHO22" s="142"/>
      <c r="AHP22" s="142"/>
      <c r="AHQ22" s="142"/>
      <c r="AHR22" s="142"/>
      <c r="AHS22" s="142"/>
      <c r="AHT22" s="142"/>
      <c r="AHU22" s="142"/>
      <c r="AHV22" s="142"/>
      <c r="AHW22" s="142"/>
      <c r="AHX22" s="142"/>
      <c r="AHY22" s="142"/>
      <c r="AHZ22" s="142"/>
      <c r="AIA22" s="142"/>
      <c r="AIB22" s="142"/>
      <c r="AIC22" s="142"/>
      <c r="AID22" s="142"/>
      <c r="AIE22" s="142"/>
      <c r="AIF22" s="142"/>
      <c r="AIG22" s="142"/>
      <c r="AIH22" s="142"/>
      <c r="AII22" s="142"/>
      <c r="AIJ22" s="142"/>
      <c r="AIK22" s="142"/>
      <c r="AIL22" s="142"/>
      <c r="AIM22" s="142"/>
      <c r="AIN22" s="142"/>
      <c r="AIO22" s="142"/>
      <c r="AIP22" s="142"/>
      <c r="AIQ22" s="142"/>
      <c r="AIR22" s="142"/>
      <c r="AIS22" s="142"/>
      <c r="AIT22" s="142"/>
      <c r="AIU22" s="142"/>
      <c r="AIV22" s="142"/>
      <c r="AIW22" s="142"/>
      <c r="AIX22" s="142"/>
      <c r="AIY22" s="142"/>
      <c r="AIZ22" s="142"/>
      <c r="AJA22" s="142"/>
      <c r="AJB22" s="142"/>
      <c r="AJC22" s="142"/>
      <c r="AJD22" s="142"/>
      <c r="AJE22" s="142"/>
      <c r="AJF22" s="142"/>
      <c r="AJG22" s="142"/>
      <c r="AJH22" s="142"/>
      <c r="AJI22" s="142"/>
      <c r="AJJ22" s="142"/>
      <c r="AJK22" s="142"/>
      <c r="AJL22" s="142"/>
      <c r="AJM22" s="142"/>
      <c r="AJN22" s="142"/>
      <c r="AJO22" s="142"/>
      <c r="AJP22" s="142"/>
      <c r="AJQ22" s="142"/>
      <c r="AJR22" s="142"/>
      <c r="AJS22" s="142"/>
      <c r="AJT22" s="142"/>
      <c r="AJU22" s="142"/>
      <c r="AJV22" s="142"/>
      <c r="AJW22" s="142"/>
      <c r="AJX22" s="142"/>
      <c r="AJY22" s="142"/>
      <c r="AJZ22" s="142"/>
      <c r="AKA22" s="142"/>
      <c r="AKB22" s="142"/>
      <c r="AKC22" s="142"/>
      <c r="AKD22" s="142"/>
      <c r="AKE22" s="142"/>
      <c r="AKF22" s="142"/>
      <c r="AKG22" s="142"/>
      <c r="AKH22" s="142"/>
      <c r="AKI22" s="142"/>
      <c r="AKJ22" s="142"/>
      <c r="AKK22" s="142"/>
      <c r="AKL22" s="142"/>
      <c r="AKM22" s="142"/>
      <c r="AKN22" s="142"/>
      <c r="AKO22" s="142"/>
      <c r="AKP22" s="142"/>
      <c r="AKQ22" s="142"/>
      <c r="AKR22" s="142"/>
      <c r="AKS22" s="142"/>
      <c r="AKT22" s="142"/>
      <c r="AKU22" s="142"/>
      <c r="AKV22" s="142"/>
      <c r="AKW22" s="142"/>
      <c r="AKX22" s="142"/>
      <c r="AKY22" s="142"/>
      <c r="AKZ22" s="142"/>
      <c r="ALA22" s="142"/>
      <c r="ALB22" s="142"/>
      <c r="ALC22" s="142"/>
      <c r="ALD22" s="142"/>
      <c r="ALE22" s="142"/>
      <c r="ALF22" s="142"/>
      <c r="ALG22" s="142"/>
      <c r="ALH22" s="142"/>
      <c r="ALI22" s="142"/>
      <c r="ALJ22" s="142"/>
      <c r="ALK22" s="142"/>
      <c r="ALL22" s="142"/>
      <c r="ALM22" s="142"/>
      <c r="ALN22" s="142"/>
      <c r="ALO22" s="142"/>
      <c r="ALP22" s="142"/>
      <c r="ALQ22" s="142"/>
      <c r="ALR22" s="142"/>
      <c r="ALS22" s="142"/>
      <c r="ALT22" s="142"/>
      <c r="ALU22" s="142"/>
      <c r="ALV22" s="142"/>
      <c r="ALW22" s="142"/>
      <c r="ALX22" s="142"/>
      <c r="ALY22" s="142"/>
      <c r="ALZ22" s="142"/>
      <c r="AMA22" s="142"/>
      <c r="AMB22" s="142"/>
      <c r="AMC22" s="142"/>
      <c r="AMD22" s="142"/>
      <c r="AME22" s="142"/>
      <c r="AMF22" s="142"/>
      <c r="AMG22" s="142"/>
      <c r="AMH22" s="142"/>
      <c r="AMI22" s="142"/>
      <c r="AMJ22" s="142"/>
      <c r="AMK22" s="142"/>
      <c r="AML22" s="142"/>
      <c r="AMM22" s="142"/>
      <c r="AMN22" s="142"/>
      <c r="AMO22" s="142"/>
      <c r="AMP22" s="142"/>
      <c r="AMQ22" s="142"/>
      <c r="AMR22" s="142"/>
      <c r="AMS22" s="142"/>
      <c r="AMT22" s="142"/>
      <c r="AMU22" s="142"/>
      <c r="AMV22" s="142"/>
      <c r="AMW22" s="142"/>
      <c r="AMX22" s="142"/>
      <c r="AMY22" s="142"/>
      <c r="AMZ22" s="142"/>
      <c r="ANA22" s="142"/>
      <c r="ANB22" s="142"/>
      <c r="ANC22" s="142"/>
      <c r="AND22" s="142"/>
      <c r="ANE22" s="142"/>
      <c r="ANF22" s="142"/>
      <c r="ANG22" s="142"/>
      <c r="ANH22" s="142"/>
      <c r="ANI22" s="142"/>
      <c r="ANJ22" s="142"/>
      <c r="ANK22" s="142"/>
      <c r="ANL22" s="142"/>
      <c r="ANM22" s="142"/>
      <c r="ANN22" s="142"/>
      <c r="ANO22" s="142"/>
      <c r="ANP22" s="142"/>
      <c r="ANQ22" s="142"/>
      <c r="ANR22" s="142"/>
      <c r="ANS22" s="142"/>
      <c r="ANT22" s="142"/>
      <c r="ANU22" s="142"/>
      <c r="ANV22" s="142"/>
      <c r="ANW22" s="142"/>
      <c r="ANX22" s="142"/>
      <c r="ANY22" s="142"/>
      <c r="ANZ22" s="142"/>
      <c r="AOA22" s="142"/>
      <c r="AOB22" s="142"/>
      <c r="AOC22" s="142"/>
      <c r="AOD22" s="142"/>
      <c r="AOE22" s="142"/>
      <c r="AOF22" s="142"/>
      <c r="AOG22" s="142"/>
      <c r="AOH22" s="142"/>
      <c r="AOI22" s="142"/>
      <c r="AOJ22" s="142"/>
      <c r="AOK22" s="142"/>
      <c r="AOL22" s="142"/>
      <c r="AOM22" s="142"/>
      <c r="AON22" s="142"/>
      <c r="AOO22" s="142"/>
      <c r="AOP22" s="142"/>
      <c r="AOQ22" s="142"/>
      <c r="AOR22" s="142"/>
      <c r="AOS22" s="142"/>
      <c r="AOT22" s="142"/>
      <c r="AOU22" s="142"/>
      <c r="AOV22" s="142"/>
      <c r="AOW22" s="142"/>
      <c r="AOX22" s="142"/>
      <c r="AOY22" s="142"/>
      <c r="AOZ22" s="142"/>
      <c r="APA22" s="142"/>
      <c r="APB22" s="142"/>
      <c r="APC22" s="142"/>
      <c r="APD22" s="142"/>
      <c r="APE22" s="142"/>
      <c r="APF22" s="142"/>
      <c r="APG22" s="142"/>
      <c r="APH22" s="142"/>
      <c r="API22" s="142"/>
      <c r="APJ22" s="142"/>
      <c r="APK22" s="142"/>
      <c r="APL22" s="142"/>
      <c r="APM22" s="142"/>
      <c r="APN22" s="142"/>
      <c r="APO22" s="142"/>
      <c r="APP22" s="142"/>
      <c r="APQ22" s="142"/>
      <c r="APR22" s="142"/>
      <c r="APS22" s="142"/>
      <c r="APT22" s="142"/>
      <c r="APU22" s="142"/>
      <c r="APV22" s="142"/>
      <c r="APW22" s="142"/>
      <c r="APX22" s="142"/>
      <c r="APY22" s="142"/>
      <c r="APZ22" s="142"/>
      <c r="AQA22" s="142"/>
      <c r="AQB22" s="142"/>
      <c r="AQC22" s="142"/>
      <c r="AQD22" s="142"/>
      <c r="AQE22" s="142"/>
      <c r="AQF22" s="142"/>
      <c r="AQG22" s="142"/>
      <c r="AQH22" s="142"/>
      <c r="AQI22" s="142"/>
      <c r="AQJ22" s="142"/>
      <c r="AQK22" s="142"/>
      <c r="AQL22" s="142"/>
      <c r="AQM22" s="142"/>
      <c r="AQN22" s="142"/>
      <c r="AQO22" s="142"/>
      <c r="AQP22" s="142"/>
      <c r="AQQ22" s="142"/>
      <c r="AQR22" s="142"/>
      <c r="AQS22" s="142"/>
      <c r="AQT22" s="142"/>
      <c r="AQU22" s="142"/>
      <c r="AQV22" s="142"/>
      <c r="AQW22" s="142"/>
      <c r="AQX22" s="142"/>
      <c r="AQY22" s="142"/>
      <c r="AQZ22" s="142"/>
      <c r="ARA22" s="142"/>
      <c r="ARB22" s="142"/>
      <c r="ARC22" s="142"/>
      <c r="ARD22" s="142"/>
      <c r="ARE22" s="142"/>
      <c r="ARF22" s="142"/>
      <c r="ARG22" s="142"/>
      <c r="ARH22" s="142"/>
      <c r="ARI22" s="142"/>
      <c r="ARJ22" s="142"/>
      <c r="ARK22" s="142"/>
      <c r="ARL22" s="142"/>
      <c r="ARM22" s="142"/>
      <c r="ARN22" s="142"/>
      <c r="ARO22" s="142"/>
      <c r="ARP22" s="142"/>
      <c r="ARQ22" s="142"/>
      <c r="ARR22" s="142"/>
      <c r="ARS22" s="142"/>
      <c r="ART22" s="142"/>
      <c r="ARU22" s="142"/>
      <c r="ARV22" s="142"/>
      <c r="ARW22" s="142"/>
      <c r="ARX22" s="142"/>
      <c r="ARY22" s="142"/>
      <c r="ARZ22" s="142"/>
      <c r="ASA22" s="142"/>
      <c r="ASB22" s="142"/>
      <c r="ASC22" s="142"/>
      <c r="ASD22" s="142"/>
      <c r="ASE22" s="142"/>
      <c r="ASF22" s="142"/>
      <c r="ASG22" s="142"/>
      <c r="ASH22" s="142"/>
      <c r="ASI22" s="142"/>
      <c r="ASJ22" s="142"/>
      <c r="ASK22" s="142"/>
      <c r="ASL22" s="142"/>
      <c r="ASM22" s="142"/>
      <c r="ASN22" s="142"/>
      <c r="ASO22" s="142"/>
      <c r="ASP22" s="142"/>
      <c r="ASQ22" s="142"/>
      <c r="ASR22" s="142"/>
      <c r="ASS22" s="142"/>
      <c r="AST22" s="142"/>
      <c r="ASU22" s="142"/>
      <c r="ASV22" s="142"/>
      <c r="ASW22" s="142"/>
      <c r="ASX22" s="142"/>
      <c r="ASY22" s="142"/>
      <c r="ASZ22" s="142"/>
      <c r="ATA22" s="142"/>
      <c r="ATB22" s="142"/>
      <c r="ATC22" s="142"/>
      <c r="ATD22" s="142"/>
      <c r="ATE22" s="142"/>
      <c r="ATF22" s="142"/>
      <c r="ATG22" s="142"/>
      <c r="ATH22" s="142"/>
      <c r="ATI22" s="142"/>
      <c r="ATJ22" s="142"/>
      <c r="ATK22" s="142"/>
      <c r="ATL22" s="142"/>
      <c r="ATM22" s="142"/>
      <c r="ATN22" s="142"/>
      <c r="ATO22" s="142"/>
      <c r="ATP22" s="142"/>
      <c r="ATQ22" s="142"/>
      <c r="ATR22" s="142"/>
      <c r="ATS22" s="142"/>
      <c r="ATT22" s="142"/>
      <c r="ATU22" s="142"/>
      <c r="ATV22" s="142"/>
      <c r="ATW22" s="142"/>
      <c r="ATX22" s="142"/>
      <c r="ATY22" s="142"/>
      <c r="ATZ22" s="142"/>
      <c r="AUA22" s="142"/>
      <c r="AUB22" s="142"/>
      <c r="AUC22" s="142"/>
      <c r="AUD22" s="142"/>
      <c r="AUE22" s="142"/>
      <c r="AUF22" s="142"/>
      <c r="AUG22" s="142"/>
      <c r="AUH22" s="142"/>
      <c r="AUI22" s="142"/>
      <c r="AUJ22" s="142"/>
      <c r="AUK22" s="142"/>
      <c r="AUL22" s="142"/>
      <c r="AUM22" s="142"/>
      <c r="AUN22" s="142"/>
      <c r="AUO22" s="142"/>
      <c r="AUP22" s="142"/>
      <c r="AUQ22" s="142"/>
      <c r="AUR22" s="142"/>
      <c r="AUS22" s="142"/>
      <c r="AUT22" s="142"/>
      <c r="AUU22" s="142"/>
      <c r="AUV22" s="142"/>
      <c r="AUW22" s="142"/>
      <c r="AUX22" s="142"/>
      <c r="AUY22" s="142"/>
      <c r="AUZ22" s="142"/>
      <c r="AVA22" s="142"/>
      <c r="AVB22" s="142"/>
      <c r="AVC22" s="142"/>
      <c r="AVD22" s="142"/>
      <c r="AVE22" s="142"/>
      <c r="AVF22" s="142"/>
      <c r="AVG22" s="142"/>
      <c r="AVH22" s="142"/>
      <c r="AVI22" s="142"/>
      <c r="AVJ22" s="142"/>
      <c r="AVK22" s="142"/>
      <c r="AVL22" s="142"/>
      <c r="AVM22" s="142"/>
      <c r="AVN22" s="142"/>
      <c r="AVO22" s="142"/>
      <c r="AVP22" s="142"/>
      <c r="AVQ22" s="142"/>
      <c r="AVR22" s="142"/>
      <c r="AVS22" s="142"/>
      <c r="AVT22" s="142"/>
      <c r="AVU22" s="142"/>
      <c r="AVV22" s="142"/>
      <c r="AVW22" s="142"/>
      <c r="AVX22" s="142"/>
      <c r="AVY22" s="142"/>
      <c r="AVZ22" s="142"/>
      <c r="AWA22" s="142"/>
      <c r="AWB22" s="142"/>
      <c r="AWC22" s="142"/>
      <c r="AWD22" s="142"/>
      <c r="AWE22" s="142"/>
      <c r="AWF22" s="142"/>
      <c r="AWG22" s="142"/>
      <c r="AWH22" s="142"/>
      <c r="AWI22" s="142"/>
      <c r="AWJ22" s="142"/>
      <c r="AWK22" s="142"/>
      <c r="AWL22" s="142"/>
      <c r="AWM22" s="142"/>
      <c r="AWN22" s="142"/>
      <c r="AWO22" s="142"/>
      <c r="AWP22" s="142"/>
      <c r="AWQ22" s="142"/>
      <c r="AWR22" s="142"/>
      <c r="AWS22" s="142"/>
      <c r="AWT22" s="142"/>
      <c r="AWU22" s="142"/>
      <c r="AWV22" s="142"/>
      <c r="AWW22" s="142"/>
      <c r="AWX22" s="142"/>
      <c r="AWY22" s="142"/>
      <c r="AWZ22" s="142"/>
      <c r="AXA22" s="142"/>
      <c r="AXB22" s="142"/>
      <c r="AXC22" s="142"/>
      <c r="AXD22" s="142"/>
      <c r="AXE22" s="142"/>
      <c r="AXF22" s="142"/>
      <c r="AXG22" s="142"/>
      <c r="AXH22" s="142"/>
      <c r="AXI22" s="142"/>
      <c r="AXJ22" s="142"/>
      <c r="AXK22" s="142"/>
      <c r="AXL22" s="142"/>
      <c r="AXM22" s="142"/>
      <c r="AXN22" s="142"/>
      <c r="AXO22" s="142"/>
      <c r="AXP22" s="142"/>
      <c r="AXQ22" s="142"/>
      <c r="AXR22" s="142"/>
      <c r="AXS22" s="142"/>
      <c r="AXT22" s="142"/>
      <c r="AXU22" s="142"/>
      <c r="AXV22" s="142"/>
      <c r="AXW22" s="142"/>
      <c r="AXX22" s="142"/>
      <c r="AXY22" s="142"/>
      <c r="AXZ22" s="142"/>
      <c r="AYA22" s="142"/>
      <c r="AYB22" s="142"/>
      <c r="AYC22" s="142"/>
      <c r="AYD22" s="142"/>
      <c r="AYE22" s="142"/>
      <c r="AYF22" s="142"/>
      <c r="AYG22" s="142"/>
      <c r="AYH22" s="142"/>
      <c r="AYI22" s="142"/>
      <c r="AYJ22" s="142"/>
      <c r="AYK22" s="142"/>
      <c r="AYL22" s="142"/>
      <c r="AYM22" s="142"/>
      <c r="AYN22" s="142"/>
      <c r="AYO22" s="142"/>
      <c r="AYP22" s="142"/>
      <c r="AYQ22" s="142"/>
      <c r="AYR22" s="142"/>
      <c r="AYS22" s="142"/>
      <c r="AYT22" s="142"/>
      <c r="AYU22" s="142"/>
      <c r="AYV22" s="142"/>
      <c r="AYW22" s="142"/>
      <c r="AYX22" s="142"/>
      <c r="AYY22" s="142"/>
      <c r="AYZ22" s="142"/>
      <c r="AZA22" s="142"/>
      <c r="AZB22" s="142"/>
      <c r="AZC22" s="142"/>
      <c r="AZD22" s="142"/>
      <c r="AZE22" s="142"/>
      <c r="AZF22" s="142"/>
      <c r="AZG22" s="142"/>
      <c r="AZH22" s="142"/>
      <c r="AZI22" s="142"/>
      <c r="AZJ22" s="142"/>
      <c r="AZK22" s="142"/>
      <c r="AZL22" s="142"/>
      <c r="AZM22" s="142"/>
      <c r="AZN22" s="142"/>
      <c r="AZO22" s="142"/>
      <c r="AZP22" s="142"/>
      <c r="AZQ22" s="142"/>
      <c r="AZR22" s="142"/>
      <c r="AZS22" s="142"/>
      <c r="AZT22" s="142"/>
      <c r="AZU22" s="142"/>
      <c r="AZV22" s="142"/>
      <c r="AZW22" s="142"/>
      <c r="AZX22" s="142"/>
      <c r="AZY22" s="142"/>
      <c r="AZZ22" s="142"/>
      <c r="BAA22" s="142"/>
      <c r="BAB22" s="142"/>
      <c r="BAC22" s="142"/>
      <c r="BAD22" s="142"/>
      <c r="BAE22" s="142"/>
      <c r="BAF22" s="142"/>
      <c r="BAG22" s="142"/>
      <c r="BAH22" s="142"/>
      <c r="BAI22" s="142"/>
      <c r="BAJ22" s="142"/>
      <c r="BAK22" s="142"/>
      <c r="BAL22" s="142"/>
      <c r="BAM22" s="142"/>
      <c r="BAN22" s="142"/>
      <c r="BAO22" s="142"/>
      <c r="BAP22" s="142"/>
      <c r="BAQ22" s="142"/>
      <c r="BAR22" s="142"/>
      <c r="BAS22" s="142"/>
      <c r="BAT22" s="142"/>
      <c r="BAU22" s="142"/>
      <c r="BAV22" s="142"/>
      <c r="BAW22" s="142"/>
      <c r="BAX22" s="142"/>
      <c r="BAY22" s="142"/>
      <c r="BAZ22" s="142"/>
      <c r="BBA22" s="142"/>
      <c r="BBB22" s="142"/>
      <c r="BBC22" s="142"/>
      <c r="BBD22" s="142"/>
      <c r="BBE22" s="142"/>
      <c r="BBF22" s="142"/>
      <c r="BBG22" s="142"/>
      <c r="BBH22" s="142"/>
      <c r="BBI22" s="142"/>
      <c r="BBJ22" s="142"/>
      <c r="BBK22" s="142"/>
      <c r="BBL22" s="142"/>
      <c r="BBM22" s="142"/>
      <c r="BBN22" s="142"/>
      <c r="BBO22" s="142"/>
      <c r="BBP22" s="142"/>
      <c r="BBQ22" s="142"/>
      <c r="BBR22" s="142"/>
      <c r="BBS22" s="142"/>
      <c r="BBT22" s="142"/>
      <c r="BBU22" s="142"/>
      <c r="BBV22" s="142"/>
      <c r="BBW22" s="142"/>
      <c r="BBX22" s="142"/>
      <c r="BBY22" s="142"/>
      <c r="BBZ22" s="142"/>
      <c r="BCA22" s="142"/>
      <c r="BCB22" s="142"/>
      <c r="BCC22" s="142"/>
      <c r="BCD22" s="142"/>
      <c r="BCE22" s="142"/>
      <c r="BCF22" s="142"/>
      <c r="BCG22" s="142"/>
      <c r="BCH22" s="142"/>
      <c r="BCI22" s="142"/>
      <c r="BCJ22" s="142"/>
      <c r="BCK22" s="142"/>
      <c r="BCL22" s="142"/>
      <c r="BCM22" s="142"/>
      <c r="BCN22" s="142"/>
      <c r="BCO22" s="142"/>
      <c r="BCP22" s="142"/>
      <c r="BCQ22" s="142"/>
      <c r="BCR22" s="142"/>
      <c r="BCS22" s="142"/>
      <c r="BCT22" s="142"/>
      <c r="BCU22" s="142"/>
      <c r="BCV22" s="142"/>
      <c r="BCW22" s="142"/>
      <c r="BCX22" s="142"/>
      <c r="BCY22" s="142"/>
      <c r="BCZ22" s="142"/>
      <c r="BDA22" s="142"/>
      <c r="BDB22" s="142"/>
      <c r="BDC22" s="142"/>
      <c r="BDD22" s="142"/>
      <c r="BDE22" s="142"/>
      <c r="BDF22" s="142"/>
      <c r="BDG22" s="142"/>
      <c r="BDH22" s="142"/>
      <c r="BDI22" s="142"/>
      <c r="BDJ22" s="142"/>
      <c r="BDK22" s="142"/>
      <c r="BDL22" s="142"/>
      <c r="BDM22" s="142"/>
      <c r="BDN22" s="142"/>
      <c r="BDO22" s="142"/>
      <c r="BDP22" s="142"/>
      <c r="BDQ22" s="142"/>
      <c r="BDR22" s="142"/>
      <c r="BDS22" s="142"/>
      <c r="BDT22" s="142"/>
      <c r="BDU22" s="142"/>
      <c r="BDV22" s="142"/>
      <c r="BDW22" s="142"/>
      <c r="BDX22" s="142"/>
      <c r="BDY22" s="142"/>
      <c r="BDZ22" s="142"/>
      <c r="BEA22" s="142"/>
      <c r="BEB22" s="142"/>
      <c r="BEC22" s="142"/>
      <c r="BED22" s="142"/>
      <c r="BEE22" s="142"/>
      <c r="BEF22" s="142"/>
      <c r="BEG22" s="142"/>
      <c r="BEH22" s="142"/>
      <c r="BEI22" s="142"/>
      <c r="BEJ22" s="142"/>
      <c r="BEK22" s="142"/>
      <c r="BEL22" s="142"/>
      <c r="BEM22" s="142"/>
      <c r="BEN22" s="142"/>
      <c r="BEO22" s="142"/>
      <c r="BEP22" s="142"/>
      <c r="BEQ22" s="142"/>
      <c r="BER22" s="142"/>
      <c r="BES22" s="142"/>
      <c r="BET22" s="142"/>
      <c r="BEU22" s="142"/>
      <c r="BEV22" s="142"/>
      <c r="BEW22" s="142"/>
      <c r="BEX22" s="142"/>
      <c r="BEY22" s="142"/>
      <c r="BEZ22" s="142"/>
      <c r="BFA22" s="142"/>
      <c r="BFB22" s="142"/>
      <c r="BFC22" s="142"/>
      <c r="BFD22" s="142"/>
      <c r="BFE22" s="142"/>
      <c r="BFF22" s="142"/>
      <c r="BFG22" s="142"/>
      <c r="BFH22" s="142"/>
      <c r="BFI22" s="142"/>
      <c r="BFJ22" s="142"/>
      <c r="BFK22" s="142"/>
      <c r="BFL22" s="142"/>
      <c r="BFM22" s="142"/>
      <c r="BFN22" s="142"/>
      <c r="BFO22" s="142"/>
      <c r="BFP22" s="142"/>
      <c r="BFQ22" s="142"/>
      <c r="BFR22" s="142"/>
      <c r="BFS22" s="142"/>
      <c r="BFT22" s="142"/>
      <c r="BFU22" s="142"/>
      <c r="BFV22" s="142"/>
      <c r="BFW22" s="142"/>
      <c r="BFX22" s="142"/>
      <c r="BFY22" s="142"/>
      <c r="BFZ22" s="142"/>
      <c r="BGA22" s="142"/>
      <c r="BGB22" s="142"/>
      <c r="BGC22" s="142"/>
      <c r="BGD22" s="142"/>
      <c r="BGE22" s="142"/>
      <c r="BGF22" s="142"/>
      <c r="BGG22" s="142"/>
      <c r="BGH22" s="142"/>
      <c r="BGI22" s="142"/>
      <c r="BGJ22" s="142"/>
      <c r="BGK22" s="142"/>
      <c r="BGL22" s="142"/>
      <c r="BGM22" s="142"/>
      <c r="BGN22" s="142"/>
      <c r="BGO22" s="142"/>
      <c r="BGP22" s="142"/>
      <c r="BGQ22" s="142"/>
      <c r="BGR22" s="142"/>
      <c r="BGS22" s="142"/>
      <c r="BGT22" s="142"/>
      <c r="BGU22" s="142"/>
      <c r="BGV22" s="142"/>
      <c r="BGW22" s="142"/>
      <c r="BGX22" s="142"/>
      <c r="BGY22" s="142"/>
      <c r="BGZ22" s="142"/>
      <c r="BHA22" s="142"/>
      <c r="BHB22" s="142"/>
      <c r="BHC22" s="142"/>
      <c r="BHD22" s="142"/>
      <c r="BHE22" s="142"/>
      <c r="BHF22" s="142"/>
      <c r="BHG22" s="142"/>
      <c r="BHH22" s="142"/>
      <c r="BHI22" s="142"/>
      <c r="BHJ22" s="142"/>
      <c r="BHK22" s="142"/>
      <c r="BHL22" s="142"/>
      <c r="BHM22" s="142"/>
      <c r="BHN22" s="142"/>
      <c r="BHO22" s="142"/>
      <c r="BHP22" s="142"/>
      <c r="BHQ22" s="142"/>
      <c r="BHR22" s="142"/>
      <c r="BHS22" s="142"/>
      <c r="BHT22" s="142"/>
      <c r="BHU22" s="142"/>
      <c r="BHV22" s="142"/>
      <c r="BHW22" s="142"/>
      <c r="BHX22" s="142"/>
      <c r="BHY22" s="142"/>
      <c r="BHZ22" s="142"/>
      <c r="BIA22" s="142"/>
      <c r="BIB22" s="142"/>
      <c r="BIC22" s="142"/>
      <c r="BID22" s="142"/>
      <c r="BIE22" s="142"/>
      <c r="BIF22" s="142"/>
      <c r="BIG22" s="142"/>
      <c r="BIH22" s="142"/>
      <c r="BII22" s="142"/>
      <c r="BIJ22" s="142"/>
      <c r="BIK22" s="142"/>
      <c r="BIL22" s="142"/>
      <c r="BIM22" s="142"/>
      <c r="BIN22" s="142"/>
      <c r="BIO22" s="142"/>
      <c r="BIP22" s="142"/>
      <c r="BIQ22" s="142"/>
      <c r="BIR22" s="142"/>
      <c r="BIS22" s="142"/>
      <c r="BIT22" s="142"/>
      <c r="BIU22" s="142"/>
      <c r="BIV22" s="142"/>
      <c r="BIW22" s="142"/>
      <c r="BIX22" s="142"/>
      <c r="BIY22" s="142"/>
      <c r="BIZ22" s="142"/>
      <c r="BJA22" s="142"/>
      <c r="BJB22" s="142"/>
      <c r="BJC22" s="142"/>
      <c r="BJD22" s="142"/>
      <c r="BJE22" s="142"/>
      <c r="BJF22" s="142"/>
      <c r="BJG22" s="142"/>
      <c r="BJH22" s="142"/>
      <c r="BJI22" s="142"/>
      <c r="BJJ22" s="142"/>
      <c r="BJK22" s="142"/>
      <c r="BJL22" s="142"/>
      <c r="BJM22" s="142"/>
      <c r="BJN22" s="142"/>
      <c r="BJO22" s="142"/>
      <c r="BJP22" s="142"/>
      <c r="BJQ22" s="142"/>
      <c r="BJR22" s="142"/>
      <c r="BJS22" s="142"/>
      <c r="BJT22" s="142"/>
      <c r="BJU22" s="142"/>
      <c r="BJV22" s="142"/>
      <c r="BJW22" s="142"/>
      <c r="BJX22" s="142"/>
      <c r="BJY22" s="142"/>
      <c r="BJZ22" s="142"/>
      <c r="BKA22" s="142"/>
      <c r="BKB22" s="142"/>
      <c r="BKC22" s="142"/>
      <c r="BKD22" s="142"/>
      <c r="BKE22" s="142"/>
      <c r="BKF22" s="142"/>
      <c r="BKG22" s="142"/>
      <c r="BKH22" s="142"/>
      <c r="BKI22" s="142"/>
      <c r="BKJ22" s="142"/>
      <c r="BKK22" s="142"/>
      <c r="BKL22" s="142"/>
      <c r="BKM22" s="142"/>
      <c r="BKN22" s="142"/>
      <c r="BKO22" s="142"/>
      <c r="BKP22" s="142"/>
      <c r="BKQ22" s="142"/>
      <c r="BKR22" s="142"/>
      <c r="BKS22" s="142"/>
      <c r="BKT22" s="142"/>
      <c r="BKU22" s="142"/>
      <c r="BKV22" s="142"/>
      <c r="BKW22" s="142"/>
      <c r="BKX22" s="142"/>
      <c r="BKY22" s="142"/>
      <c r="BKZ22" s="142"/>
      <c r="BLA22" s="142"/>
      <c r="BLB22" s="142"/>
      <c r="BLC22" s="142"/>
      <c r="BLD22" s="142"/>
      <c r="BLE22" s="142"/>
      <c r="BLF22" s="142"/>
      <c r="BLG22" s="142"/>
      <c r="BLH22" s="142"/>
      <c r="BLI22" s="142"/>
      <c r="BLJ22" s="142"/>
      <c r="BLK22" s="142"/>
      <c r="BLL22" s="142"/>
      <c r="BLM22" s="142"/>
      <c r="BLN22" s="142"/>
      <c r="BLO22" s="142"/>
      <c r="BLP22" s="142"/>
      <c r="BLQ22" s="142"/>
      <c r="BLR22" s="142"/>
      <c r="BLS22" s="142"/>
      <c r="BLT22" s="142"/>
      <c r="BLU22" s="142"/>
      <c r="BLV22" s="142"/>
      <c r="BLW22" s="142"/>
      <c r="BLX22" s="142"/>
      <c r="BLY22" s="142"/>
      <c r="BLZ22" s="142"/>
      <c r="BMA22" s="142"/>
      <c r="BMB22" s="142"/>
      <c r="BMC22" s="142"/>
      <c r="BMD22" s="142"/>
      <c r="BME22" s="142"/>
      <c r="BMF22" s="142"/>
      <c r="BMG22" s="142"/>
      <c r="BMH22" s="142"/>
      <c r="BMI22" s="142"/>
      <c r="BMJ22" s="142"/>
      <c r="BMK22" s="142"/>
      <c r="BML22" s="142"/>
      <c r="BMM22" s="142"/>
      <c r="BMN22" s="142"/>
      <c r="BMO22" s="142"/>
      <c r="BMP22" s="142"/>
      <c r="BMQ22" s="142"/>
      <c r="BMR22" s="142"/>
      <c r="BMS22" s="142"/>
      <c r="BMT22" s="142"/>
      <c r="BMU22" s="142"/>
      <c r="BMV22" s="142"/>
      <c r="BMW22" s="142"/>
      <c r="BMX22" s="142"/>
      <c r="BMY22" s="142"/>
      <c r="BMZ22" s="142"/>
      <c r="BNA22" s="142"/>
      <c r="BNB22" s="142"/>
      <c r="BNC22" s="142"/>
      <c r="BND22" s="142"/>
      <c r="BNE22" s="142"/>
      <c r="BNF22" s="142"/>
      <c r="BNG22" s="142"/>
      <c r="BNH22" s="142"/>
      <c r="BNI22" s="142"/>
      <c r="BNJ22" s="142"/>
      <c r="BNK22" s="142"/>
      <c r="BNL22" s="142"/>
      <c r="BNM22" s="142"/>
      <c r="BNN22" s="142"/>
      <c r="BNO22" s="142"/>
      <c r="BNP22" s="142"/>
      <c r="BNQ22" s="142"/>
      <c r="BNR22" s="142"/>
      <c r="BNS22" s="142"/>
      <c r="BNT22" s="142"/>
      <c r="BNU22" s="142"/>
      <c r="BNV22" s="142"/>
      <c r="BNW22" s="142"/>
      <c r="BNX22" s="142"/>
      <c r="BNY22" s="142"/>
      <c r="BNZ22" s="142"/>
      <c r="BOA22" s="142"/>
      <c r="BOB22" s="142"/>
      <c r="BOC22" s="142"/>
      <c r="BOD22" s="142"/>
      <c r="BOE22" s="142"/>
      <c r="BOF22" s="142"/>
      <c r="BOG22" s="142"/>
      <c r="BOH22" s="142"/>
      <c r="BOI22" s="142"/>
      <c r="BOJ22" s="142"/>
      <c r="BOK22" s="142"/>
      <c r="BOL22" s="142"/>
      <c r="BOM22" s="142"/>
      <c r="BON22" s="142"/>
      <c r="BOO22" s="142"/>
      <c r="BOP22" s="142"/>
      <c r="BOQ22" s="142"/>
      <c r="BOR22" s="142"/>
      <c r="BOS22" s="142"/>
      <c r="BOT22" s="142"/>
      <c r="BOU22" s="142"/>
      <c r="BOV22" s="142"/>
      <c r="BOW22" s="142"/>
      <c r="BOX22" s="142"/>
      <c r="BOY22" s="142"/>
      <c r="BOZ22" s="142"/>
      <c r="BPA22" s="142"/>
      <c r="BPB22" s="142"/>
      <c r="BPC22" s="142"/>
      <c r="BPD22" s="142"/>
      <c r="BPE22" s="142"/>
      <c r="BPF22" s="142"/>
      <c r="BPG22" s="142"/>
      <c r="BPH22" s="142"/>
      <c r="BPI22" s="142"/>
      <c r="BPJ22" s="142"/>
      <c r="BPK22" s="142"/>
      <c r="BPL22" s="142"/>
      <c r="BPM22" s="142"/>
      <c r="BPN22" s="142"/>
      <c r="BPO22" s="142"/>
      <c r="BPP22" s="142"/>
      <c r="BPQ22" s="142"/>
      <c r="BPR22" s="142"/>
      <c r="BPS22" s="142"/>
      <c r="BPT22" s="142"/>
      <c r="BPU22" s="142"/>
      <c r="BPV22" s="142"/>
      <c r="BPW22" s="142"/>
      <c r="BPX22" s="142"/>
      <c r="BPY22" s="142"/>
      <c r="BPZ22" s="142"/>
      <c r="BQA22" s="142"/>
      <c r="BQB22" s="142"/>
      <c r="BQC22" s="142"/>
      <c r="BQD22" s="142"/>
      <c r="BQE22" s="142"/>
      <c r="BQF22" s="142"/>
      <c r="BQG22" s="142"/>
      <c r="BQH22" s="142"/>
      <c r="BQI22" s="142"/>
      <c r="BQJ22" s="142"/>
      <c r="BQK22" s="142"/>
      <c r="BQL22" s="142"/>
      <c r="BQM22" s="142"/>
      <c r="BQN22" s="142"/>
      <c r="BQO22" s="142"/>
      <c r="BQP22" s="142"/>
      <c r="BQQ22" s="142"/>
      <c r="BQR22" s="142"/>
      <c r="BQS22" s="142"/>
      <c r="BQT22" s="142"/>
      <c r="BQU22" s="142"/>
      <c r="BQV22" s="142"/>
      <c r="BQW22" s="142"/>
      <c r="BQX22" s="142"/>
      <c r="BQY22" s="142"/>
      <c r="BQZ22" s="142"/>
      <c r="BRA22" s="142"/>
      <c r="BRB22" s="142"/>
      <c r="BRC22" s="142"/>
      <c r="BRD22" s="142"/>
      <c r="BRE22" s="142"/>
      <c r="BRF22" s="142"/>
      <c r="BRG22" s="142"/>
      <c r="BRH22" s="142"/>
      <c r="BRI22" s="142"/>
      <c r="BRJ22" s="142"/>
      <c r="BRK22" s="142"/>
      <c r="BRL22" s="142"/>
      <c r="BRM22" s="142"/>
      <c r="BRN22" s="142"/>
      <c r="BRO22" s="142"/>
      <c r="BRP22" s="142"/>
      <c r="BRQ22" s="142"/>
      <c r="BRR22" s="142"/>
      <c r="BRS22" s="142"/>
      <c r="BRT22" s="142"/>
      <c r="BRU22" s="142"/>
      <c r="BRV22" s="142"/>
      <c r="BRW22" s="142"/>
      <c r="BRX22" s="142"/>
      <c r="BRY22" s="142"/>
      <c r="BRZ22" s="142"/>
      <c r="BSA22" s="142"/>
      <c r="BSB22" s="142"/>
      <c r="BSC22" s="142"/>
      <c r="BSD22" s="142"/>
      <c r="BSE22" s="142"/>
      <c r="BSF22" s="142"/>
      <c r="BSG22" s="142"/>
      <c r="BSH22" s="142"/>
      <c r="BSI22" s="142"/>
      <c r="BSJ22" s="142"/>
      <c r="BSK22" s="142"/>
      <c r="BSL22" s="142"/>
      <c r="BSM22" s="142"/>
      <c r="BSN22" s="142"/>
      <c r="BSO22" s="142"/>
      <c r="BSP22" s="142"/>
      <c r="BSQ22" s="142"/>
      <c r="BSR22" s="142"/>
      <c r="BSS22" s="142"/>
      <c r="BST22" s="142"/>
      <c r="BSU22" s="142"/>
      <c r="BSV22" s="142"/>
      <c r="BSW22" s="142"/>
      <c r="BSX22" s="142"/>
      <c r="BSY22" s="142"/>
      <c r="BSZ22" s="142"/>
      <c r="BTA22" s="142"/>
      <c r="BTB22" s="142"/>
      <c r="BTC22" s="142"/>
      <c r="BTD22" s="142"/>
      <c r="BTE22" s="142"/>
      <c r="BTF22" s="142"/>
      <c r="BTG22" s="142"/>
      <c r="BTH22" s="142"/>
      <c r="BTI22" s="142"/>
      <c r="BTJ22" s="142"/>
      <c r="BTK22" s="142"/>
      <c r="BTL22" s="142"/>
      <c r="BTM22" s="142"/>
      <c r="BTN22" s="142"/>
      <c r="BTO22" s="142"/>
      <c r="BTP22" s="142"/>
      <c r="BTQ22" s="142"/>
      <c r="BTR22" s="142"/>
      <c r="BTS22" s="142"/>
      <c r="BTT22" s="142"/>
      <c r="BTU22" s="142"/>
      <c r="BTV22" s="142"/>
      <c r="BTW22" s="142"/>
      <c r="BTX22" s="142"/>
      <c r="BTY22" s="142"/>
      <c r="BTZ22" s="142"/>
      <c r="BUA22" s="142"/>
      <c r="BUB22" s="142"/>
      <c r="BUC22" s="142"/>
      <c r="BUD22" s="142"/>
      <c r="BUE22" s="142"/>
      <c r="BUF22" s="142"/>
      <c r="BUG22" s="142"/>
      <c r="BUH22" s="142"/>
      <c r="BUI22" s="142"/>
      <c r="BUJ22" s="142"/>
      <c r="BUK22" s="142"/>
      <c r="BUL22" s="142"/>
      <c r="BUM22" s="142"/>
      <c r="BUN22" s="142"/>
      <c r="BUO22" s="142"/>
      <c r="BUP22" s="142"/>
      <c r="BUQ22" s="142"/>
      <c r="BUR22" s="142"/>
      <c r="BUS22" s="142"/>
      <c r="BUT22" s="142"/>
      <c r="BUU22" s="142"/>
      <c r="BUV22" s="142"/>
      <c r="BUW22" s="142"/>
      <c r="BUX22" s="142"/>
      <c r="BUY22" s="142"/>
      <c r="BUZ22" s="142"/>
      <c r="BVA22" s="142"/>
      <c r="BVB22" s="142"/>
      <c r="BVC22" s="142"/>
      <c r="BVD22" s="142"/>
      <c r="BVE22" s="142"/>
      <c r="BVF22" s="142"/>
      <c r="BVG22" s="142"/>
      <c r="BVH22" s="142"/>
      <c r="BVI22" s="142"/>
      <c r="BVJ22" s="142"/>
      <c r="BVK22" s="142"/>
      <c r="BVL22" s="142"/>
      <c r="BVM22" s="142"/>
      <c r="BVN22" s="142"/>
      <c r="BVO22" s="142"/>
      <c r="BVP22" s="142"/>
      <c r="BVQ22" s="142"/>
      <c r="BVR22" s="142"/>
      <c r="BVS22" s="142"/>
      <c r="BVT22" s="142"/>
      <c r="BVU22" s="142"/>
      <c r="BVV22" s="142"/>
      <c r="BVW22" s="142"/>
      <c r="BVX22" s="142"/>
      <c r="BVY22" s="142"/>
      <c r="BVZ22" s="142"/>
      <c r="BWA22" s="142"/>
      <c r="BWB22" s="142"/>
      <c r="BWC22" s="142"/>
      <c r="BWD22" s="142"/>
      <c r="BWE22" s="142"/>
      <c r="BWF22" s="142"/>
      <c r="BWG22" s="142"/>
      <c r="BWH22" s="142"/>
      <c r="BWI22" s="142"/>
      <c r="BWJ22" s="142"/>
      <c r="BWK22" s="142"/>
      <c r="BWL22" s="142"/>
      <c r="BWM22" s="142"/>
      <c r="BWN22" s="142"/>
      <c r="BWO22" s="142"/>
      <c r="BWP22" s="142"/>
      <c r="BWQ22" s="142"/>
      <c r="BWR22" s="142"/>
      <c r="BWS22" s="142"/>
      <c r="BWT22" s="142"/>
      <c r="BWU22" s="142"/>
      <c r="BWV22" s="142"/>
      <c r="BWW22" s="142"/>
      <c r="BWX22" s="142"/>
      <c r="BWY22" s="142"/>
      <c r="BWZ22" s="142"/>
      <c r="BXA22" s="142"/>
      <c r="BXB22" s="142"/>
      <c r="BXC22" s="142"/>
      <c r="BXD22" s="142"/>
      <c r="BXE22" s="142"/>
      <c r="BXF22" s="142"/>
      <c r="BXG22" s="142"/>
      <c r="BXH22" s="142"/>
      <c r="BXI22" s="142"/>
      <c r="BXJ22" s="142"/>
      <c r="BXK22" s="142"/>
      <c r="BXL22" s="142"/>
      <c r="BXM22" s="142"/>
      <c r="BXN22" s="142"/>
      <c r="BXO22" s="142"/>
      <c r="BXP22" s="142"/>
      <c r="BXQ22" s="142"/>
      <c r="BXR22" s="142"/>
      <c r="BXS22" s="142"/>
      <c r="BXT22" s="142"/>
      <c r="BXU22" s="142"/>
      <c r="BXV22" s="142"/>
      <c r="BXW22" s="142"/>
      <c r="BXX22" s="142"/>
      <c r="BXY22" s="142"/>
      <c r="BXZ22" s="142"/>
      <c r="BYA22" s="142"/>
      <c r="BYB22" s="142"/>
      <c r="BYC22" s="142"/>
      <c r="BYD22" s="142"/>
      <c r="BYE22" s="142"/>
      <c r="BYF22" s="142"/>
      <c r="BYG22" s="142"/>
      <c r="BYH22" s="142"/>
      <c r="BYI22" s="142"/>
      <c r="BYJ22" s="142"/>
      <c r="BYK22" s="142"/>
      <c r="BYL22" s="142"/>
      <c r="BYM22" s="142"/>
      <c r="BYN22" s="142"/>
      <c r="BYO22" s="142"/>
      <c r="BYP22" s="142"/>
      <c r="BYQ22" s="142"/>
      <c r="BYR22" s="142"/>
      <c r="BYS22" s="142"/>
      <c r="BYT22" s="142"/>
      <c r="BYU22" s="142"/>
      <c r="BYV22" s="142"/>
      <c r="BYW22" s="142"/>
      <c r="BYX22" s="142"/>
      <c r="BYY22" s="142"/>
      <c r="BYZ22" s="142"/>
      <c r="BZA22" s="142"/>
      <c r="BZB22" s="142"/>
      <c r="BZC22" s="142"/>
      <c r="BZD22" s="142"/>
      <c r="BZE22" s="142"/>
      <c r="BZF22" s="142"/>
      <c r="BZG22" s="142"/>
      <c r="BZH22" s="142"/>
      <c r="BZI22" s="142"/>
      <c r="BZJ22" s="142"/>
      <c r="BZK22" s="142"/>
      <c r="BZL22" s="142"/>
      <c r="BZM22" s="142"/>
      <c r="BZN22" s="142"/>
      <c r="BZO22" s="142"/>
      <c r="BZP22" s="142"/>
      <c r="BZQ22" s="142"/>
      <c r="BZR22" s="142"/>
      <c r="BZS22" s="142"/>
      <c r="BZT22" s="142"/>
      <c r="BZU22" s="142"/>
      <c r="BZV22" s="142"/>
      <c r="BZW22" s="142"/>
      <c r="BZX22" s="142"/>
      <c r="BZY22" s="142"/>
      <c r="BZZ22" s="142"/>
      <c r="CAA22" s="142"/>
      <c r="CAB22" s="142"/>
      <c r="CAC22" s="142"/>
      <c r="CAD22" s="142"/>
      <c r="CAE22" s="142"/>
      <c r="CAF22" s="142"/>
      <c r="CAG22" s="142"/>
      <c r="CAH22" s="142"/>
      <c r="CAI22" s="142"/>
      <c r="CAJ22" s="142"/>
      <c r="CAK22" s="142"/>
      <c r="CAL22" s="142"/>
      <c r="CAM22" s="142"/>
      <c r="CAN22" s="142"/>
      <c r="CAO22" s="142"/>
      <c r="CAP22" s="142"/>
      <c r="CAQ22" s="142"/>
      <c r="CAR22" s="142"/>
      <c r="CAS22" s="142"/>
      <c r="CAT22" s="142"/>
      <c r="CAU22" s="142"/>
      <c r="CAV22" s="142"/>
      <c r="CAW22" s="142"/>
      <c r="CAX22" s="142"/>
      <c r="CAY22" s="142"/>
      <c r="CAZ22" s="142"/>
      <c r="CBA22" s="142"/>
      <c r="CBB22" s="142"/>
      <c r="CBC22" s="142"/>
      <c r="CBD22" s="142"/>
      <c r="CBE22" s="142"/>
      <c r="CBF22" s="142"/>
      <c r="CBG22" s="142"/>
      <c r="CBH22" s="142"/>
      <c r="CBI22" s="142"/>
      <c r="CBJ22" s="142"/>
      <c r="CBK22" s="142"/>
      <c r="CBL22" s="142"/>
      <c r="CBM22" s="142"/>
      <c r="CBN22" s="142"/>
      <c r="CBO22" s="142"/>
      <c r="CBP22" s="142"/>
      <c r="CBQ22" s="142"/>
      <c r="CBR22" s="142"/>
      <c r="CBS22" s="142"/>
      <c r="CBT22" s="142"/>
      <c r="CBU22" s="142"/>
      <c r="CBV22" s="142"/>
      <c r="CBW22" s="142"/>
      <c r="CBX22" s="142"/>
      <c r="CBY22" s="142"/>
      <c r="CBZ22" s="142"/>
      <c r="CCA22" s="142"/>
      <c r="CCB22" s="142"/>
      <c r="CCC22" s="142"/>
      <c r="CCD22" s="142"/>
      <c r="CCE22" s="142"/>
      <c r="CCF22" s="142"/>
      <c r="CCG22" s="142"/>
      <c r="CCH22" s="142"/>
      <c r="CCI22" s="142"/>
      <c r="CCJ22" s="142"/>
      <c r="CCK22" s="142"/>
      <c r="CCL22" s="142"/>
      <c r="CCM22" s="142"/>
      <c r="CCN22" s="142"/>
      <c r="CCO22" s="142"/>
      <c r="CCP22" s="142"/>
      <c r="CCQ22" s="142"/>
      <c r="CCR22" s="142"/>
      <c r="CCS22" s="142"/>
      <c r="CCT22" s="142"/>
      <c r="CCU22" s="142"/>
      <c r="CCV22" s="142"/>
      <c r="CCW22" s="142"/>
      <c r="CCX22" s="142"/>
      <c r="CCY22" s="142"/>
      <c r="CCZ22" s="142"/>
      <c r="CDA22" s="142"/>
      <c r="CDB22" s="142"/>
      <c r="CDC22" s="142"/>
      <c r="CDD22" s="142"/>
      <c r="CDE22" s="142"/>
      <c r="CDF22" s="142"/>
      <c r="CDG22" s="142"/>
      <c r="CDH22" s="142"/>
      <c r="CDI22" s="142"/>
      <c r="CDJ22" s="142"/>
      <c r="CDK22" s="142"/>
      <c r="CDL22" s="142"/>
      <c r="CDM22" s="142"/>
      <c r="CDN22" s="142"/>
      <c r="CDO22" s="142"/>
      <c r="CDP22" s="142"/>
      <c r="CDQ22" s="142"/>
      <c r="CDR22" s="142"/>
      <c r="CDS22" s="142"/>
      <c r="CDT22" s="142"/>
      <c r="CDU22" s="142"/>
      <c r="CDV22" s="142"/>
      <c r="CDW22" s="142"/>
      <c r="CDX22" s="142"/>
      <c r="CDY22" s="142"/>
      <c r="CDZ22" s="142"/>
      <c r="CEA22" s="142"/>
      <c r="CEB22" s="142"/>
      <c r="CEC22" s="142"/>
      <c r="CED22" s="142"/>
      <c r="CEE22" s="142"/>
      <c r="CEF22" s="142"/>
      <c r="CEG22" s="142"/>
      <c r="CEH22" s="142"/>
      <c r="CEI22" s="142"/>
      <c r="CEJ22" s="142"/>
      <c r="CEK22" s="142"/>
      <c r="CEL22" s="142"/>
      <c r="CEM22" s="142"/>
      <c r="CEN22" s="142"/>
      <c r="CEO22" s="142"/>
      <c r="CEP22" s="142"/>
      <c r="CEQ22" s="142"/>
      <c r="CER22" s="142"/>
      <c r="CES22" s="142"/>
      <c r="CET22" s="142"/>
      <c r="CEU22" s="142"/>
      <c r="CEV22" s="142"/>
      <c r="CEW22" s="142"/>
      <c r="CEX22" s="142"/>
      <c r="CEY22" s="142"/>
      <c r="CEZ22" s="142"/>
      <c r="CFA22" s="142"/>
      <c r="CFB22" s="142"/>
      <c r="CFC22" s="142"/>
      <c r="CFD22" s="142"/>
      <c r="CFE22" s="142"/>
      <c r="CFF22" s="142"/>
      <c r="CFG22" s="142"/>
      <c r="CFH22" s="142"/>
      <c r="CFI22" s="142"/>
      <c r="CFJ22" s="142"/>
      <c r="CFK22" s="142"/>
      <c r="CFL22" s="142"/>
      <c r="CFM22" s="142"/>
      <c r="CFN22" s="142"/>
      <c r="CFO22" s="142"/>
      <c r="CFP22" s="142"/>
      <c r="CFQ22" s="142"/>
      <c r="CFR22" s="142"/>
      <c r="CFS22" s="142"/>
      <c r="CFT22" s="142"/>
      <c r="CFU22" s="142"/>
      <c r="CFV22" s="142"/>
      <c r="CFW22" s="142"/>
      <c r="CFX22" s="142"/>
      <c r="CFY22" s="142"/>
      <c r="CFZ22" s="142"/>
      <c r="CGA22" s="142"/>
      <c r="CGB22" s="142"/>
      <c r="CGC22" s="142"/>
      <c r="CGD22" s="142"/>
      <c r="CGE22" s="142"/>
      <c r="CGF22" s="142"/>
      <c r="CGG22" s="142"/>
      <c r="CGH22" s="142"/>
      <c r="CGI22" s="142"/>
      <c r="CGJ22" s="142"/>
      <c r="CGK22" s="142"/>
      <c r="CGL22" s="142"/>
      <c r="CGM22" s="142"/>
      <c r="CGN22" s="142"/>
      <c r="CGO22" s="142"/>
      <c r="CGP22" s="142"/>
      <c r="CGQ22" s="142"/>
      <c r="CGR22" s="142"/>
      <c r="CGS22" s="142"/>
      <c r="CGT22" s="142"/>
      <c r="CGU22" s="142"/>
      <c r="CGV22" s="142"/>
      <c r="CGW22" s="142"/>
      <c r="CGX22" s="142"/>
      <c r="CGY22" s="142"/>
      <c r="CGZ22" s="142"/>
      <c r="CHA22" s="142"/>
      <c r="CHB22" s="142"/>
      <c r="CHC22" s="142"/>
      <c r="CHD22" s="142"/>
      <c r="CHE22" s="142"/>
      <c r="CHF22" s="142"/>
      <c r="CHG22" s="142"/>
      <c r="CHH22" s="142"/>
      <c r="CHI22" s="142"/>
      <c r="CHJ22" s="142"/>
      <c r="CHK22" s="142"/>
      <c r="CHL22" s="142"/>
      <c r="CHM22" s="142"/>
      <c r="CHN22" s="142"/>
      <c r="CHO22" s="142"/>
      <c r="CHP22" s="142"/>
      <c r="CHQ22" s="142"/>
      <c r="CHR22" s="142"/>
      <c r="CHS22" s="142"/>
      <c r="CHT22" s="142"/>
      <c r="CHU22" s="142"/>
      <c r="CHV22" s="142"/>
      <c r="CHW22" s="142"/>
      <c r="CHX22" s="142"/>
      <c r="CHY22" s="142"/>
      <c r="CHZ22" s="142"/>
      <c r="CIA22" s="142"/>
      <c r="CIB22" s="142"/>
      <c r="CIC22" s="142"/>
      <c r="CID22" s="142"/>
      <c r="CIE22" s="142"/>
      <c r="CIF22" s="142"/>
      <c r="CIG22" s="142"/>
      <c r="CIH22" s="142"/>
      <c r="CII22" s="142"/>
      <c r="CIJ22" s="142"/>
      <c r="CIK22" s="142"/>
      <c r="CIL22" s="142"/>
      <c r="CIM22" s="142"/>
      <c r="CIN22" s="142"/>
      <c r="CIO22" s="142"/>
      <c r="CIP22" s="142"/>
      <c r="CIQ22" s="142"/>
      <c r="CIR22" s="142"/>
      <c r="CIS22" s="142"/>
      <c r="CIT22" s="142"/>
      <c r="CIU22" s="142"/>
      <c r="CIV22" s="142"/>
      <c r="CIW22" s="142"/>
      <c r="CIX22" s="142"/>
      <c r="CIY22" s="142"/>
      <c r="CIZ22" s="142"/>
      <c r="CJA22" s="142"/>
      <c r="CJB22" s="142"/>
      <c r="CJC22" s="142"/>
      <c r="CJD22" s="142"/>
      <c r="CJE22" s="142"/>
      <c r="CJF22" s="142"/>
      <c r="CJG22" s="142"/>
      <c r="CJH22" s="142"/>
      <c r="CJI22" s="142"/>
      <c r="CJJ22" s="142"/>
      <c r="CJK22" s="142"/>
      <c r="CJL22" s="142"/>
      <c r="CJM22" s="142"/>
      <c r="CJN22" s="142"/>
      <c r="CJO22" s="142"/>
      <c r="CJP22" s="142"/>
      <c r="CJQ22" s="142"/>
      <c r="CJR22" s="142"/>
      <c r="CJS22" s="142"/>
      <c r="CJT22" s="142"/>
      <c r="CJU22" s="142"/>
      <c r="CJV22" s="142"/>
      <c r="CJW22" s="142"/>
      <c r="CJX22" s="142"/>
      <c r="CJY22" s="142"/>
      <c r="CJZ22" s="142"/>
      <c r="CKA22" s="142"/>
      <c r="CKB22" s="142"/>
      <c r="CKC22" s="142"/>
      <c r="CKD22" s="142"/>
      <c r="CKE22" s="142"/>
      <c r="CKF22" s="142"/>
      <c r="CKG22" s="142"/>
      <c r="CKH22" s="142"/>
      <c r="CKI22" s="142"/>
      <c r="CKJ22" s="142"/>
      <c r="CKK22" s="142"/>
      <c r="CKL22" s="142"/>
      <c r="CKM22" s="142"/>
      <c r="CKN22" s="142"/>
      <c r="CKO22" s="142"/>
      <c r="CKP22" s="142"/>
      <c r="CKQ22" s="142"/>
      <c r="CKR22" s="142"/>
      <c r="CKS22" s="142"/>
      <c r="CKT22" s="142"/>
      <c r="CKU22" s="142"/>
      <c r="CKV22" s="142"/>
      <c r="CKW22" s="142"/>
      <c r="CKX22" s="142"/>
      <c r="CKY22" s="142"/>
      <c r="CKZ22" s="142"/>
      <c r="CLA22" s="142"/>
      <c r="CLB22" s="142"/>
      <c r="CLC22" s="142"/>
      <c r="CLD22" s="142"/>
      <c r="CLE22" s="142"/>
      <c r="CLF22" s="142"/>
      <c r="CLG22" s="142"/>
      <c r="CLH22" s="142"/>
      <c r="CLI22" s="142"/>
      <c r="CLJ22" s="142"/>
      <c r="CLK22" s="142"/>
      <c r="CLL22" s="142"/>
      <c r="CLM22" s="142"/>
      <c r="CLN22" s="142"/>
      <c r="CLO22" s="142"/>
      <c r="CLP22" s="142"/>
      <c r="CLQ22" s="142"/>
      <c r="CLR22" s="142"/>
      <c r="CLS22" s="142"/>
      <c r="CLT22" s="142"/>
      <c r="CLU22" s="142"/>
      <c r="CLV22" s="142"/>
      <c r="CLW22" s="142"/>
      <c r="CLX22" s="142"/>
      <c r="CLY22" s="142"/>
      <c r="CLZ22" s="142"/>
      <c r="CMA22" s="142"/>
      <c r="CMB22" s="142"/>
      <c r="CMC22" s="142"/>
      <c r="CMD22" s="142"/>
      <c r="CME22" s="142"/>
      <c r="CMF22" s="142"/>
      <c r="CMG22" s="142"/>
      <c r="CMH22" s="142"/>
      <c r="CMI22" s="142"/>
      <c r="CMJ22" s="142"/>
      <c r="CMK22" s="142"/>
      <c r="CML22" s="142"/>
      <c r="CMM22" s="142"/>
      <c r="CMN22" s="142"/>
      <c r="CMO22" s="142"/>
      <c r="CMP22" s="142"/>
      <c r="CMQ22" s="142"/>
      <c r="CMR22" s="142"/>
      <c r="CMS22" s="142"/>
      <c r="CMT22" s="142"/>
      <c r="CMU22" s="142"/>
      <c r="CMV22" s="142"/>
      <c r="CMW22" s="142"/>
      <c r="CMX22" s="142"/>
      <c r="CMY22" s="142"/>
      <c r="CMZ22" s="142"/>
      <c r="CNA22" s="142"/>
      <c r="CNB22" s="142"/>
      <c r="CNC22" s="142"/>
      <c r="CND22" s="142"/>
      <c r="CNE22" s="142"/>
      <c r="CNF22" s="142"/>
      <c r="CNG22" s="142"/>
      <c r="CNH22" s="142"/>
      <c r="CNI22" s="142"/>
      <c r="CNJ22" s="142"/>
      <c r="CNK22" s="142"/>
      <c r="CNL22" s="142"/>
      <c r="CNM22" s="142"/>
      <c r="CNN22" s="142"/>
      <c r="CNO22" s="142"/>
      <c r="CNP22" s="142"/>
      <c r="CNQ22" s="142"/>
      <c r="CNR22" s="142"/>
      <c r="CNS22" s="142"/>
      <c r="CNT22" s="142"/>
      <c r="CNU22" s="142"/>
      <c r="CNV22" s="142"/>
      <c r="CNW22" s="142"/>
      <c r="CNX22" s="142"/>
      <c r="CNY22" s="142"/>
      <c r="CNZ22" s="142"/>
      <c r="COA22" s="142"/>
      <c r="COB22" s="142"/>
      <c r="COC22" s="142"/>
      <c r="COD22" s="142"/>
      <c r="COE22" s="142"/>
      <c r="COF22" s="142"/>
      <c r="COG22" s="142"/>
      <c r="COH22" s="142"/>
      <c r="COI22" s="142"/>
      <c r="COJ22" s="142"/>
      <c r="COK22" s="142"/>
      <c r="COL22" s="142"/>
      <c r="COM22" s="142"/>
      <c r="CON22" s="142"/>
      <c r="COO22" s="142"/>
      <c r="COP22" s="142"/>
      <c r="COQ22" s="142"/>
      <c r="COR22" s="142"/>
      <c r="COS22" s="142"/>
      <c r="COT22" s="142"/>
      <c r="COU22" s="142"/>
      <c r="COV22" s="142"/>
      <c r="COW22" s="142"/>
      <c r="COX22" s="142"/>
      <c r="COY22" s="142"/>
      <c r="COZ22" s="142"/>
      <c r="CPA22" s="142"/>
      <c r="CPB22" s="142"/>
      <c r="CPC22" s="142"/>
      <c r="CPD22" s="142"/>
      <c r="CPE22" s="142"/>
      <c r="CPF22" s="142"/>
      <c r="CPG22" s="142"/>
      <c r="CPH22" s="142"/>
      <c r="CPI22" s="142"/>
      <c r="CPJ22" s="142"/>
      <c r="CPK22" s="142"/>
      <c r="CPL22" s="142"/>
      <c r="CPM22" s="142"/>
      <c r="CPN22" s="142"/>
      <c r="CPO22" s="142"/>
      <c r="CPP22" s="142"/>
      <c r="CPQ22" s="142"/>
      <c r="CPR22" s="142"/>
      <c r="CPS22" s="142"/>
      <c r="CPT22" s="142"/>
      <c r="CPU22" s="142"/>
      <c r="CPV22" s="142"/>
      <c r="CPW22" s="142"/>
      <c r="CPX22" s="142"/>
      <c r="CPY22" s="142"/>
      <c r="CPZ22" s="142"/>
      <c r="CQA22" s="142"/>
      <c r="CQB22" s="142"/>
      <c r="CQC22" s="142"/>
      <c r="CQD22" s="142"/>
      <c r="CQE22" s="142"/>
      <c r="CQF22" s="142"/>
      <c r="CQG22" s="142"/>
      <c r="CQH22" s="142"/>
      <c r="CQI22" s="142"/>
      <c r="CQJ22" s="142"/>
      <c r="CQK22" s="142"/>
      <c r="CQL22" s="142"/>
      <c r="CQM22" s="142"/>
      <c r="CQN22" s="142"/>
      <c r="CQO22" s="142"/>
      <c r="CQP22" s="142"/>
      <c r="CQQ22" s="142"/>
      <c r="CQR22" s="142"/>
      <c r="CQS22" s="142"/>
      <c r="CQT22" s="142"/>
      <c r="CQU22" s="142"/>
      <c r="CQV22" s="142"/>
      <c r="CQW22" s="142"/>
      <c r="CQX22" s="142"/>
      <c r="CQY22" s="142"/>
      <c r="CQZ22" s="142"/>
      <c r="CRA22" s="142"/>
      <c r="CRB22" s="142"/>
      <c r="CRC22" s="142"/>
      <c r="CRD22" s="142"/>
      <c r="CRE22" s="142"/>
      <c r="CRF22" s="142"/>
      <c r="CRG22" s="142"/>
      <c r="CRH22" s="142"/>
      <c r="CRI22" s="142"/>
      <c r="CRJ22" s="142"/>
      <c r="CRK22" s="142"/>
      <c r="CRL22" s="142"/>
      <c r="CRM22" s="142"/>
      <c r="CRN22" s="142"/>
      <c r="CRO22" s="142"/>
      <c r="CRP22" s="142"/>
      <c r="CRQ22" s="142"/>
      <c r="CRR22" s="142"/>
      <c r="CRS22" s="142"/>
      <c r="CRT22" s="142"/>
      <c r="CRU22" s="142"/>
      <c r="CRV22" s="142"/>
      <c r="CRW22" s="142"/>
      <c r="CRX22" s="142"/>
      <c r="CRY22" s="142"/>
      <c r="CRZ22" s="142"/>
      <c r="CSA22" s="142"/>
      <c r="CSB22" s="142"/>
      <c r="CSC22" s="142"/>
      <c r="CSD22" s="142"/>
      <c r="CSE22" s="142"/>
      <c r="CSF22" s="142"/>
      <c r="CSG22" s="142"/>
      <c r="CSH22" s="142"/>
      <c r="CSI22" s="142"/>
      <c r="CSJ22" s="142"/>
      <c r="CSK22" s="142"/>
      <c r="CSL22" s="142"/>
      <c r="CSM22" s="142"/>
      <c r="CSN22" s="142"/>
      <c r="CSO22" s="142"/>
      <c r="CSP22" s="142"/>
      <c r="CSQ22" s="142"/>
      <c r="CSR22" s="142"/>
      <c r="CSS22" s="142"/>
      <c r="CST22" s="142"/>
      <c r="CSU22" s="142"/>
      <c r="CSV22" s="142"/>
      <c r="CSW22" s="142"/>
      <c r="CSX22" s="142"/>
      <c r="CSY22" s="142"/>
      <c r="CSZ22" s="142"/>
      <c r="CTA22" s="142"/>
      <c r="CTB22" s="142"/>
      <c r="CTC22" s="142"/>
      <c r="CTD22" s="142"/>
      <c r="CTE22" s="142"/>
      <c r="CTF22" s="142"/>
      <c r="CTG22" s="142"/>
      <c r="CTH22" s="142"/>
      <c r="CTI22" s="142"/>
      <c r="CTJ22" s="142"/>
      <c r="CTK22" s="142"/>
      <c r="CTL22" s="142"/>
      <c r="CTM22" s="142"/>
      <c r="CTN22" s="142"/>
      <c r="CTO22" s="142"/>
      <c r="CTP22" s="142"/>
      <c r="CTQ22" s="142"/>
      <c r="CTR22" s="142"/>
      <c r="CTS22" s="142"/>
      <c r="CTT22" s="142"/>
      <c r="CTU22" s="142"/>
      <c r="CTV22" s="142"/>
      <c r="CTW22" s="142"/>
      <c r="CTX22" s="142"/>
      <c r="CTY22" s="142"/>
      <c r="CTZ22" s="142"/>
      <c r="CUA22" s="142"/>
      <c r="CUB22" s="142"/>
      <c r="CUC22" s="142"/>
      <c r="CUD22" s="142"/>
      <c r="CUE22" s="142"/>
      <c r="CUF22" s="142"/>
      <c r="CUG22" s="142"/>
      <c r="CUH22" s="142"/>
      <c r="CUI22" s="142"/>
      <c r="CUJ22" s="142"/>
      <c r="CUK22" s="142"/>
      <c r="CUL22" s="142"/>
      <c r="CUM22" s="142"/>
      <c r="CUN22" s="142"/>
      <c r="CUO22" s="142"/>
      <c r="CUP22" s="142"/>
      <c r="CUQ22" s="142"/>
      <c r="CUR22" s="142"/>
      <c r="CUS22" s="142"/>
      <c r="CUT22" s="142"/>
      <c r="CUU22" s="142"/>
      <c r="CUV22" s="142"/>
      <c r="CUW22" s="142"/>
      <c r="CUX22" s="142"/>
      <c r="CUY22" s="142"/>
      <c r="CUZ22" s="142"/>
      <c r="CVA22" s="142"/>
      <c r="CVB22" s="142"/>
      <c r="CVC22" s="142"/>
      <c r="CVD22" s="142"/>
      <c r="CVE22" s="142"/>
      <c r="CVF22" s="142"/>
      <c r="CVG22" s="142"/>
      <c r="CVH22" s="142"/>
      <c r="CVI22" s="142"/>
      <c r="CVJ22" s="142"/>
      <c r="CVK22" s="142"/>
      <c r="CVL22" s="142"/>
      <c r="CVM22" s="142"/>
      <c r="CVN22" s="142"/>
      <c r="CVO22" s="142"/>
      <c r="CVP22" s="142"/>
      <c r="CVQ22" s="142"/>
      <c r="CVR22" s="142"/>
      <c r="CVS22" s="142"/>
      <c r="CVT22" s="142"/>
      <c r="CVU22" s="142"/>
      <c r="CVV22" s="142"/>
      <c r="CVW22" s="142"/>
      <c r="CVX22" s="142"/>
      <c r="CVY22" s="142"/>
      <c r="CVZ22" s="142"/>
      <c r="CWA22" s="142"/>
      <c r="CWB22" s="142"/>
      <c r="CWC22" s="142"/>
      <c r="CWD22" s="142"/>
      <c r="CWE22" s="142"/>
      <c r="CWF22" s="142"/>
      <c r="CWG22" s="142"/>
      <c r="CWH22" s="142"/>
      <c r="CWI22" s="142"/>
      <c r="CWJ22" s="142"/>
      <c r="CWK22" s="142"/>
      <c r="CWL22" s="142"/>
      <c r="CWM22" s="142"/>
      <c r="CWN22" s="142"/>
      <c r="CWO22" s="142"/>
      <c r="CWP22" s="142"/>
      <c r="CWQ22" s="142"/>
      <c r="CWR22" s="142"/>
      <c r="CWS22" s="142"/>
      <c r="CWT22" s="142"/>
      <c r="CWU22" s="142"/>
      <c r="CWV22" s="142"/>
      <c r="CWW22" s="142"/>
      <c r="CWX22" s="142"/>
      <c r="CWY22" s="142"/>
      <c r="CWZ22" s="142"/>
      <c r="CXA22" s="142"/>
      <c r="CXB22" s="142"/>
      <c r="CXC22" s="142"/>
      <c r="CXD22" s="142"/>
      <c r="CXE22" s="142"/>
      <c r="CXF22" s="142"/>
      <c r="CXG22" s="142"/>
      <c r="CXH22" s="142"/>
      <c r="CXI22" s="142"/>
      <c r="CXJ22" s="142"/>
      <c r="CXK22" s="142"/>
      <c r="CXL22" s="142"/>
      <c r="CXM22" s="142"/>
      <c r="CXN22" s="142"/>
      <c r="CXO22" s="142"/>
      <c r="CXP22" s="142"/>
      <c r="CXQ22" s="142"/>
      <c r="CXR22" s="142"/>
      <c r="CXS22" s="142"/>
      <c r="CXT22" s="142"/>
      <c r="CXU22" s="142"/>
      <c r="CXV22" s="142"/>
      <c r="CXW22" s="142"/>
      <c r="CXX22" s="142"/>
      <c r="CXY22" s="142"/>
      <c r="CXZ22" s="142"/>
      <c r="CYA22" s="142"/>
      <c r="CYB22" s="142"/>
      <c r="CYC22" s="142"/>
      <c r="CYD22" s="142"/>
      <c r="CYE22" s="142"/>
      <c r="CYF22" s="142"/>
      <c r="CYG22" s="142"/>
      <c r="CYH22" s="142"/>
      <c r="CYI22" s="142"/>
      <c r="CYJ22" s="142"/>
      <c r="CYK22" s="142"/>
      <c r="CYL22" s="142"/>
      <c r="CYM22" s="142"/>
      <c r="CYN22" s="142"/>
      <c r="CYO22" s="142"/>
      <c r="CYP22" s="142"/>
      <c r="CYQ22" s="142"/>
      <c r="CYR22" s="142"/>
      <c r="CYS22" s="142"/>
      <c r="CYT22" s="142"/>
      <c r="CYU22" s="142"/>
      <c r="CYV22" s="142"/>
      <c r="CYW22" s="142"/>
      <c r="CYX22" s="142"/>
      <c r="CYY22" s="142"/>
      <c r="CYZ22" s="142"/>
      <c r="CZA22" s="142"/>
      <c r="CZB22" s="142"/>
      <c r="CZC22" s="142"/>
      <c r="CZD22" s="142"/>
      <c r="CZE22" s="142"/>
      <c r="CZF22" s="142"/>
      <c r="CZG22" s="142"/>
      <c r="CZH22" s="142"/>
      <c r="CZI22" s="142"/>
      <c r="CZJ22" s="142"/>
      <c r="CZK22" s="142"/>
      <c r="CZL22" s="142"/>
      <c r="CZM22" s="142"/>
      <c r="CZN22" s="142"/>
      <c r="CZO22" s="142"/>
      <c r="CZP22" s="142"/>
      <c r="CZQ22" s="142"/>
      <c r="CZR22" s="142"/>
      <c r="CZS22" s="142"/>
      <c r="CZT22" s="142"/>
      <c r="CZU22" s="142"/>
      <c r="CZV22" s="142"/>
      <c r="CZW22" s="142"/>
      <c r="CZX22" s="142"/>
      <c r="CZY22" s="142"/>
      <c r="CZZ22" s="142"/>
      <c r="DAA22" s="142"/>
      <c r="DAB22" s="142"/>
      <c r="DAC22" s="142"/>
      <c r="DAD22" s="142"/>
      <c r="DAE22" s="142"/>
      <c r="DAF22" s="142"/>
      <c r="DAG22" s="142"/>
      <c r="DAH22" s="142"/>
      <c r="DAI22" s="142"/>
      <c r="DAJ22" s="142"/>
      <c r="DAK22" s="142"/>
      <c r="DAL22" s="142"/>
      <c r="DAM22" s="142"/>
      <c r="DAN22" s="142"/>
      <c r="DAO22" s="142"/>
      <c r="DAP22" s="142"/>
      <c r="DAQ22" s="142"/>
      <c r="DAR22" s="142"/>
      <c r="DAS22" s="142"/>
      <c r="DAT22" s="142"/>
      <c r="DAU22" s="142"/>
      <c r="DAV22" s="142"/>
      <c r="DAW22" s="142"/>
      <c r="DAX22" s="142"/>
      <c r="DAY22" s="142"/>
      <c r="DAZ22" s="142"/>
      <c r="DBA22" s="142"/>
      <c r="DBB22" s="142"/>
      <c r="DBC22" s="142"/>
      <c r="DBD22" s="142"/>
      <c r="DBE22" s="142"/>
      <c r="DBF22" s="142"/>
      <c r="DBG22" s="142"/>
      <c r="DBH22" s="142"/>
      <c r="DBI22" s="142"/>
      <c r="DBJ22" s="142"/>
      <c r="DBK22" s="142"/>
      <c r="DBL22" s="142"/>
      <c r="DBM22" s="142"/>
      <c r="DBN22" s="142"/>
      <c r="DBO22" s="142"/>
      <c r="DBP22" s="142"/>
      <c r="DBQ22" s="142"/>
      <c r="DBR22" s="142"/>
      <c r="DBS22" s="142"/>
      <c r="DBT22" s="142"/>
      <c r="DBU22" s="142"/>
      <c r="DBV22" s="142"/>
      <c r="DBW22" s="142"/>
      <c r="DBX22" s="142"/>
      <c r="DBY22" s="142"/>
      <c r="DBZ22" s="142"/>
      <c r="DCA22" s="142"/>
      <c r="DCB22" s="142"/>
      <c r="DCC22" s="142"/>
      <c r="DCD22" s="142"/>
      <c r="DCE22" s="142"/>
      <c r="DCF22" s="142"/>
      <c r="DCG22" s="142"/>
      <c r="DCH22" s="142"/>
      <c r="DCI22" s="142"/>
      <c r="DCJ22" s="142"/>
      <c r="DCK22" s="142"/>
      <c r="DCL22" s="142"/>
      <c r="DCM22" s="142"/>
      <c r="DCN22" s="142"/>
      <c r="DCO22" s="142"/>
      <c r="DCP22" s="142"/>
      <c r="DCQ22" s="142"/>
      <c r="DCR22" s="142"/>
      <c r="DCS22" s="142"/>
      <c r="DCT22" s="142"/>
      <c r="DCU22" s="142"/>
      <c r="DCV22" s="142"/>
      <c r="DCW22" s="142"/>
      <c r="DCX22" s="142"/>
      <c r="DCY22" s="142"/>
      <c r="DCZ22" s="142"/>
      <c r="DDA22" s="142"/>
      <c r="DDB22" s="142"/>
      <c r="DDC22" s="142"/>
      <c r="DDD22" s="142"/>
      <c r="DDE22" s="142"/>
      <c r="DDF22" s="142"/>
      <c r="DDG22" s="142"/>
      <c r="DDH22" s="142"/>
      <c r="DDI22" s="142"/>
      <c r="DDJ22" s="142"/>
      <c r="DDK22" s="142"/>
      <c r="DDL22" s="142"/>
      <c r="DDM22" s="142"/>
      <c r="DDN22" s="142"/>
      <c r="DDO22" s="142"/>
      <c r="DDP22" s="142"/>
      <c r="DDQ22" s="142"/>
      <c r="DDR22" s="142"/>
      <c r="DDS22" s="142"/>
      <c r="DDT22" s="142"/>
      <c r="DDU22" s="142"/>
      <c r="DDV22" s="142"/>
      <c r="DDW22" s="142"/>
      <c r="DDX22" s="142"/>
      <c r="DDY22" s="142"/>
      <c r="DDZ22" s="142"/>
      <c r="DEA22" s="142"/>
      <c r="DEB22" s="142"/>
      <c r="DEC22" s="142"/>
      <c r="DED22" s="142"/>
      <c r="DEE22" s="142"/>
      <c r="DEF22" s="142"/>
      <c r="DEG22" s="142"/>
      <c r="DEH22" s="142"/>
      <c r="DEI22" s="142"/>
      <c r="DEJ22" s="142"/>
      <c r="DEK22" s="142"/>
      <c r="DEL22" s="142"/>
      <c r="DEM22" s="142"/>
      <c r="DEN22" s="142"/>
      <c r="DEO22" s="142"/>
      <c r="DEP22" s="142"/>
      <c r="DEQ22" s="142"/>
      <c r="DER22" s="142"/>
      <c r="DES22" s="142"/>
      <c r="DET22" s="142"/>
      <c r="DEU22" s="142"/>
      <c r="DEV22" s="142"/>
      <c r="DEW22" s="142"/>
      <c r="DEX22" s="142"/>
      <c r="DEY22" s="142"/>
      <c r="DEZ22" s="142"/>
      <c r="DFA22" s="142"/>
      <c r="DFB22" s="142"/>
      <c r="DFC22" s="142"/>
      <c r="DFD22" s="142"/>
      <c r="DFE22" s="142"/>
      <c r="DFF22" s="142"/>
      <c r="DFG22" s="142"/>
      <c r="DFH22" s="142"/>
      <c r="DFI22" s="142"/>
      <c r="DFJ22" s="142"/>
      <c r="DFK22" s="142"/>
      <c r="DFL22" s="142"/>
      <c r="DFM22" s="142"/>
      <c r="DFN22" s="142"/>
      <c r="DFO22" s="142"/>
      <c r="DFP22" s="142"/>
      <c r="DFQ22" s="142"/>
      <c r="DFR22" s="142"/>
      <c r="DFS22" s="142"/>
      <c r="DFT22" s="142"/>
      <c r="DFU22" s="142"/>
      <c r="DFV22" s="142"/>
      <c r="DFW22" s="142"/>
      <c r="DFX22" s="142"/>
      <c r="DFY22" s="142"/>
      <c r="DFZ22" s="142"/>
      <c r="DGA22" s="142"/>
      <c r="DGB22" s="142"/>
      <c r="DGC22" s="142"/>
      <c r="DGD22" s="142"/>
      <c r="DGE22" s="142"/>
      <c r="DGF22" s="142"/>
      <c r="DGG22" s="142"/>
      <c r="DGH22" s="142"/>
      <c r="DGI22" s="142"/>
      <c r="DGJ22" s="142"/>
      <c r="DGK22" s="142"/>
      <c r="DGL22" s="142"/>
      <c r="DGM22" s="142"/>
      <c r="DGN22" s="142"/>
      <c r="DGO22" s="142"/>
      <c r="DGP22" s="142"/>
      <c r="DGQ22" s="142"/>
      <c r="DGR22" s="142"/>
      <c r="DGS22" s="142"/>
      <c r="DGT22" s="142"/>
      <c r="DGU22" s="142"/>
      <c r="DGV22" s="142"/>
      <c r="DGW22" s="142"/>
      <c r="DGX22" s="142"/>
      <c r="DGY22" s="142"/>
      <c r="DGZ22" s="142"/>
      <c r="DHA22" s="142"/>
      <c r="DHB22" s="142"/>
      <c r="DHC22" s="142"/>
      <c r="DHD22" s="142"/>
      <c r="DHE22" s="142"/>
      <c r="DHF22" s="142"/>
      <c r="DHG22" s="142"/>
      <c r="DHH22" s="142"/>
      <c r="DHI22" s="142"/>
      <c r="DHJ22" s="142"/>
      <c r="DHK22" s="142"/>
      <c r="DHL22" s="142"/>
      <c r="DHM22" s="142"/>
      <c r="DHN22" s="142"/>
      <c r="DHO22" s="142"/>
      <c r="DHP22" s="142"/>
      <c r="DHQ22" s="142"/>
      <c r="DHR22" s="142"/>
      <c r="DHS22" s="142"/>
      <c r="DHT22" s="142"/>
      <c r="DHU22" s="142"/>
      <c r="DHV22" s="142"/>
      <c r="DHW22" s="142"/>
      <c r="DHX22" s="142"/>
      <c r="DHY22" s="142"/>
      <c r="DHZ22" s="142"/>
      <c r="DIA22" s="142"/>
      <c r="DIB22" s="142"/>
      <c r="DIC22" s="142"/>
      <c r="DID22" s="142"/>
      <c r="DIE22" s="142"/>
      <c r="DIF22" s="142"/>
      <c r="DIG22" s="142"/>
      <c r="DIH22" s="142"/>
      <c r="DII22" s="142"/>
      <c r="DIJ22" s="142"/>
      <c r="DIK22" s="142"/>
      <c r="DIL22" s="142"/>
      <c r="DIM22" s="142"/>
      <c r="DIN22" s="142"/>
      <c r="DIO22" s="142"/>
      <c r="DIP22" s="142"/>
      <c r="DIQ22" s="142"/>
      <c r="DIR22" s="142"/>
      <c r="DIS22" s="142"/>
      <c r="DIT22" s="142"/>
      <c r="DIU22" s="142"/>
      <c r="DIV22" s="142"/>
      <c r="DIW22" s="142"/>
      <c r="DIX22" s="142"/>
      <c r="DIY22" s="142"/>
      <c r="DIZ22" s="142"/>
      <c r="DJA22" s="142"/>
      <c r="DJB22" s="142"/>
      <c r="DJC22" s="142"/>
      <c r="DJD22" s="142"/>
      <c r="DJE22" s="142"/>
      <c r="DJF22" s="142"/>
      <c r="DJG22" s="142"/>
      <c r="DJH22" s="142"/>
      <c r="DJI22" s="142"/>
      <c r="DJJ22" s="142"/>
      <c r="DJK22" s="142"/>
      <c r="DJL22" s="142"/>
      <c r="DJM22" s="142"/>
      <c r="DJN22" s="142"/>
      <c r="DJO22" s="142"/>
      <c r="DJP22" s="142"/>
      <c r="DJQ22" s="142"/>
      <c r="DJR22" s="142"/>
      <c r="DJS22" s="142"/>
      <c r="DJT22" s="142"/>
      <c r="DJU22" s="142"/>
      <c r="DJV22" s="142"/>
      <c r="DJW22" s="142"/>
      <c r="DJX22" s="142"/>
      <c r="DJY22" s="142"/>
      <c r="DJZ22" s="142"/>
      <c r="DKA22" s="142"/>
      <c r="DKB22" s="142"/>
      <c r="DKC22" s="142"/>
      <c r="DKD22" s="142"/>
      <c r="DKE22" s="142"/>
      <c r="DKF22" s="142"/>
      <c r="DKG22" s="142"/>
      <c r="DKH22" s="142"/>
      <c r="DKI22" s="142"/>
      <c r="DKJ22" s="142"/>
      <c r="DKK22" s="142"/>
      <c r="DKL22" s="142"/>
      <c r="DKM22" s="142"/>
      <c r="DKN22" s="142"/>
      <c r="DKO22" s="142"/>
      <c r="DKP22" s="142"/>
      <c r="DKQ22" s="142"/>
      <c r="DKR22" s="142"/>
      <c r="DKS22" s="142"/>
      <c r="DKT22" s="142"/>
      <c r="DKU22" s="142"/>
      <c r="DKV22" s="142"/>
      <c r="DKW22" s="142"/>
      <c r="DKX22" s="142"/>
      <c r="DKY22" s="142"/>
      <c r="DKZ22" s="142"/>
      <c r="DLA22" s="142"/>
      <c r="DLB22" s="142"/>
      <c r="DLC22" s="142"/>
      <c r="DLD22" s="142"/>
      <c r="DLE22" s="142"/>
      <c r="DLF22" s="142"/>
      <c r="DLG22" s="142"/>
      <c r="DLH22" s="142"/>
      <c r="DLI22" s="142"/>
      <c r="DLJ22" s="142"/>
      <c r="DLK22" s="142"/>
      <c r="DLL22" s="142"/>
      <c r="DLM22" s="142"/>
      <c r="DLN22" s="142"/>
      <c r="DLO22" s="142"/>
      <c r="DLP22" s="142"/>
      <c r="DLQ22" s="142"/>
      <c r="DLR22" s="142"/>
      <c r="DLS22" s="142"/>
      <c r="DLT22" s="142"/>
      <c r="DLU22" s="142"/>
      <c r="DLV22" s="142"/>
      <c r="DLW22" s="142"/>
      <c r="DLX22" s="142"/>
      <c r="DLY22" s="142"/>
      <c r="DLZ22" s="142"/>
      <c r="DMA22" s="142"/>
      <c r="DMB22" s="142"/>
      <c r="DMC22" s="142"/>
      <c r="DMD22" s="142"/>
      <c r="DME22" s="142"/>
      <c r="DMF22" s="142"/>
      <c r="DMG22" s="142"/>
      <c r="DMH22" s="142"/>
      <c r="DMI22" s="142"/>
      <c r="DMJ22" s="142"/>
      <c r="DMK22" s="142"/>
      <c r="DML22" s="142"/>
      <c r="DMM22" s="142"/>
      <c r="DMN22" s="142"/>
      <c r="DMO22" s="142"/>
      <c r="DMP22" s="142"/>
      <c r="DMQ22" s="142"/>
      <c r="DMR22" s="142"/>
      <c r="DMS22" s="142"/>
      <c r="DMT22" s="142"/>
      <c r="DMU22" s="142"/>
      <c r="DMV22" s="142"/>
      <c r="DMW22" s="142"/>
      <c r="DMX22" s="142"/>
      <c r="DMY22" s="142"/>
      <c r="DMZ22" s="142"/>
      <c r="DNA22" s="142"/>
      <c r="DNB22" s="142"/>
      <c r="DNC22" s="142"/>
      <c r="DND22" s="142"/>
      <c r="DNE22" s="142"/>
      <c r="DNF22" s="142"/>
      <c r="DNG22" s="142"/>
      <c r="DNH22" s="142"/>
      <c r="DNI22" s="142"/>
      <c r="DNJ22" s="142"/>
      <c r="DNK22" s="142"/>
      <c r="DNL22" s="142"/>
      <c r="DNM22" s="142"/>
      <c r="DNN22" s="142"/>
      <c r="DNO22" s="142"/>
      <c r="DNP22" s="142"/>
      <c r="DNQ22" s="142"/>
      <c r="DNR22" s="142"/>
      <c r="DNS22" s="142"/>
      <c r="DNT22" s="142"/>
      <c r="DNU22" s="142"/>
      <c r="DNV22" s="142"/>
      <c r="DNW22" s="142"/>
      <c r="DNX22" s="142"/>
      <c r="DNY22" s="142"/>
      <c r="DNZ22" s="142"/>
      <c r="DOA22" s="142"/>
      <c r="DOB22" s="142"/>
      <c r="DOC22" s="142"/>
      <c r="DOD22" s="142"/>
      <c r="DOE22" s="142"/>
      <c r="DOF22" s="142"/>
      <c r="DOG22" s="142"/>
      <c r="DOH22" s="142"/>
      <c r="DOI22" s="142"/>
      <c r="DOJ22" s="142"/>
      <c r="DOK22" s="142"/>
      <c r="DOL22" s="142"/>
      <c r="DOM22" s="142"/>
      <c r="DON22" s="142"/>
      <c r="DOO22" s="142"/>
      <c r="DOP22" s="142"/>
      <c r="DOQ22" s="142"/>
      <c r="DOR22" s="142"/>
      <c r="DOS22" s="142"/>
      <c r="DOT22" s="142"/>
      <c r="DOU22" s="142"/>
      <c r="DOV22" s="142"/>
      <c r="DOW22" s="142"/>
      <c r="DOX22" s="142"/>
      <c r="DOY22" s="142"/>
      <c r="DOZ22" s="142"/>
      <c r="DPA22" s="142"/>
      <c r="DPB22" s="142"/>
      <c r="DPC22" s="142"/>
      <c r="DPD22" s="142"/>
      <c r="DPE22" s="142"/>
      <c r="DPF22" s="142"/>
      <c r="DPG22" s="142"/>
      <c r="DPH22" s="142"/>
      <c r="DPI22" s="142"/>
      <c r="DPJ22" s="142"/>
      <c r="DPK22" s="142"/>
      <c r="DPL22" s="142"/>
      <c r="DPM22" s="142"/>
      <c r="DPN22" s="142"/>
      <c r="DPO22" s="142"/>
      <c r="DPP22" s="142"/>
      <c r="DPQ22" s="142"/>
      <c r="DPR22" s="142"/>
      <c r="DPS22" s="142"/>
      <c r="DPT22" s="142"/>
      <c r="DPU22" s="142"/>
      <c r="DPV22" s="142"/>
      <c r="DPW22" s="142"/>
      <c r="DPX22" s="142"/>
      <c r="DPY22" s="142"/>
      <c r="DPZ22" s="142"/>
      <c r="DQA22" s="142"/>
      <c r="DQB22" s="142"/>
      <c r="DQC22" s="142"/>
      <c r="DQD22" s="142"/>
      <c r="DQE22" s="142"/>
      <c r="DQF22" s="142"/>
      <c r="DQG22" s="142"/>
      <c r="DQH22" s="142"/>
      <c r="DQI22" s="142"/>
      <c r="DQJ22" s="142"/>
      <c r="DQK22" s="142"/>
      <c r="DQL22" s="142"/>
      <c r="DQM22" s="142"/>
      <c r="DQN22" s="142"/>
      <c r="DQO22" s="142"/>
      <c r="DQP22" s="142"/>
      <c r="DQQ22" s="142"/>
      <c r="DQR22" s="142"/>
      <c r="DQS22" s="142"/>
      <c r="DQT22" s="142"/>
      <c r="DQU22" s="142"/>
      <c r="DQV22" s="142"/>
      <c r="DQW22" s="142"/>
      <c r="DQX22" s="142"/>
      <c r="DQY22" s="142"/>
      <c r="DQZ22" s="142"/>
      <c r="DRA22" s="142"/>
      <c r="DRB22" s="142"/>
      <c r="DRC22" s="142"/>
      <c r="DRD22" s="142"/>
      <c r="DRE22" s="142"/>
      <c r="DRF22" s="142"/>
      <c r="DRG22" s="142"/>
      <c r="DRH22" s="142"/>
      <c r="DRI22" s="142"/>
      <c r="DRJ22" s="142"/>
      <c r="DRK22" s="142"/>
      <c r="DRL22" s="142"/>
      <c r="DRM22" s="142"/>
      <c r="DRN22" s="142"/>
      <c r="DRO22" s="142"/>
      <c r="DRP22" s="142"/>
      <c r="DRQ22" s="142"/>
      <c r="DRR22" s="142"/>
      <c r="DRS22" s="142"/>
      <c r="DRT22" s="142"/>
      <c r="DRU22" s="142"/>
      <c r="DRV22" s="142"/>
      <c r="DRW22" s="142"/>
      <c r="DRX22" s="142"/>
      <c r="DRY22" s="142"/>
      <c r="DRZ22" s="142"/>
      <c r="DSA22" s="142"/>
      <c r="DSB22" s="142"/>
      <c r="DSC22" s="142"/>
      <c r="DSD22" s="142"/>
      <c r="DSE22" s="142"/>
      <c r="DSF22" s="142"/>
      <c r="DSG22" s="142"/>
      <c r="DSH22" s="142"/>
      <c r="DSI22" s="142"/>
      <c r="DSJ22" s="142"/>
      <c r="DSK22" s="142"/>
      <c r="DSL22" s="142"/>
      <c r="DSM22" s="142"/>
      <c r="DSN22" s="142"/>
      <c r="DSO22" s="142"/>
      <c r="DSP22" s="142"/>
      <c r="DSQ22" s="142"/>
      <c r="DSR22" s="142"/>
      <c r="DSS22" s="142"/>
      <c r="DST22" s="142"/>
      <c r="DSU22" s="142"/>
      <c r="DSV22" s="142"/>
      <c r="DSW22" s="142"/>
      <c r="DSX22" s="142"/>
      <c r="DSY22" s="142"/>
      <c r="DSZ22" s="142"/>
      <c r="DTA22" s="142"/>
      <c r="DTB22" s="142"/>
      <c r="DTC22" s="142"/>
      <c r="DTD22" s="142"/>
      <c r="DTE22" s="142"/>
      <c r="DTF22" s="142"/>
      <c r="DTG22" s="142"/>
      <c r="DTH22" s="142"/>
      <c r="DTI22" s="142"/>
      <c r="DTJ22" s="142"/>
      <c r="DTK22" s="142"/>
      <c r="DTL22" s="142"/>
      <c r="DTM22" s="142"/>
      <c r="DTN22" s="142"/>
      <c r="DTO22" s="142"/>
      <c r="DTP22" s="142"/>
      <c r="DTQ22" s="142"/>
      <c r="DTR22" s="142"/>
      <c r="DTS22" s="142"/>
      <c r="DTT22" s="142"/>
      <c r="DTU22" s="142"/>
      <c r="DTV22" s="142"/>
      <c r="DTW22" s="142"/>
      <c r="DTX22" s="142"/>
      <c r="DTY22" s="142"/>
      <c r="DTZ22" s="142"/>
      <c r="DUA22" s="142"/>
      <c r="DUB22" s="142"/>
      <c r="DUC22" s="142"/>
      <c r="DUD22" s="142"/>
      <c r="DUE22" s="142"/>
      <c r="DUF22" s="142"/>
      <c r="DUG22" s="142"/>
      <c r="DUH22" s="142"/>
      <c r="DUI22" s="142"/>
      <c r="DUJ22" s="142"/>
      <c r="DUK22" s="142"/>
      <c r="DUL22" s="142"/>
      <c r="DUM22" s="142"/>
      <c r="DUN22" s="142"/>
      <c r="DUO22" s="142"/>
      <c r="DUP22" s="142"/>
      <c r="DUQ22" s="142"/>
      <c r="DUR22" s="142"/>
      <c r="DUS22" s="142"/>
      <c r="DUT22" s="142"/>
      <c r="DUU22" s="142"/>
      <c r="DUV22" s="142"/>
      <c r="DUW22" s="142"/>
      <c r="DUX22" s="142"/>
      <c r="DUY22" s="142"/>
      <c r="DUZ22" s="142"/>
      <c r="DVA22" s="142"/>
      <c r="DVB22" s="142"/>
      <c r="DVC22" s="142"/>
      <c r="DVD22" s="142"/>
      <c r="DVE22" s="142"/>
      <c r="DVF22" s="142"/>
      <c r="DVG22" s="142"/>
      <c r="DVH22" s="142"/>
      <c r="DVI22" s="142"/>
      <c r="DVJ22" s="142"/>
      <c r="DVK22" s="142"/>
      <c r="DVL22" s="142"/>
      <c r="DVM22" s="142"/>
      <c r="DVN22" s="142"/>
      <c r="DVO22" s="142"/>
      <c r="DVP22" s="142"/>
      <c r="DVQ22" s="142"/>
      <c r="DVR22" s="142"/>
      <c r="DVS22" s="142"/>
      <c r="DVT22" s="142"/>
      <c r="DVU22" s="142"/>
      <c r="DVV22" s="142"/>
      <c r="DVW22" s="142"/>
      <c r="DVX22" s="142"/>
      <c r="DVY22" s="142"/>
      <c r="DVZ22" s="142"/>
      <c r="DWA22" s="142"/>
      <c r="DWB22" s="142"/>
      <c r="DWC22" s="142"/>
      <c r="DWD22" s="142"/>
      <c r="DWE22" s="142"/>
      <c r="DWF22" s="142"/>
      <c r="DWG22" s="142"/>
      <c r="DWH22" s="142"/>
      <c r="DWI22" s="142"/>
      <c r="DWJ22" s="142"/>
      <c r="DWK22" s="142"/>
      <c r="DWL22" s="142"/>
      <c r="DWM22" s="142"/>
      <c r="DWN22" s="142"/>
      <c r="DWO22" s="142"/>
      <c r="DWP22" s="142"/>
      <c r="DWQ22" s="142"/>
      <c r="DWR22" s="142"/>
      <c r="DWS22" s="142"/>
      <c r="DWT22" s="142"/>
      <c r="DWU22" s="142"/>
      <c r="DWV22" s="142"/>
      <c r="DWW22" s="142"/>
      <c r="DWX22" s="142"/>
      <c r="DWY22" s="142"/>
      <c r="DWZ22" s="142"/>
      <c r="DXA22" s="142"/>
      <c r="DXB22" s="142"/>
      <c r="DXC22" s="142"/>
      <c r="DXD22" s="142"/>
      <c r="DXE22" s="142"/>
      <c r="DXF22" s="142"/>
      <c r="DXG22" s="142"/>
      <c r="DXH22" s="142"/>
      <c r="DXI22" s="142"/>
      <c r="DXJ22" s="142"/>
      <c r="DXK22" s="142"/>
      <c r="DXL22" s="142"/>
      <c r="DXM22" s="142"/>
      <c r="DXN22" s="142"/>
      <c r="DXO22" s="142"/>
      <c r="DXP22" s="142"/>
      <c r="DXQ22" s="142"/>
      <c r="DXR22" s="142"/>
      <c r="DXS22" s="142"/>
      <c r="DXT22" s="142"/>
      <c r="DXU22" s="142"/>
      <c r="DXV22" s="142"/>
      <c r="DXW22" s="142"/>
      <c r="DXX22" s="142"/>
      <c r="DXY22" s="142"/>
      <c r="DXZ22" s="142"/>
      <c r="DYA22" s="142"/>
      <c r="DYB22" s="142"/>
      <c r="DYC22" s="142"/>
      <c r="DYD22" s="142"/>
      <c r="DYE22" s="142"/>
      <c r="DYF22" s="142"/>
      <c r="DYG22" s="142"/>
      <c r="DYH22" s="142"/>
      <c r="DYI22" s="142"/>
      <c r="DYJ22" s="142"/>
      <c r="DYK22" s="142"/>
      <c r="DYL22" s="142"/>
      <c r="DYM22" s="142"/>
      <c r="DYN22" s="142"/>
      <c r="DYO22" s="142"/>
      <c r="DYP22" s="142"/>
      <c r="DYQ22" s="142"/>
      <c r="DYR22" s="142"/>
      <c r="DYS22" s="142"/>
      <c r="DYT22" s="142"/>
      <c r="DYU22" s="142"/>
      <c r="DYV22" s="142"/>
      <c r="DYW22" s="142"/>
      <c r="DYX22" s="142"/>
      <c r="DYY22" s="142"/>
      <c r="DYZ22" s="142"/>
      <c r="DZA22" s="142"/>
      <c r="DZB22" s="142"/>
      <c r="DZC22" s="142"/>
      <c r="DZD22" s="142"/>
      <c r="DZE22" s="142"/>
      <c r="DZF22" s="142"/>
      <c r="DZG22" s="142"/>
      <c r="DZH22" s="142"/>
      <c r="DZI22" s="142"/>
      <c r="DZJ22" s="142"/>
      <c r="DZK22" s="142"/>
      <c r="DZL22" s="142"/>
      <c r="DZM22" s="142"/>
      <c r="DZN22" s="142"/>
      <c r="DZO22" s="142"/>
      <c r="DZP22" s="142"/>
      <c r="DZQ22" s="142"/>
      <c r="DZR22" s="142"/>
      <c r="DZS22" s="142"/>
      <c r="DZT22" s="142"/>
      <c r="DZU22" s="142"/>
      <c r="DZV22" s="142"/>
      <c r="DZW22" s="142"/>
      <c r="DZX22" s="142"/>
      <c r="DZY22" s="142"/>
      <c r="DZZ22" s="142"/>
      <c r="EAA22" s="142"/>
      <c r="EAB22" s="142"/>
      <c r="EAC22" s="142"/>
      <c r="EAD22" s="142"/>
      <c r="EAE22" s="142"/>
      <c r="EAF22" s="142"/>
      <c r="EAG22" s="142"/>
      <c r="EAH22" s="142"/>
      <c r="EAI22" s="142"/>
      <c r="EAJ22" s="142"/>
      <c r="EAK22" s="142"/>
      <c r="EAL22" s="142"/>
      <c r="EAM22" s="142"/>
      <c r="EAN22" s="142"/>
      <c r="EAO22" s="142"/>
      <c r="EAP22" s="142"/>
      <c r="EAQ22" s="142"/>
      <c r="EAR22" s="142"/>
      <c r="EAS22" s="142"/>
      <c r="EAT22" s="142"/>
      <c r="EAU22" s="142"/>
      <c r="EAV22" s="142"/>
      <c r="EAW22" s="142"/>
      <c r="EAX22" s="142"/>
      <c r="EAY22" s="142"/>
      <c r="EAZ22" s="142"/>
      <c r="EBA22" s="142"/>
      <c r="EBB22" s="142"/>
      <c r="EBC22" s="142"/>
      <c r="EBD22" s="142"/>
      <c r="EBE22" s="142"/>
      <c r="EBF22" s="142"/>
      <c r="EBG22" s="142"/>
      <c r="EBH22" s="142"/>
      <c r="EBI22" s="142"/>
      <c r="EBJ22" s="142"/>
      <c r="EBK22" s="142"/>
      <c r="EBL22" s="142"/>
      <c r="EBM22" s="142"/>
      <c r="EBN22" s="142"/>
      <c r="EBO22" s="142"/>
      <c r="EBP22" s="142"/>
      <c r="EBQ22" s="142"/>
      <c r="EBR22" s="142"/>
      <c r="EBS22" s="142"/>
      <c r="EBT22" s="142"/>
      <c r="EBU22" s="142"/>
      <c r="EBV22" s="142"/>
      <c r="EBW22" s="142"/>
      <c r="EBX22" s="142"/>
      <c r="EBY22" s="142"/>
      <c r="EBZ22" s="142"/>
      <c r="ECA22" s="142"/>
      <c r="ECB22" s="142"/>
      <c r="ECC22" s="142"/>
      <c r="ECD22" s="142"/>
      <c r="ECE22" s="142"/>
      <c r="ECF22" s="142"/>
      <c r="ECG22" s="142"/>
      <c r="ECH22" s="142"/>
      <c r="ECI22" s="142"/>
      <c r="ECJ22" s="142"/>
      <c r="ECK22" s="142"/>
      <c r="ECL22" s="142"/>
      <c r="ECM22" s="142"/>
      <c r="ECN22" s="142"/>
      <c r="ECO22" s="142"/>
      <c r="ECP22" s="142"/>
      <c r="ECQ22" s="142"/>
      <c r="ECR22" s="142"/>
      <c r="ECS22" s="142"/>
      <c r="ECT22" s="142"/>
      <c r="ECU22" s="142"/>
      <c r="ECV22" s="142"/>
      <c r="ECW22" s="142"/>
      <c r="ECX22" s="142"/>
      <c r="ECY22" s="142"/>
      <c r="ECZ22" s="142"/>
      <c r="EDA22" s="142"/>
      <c r="EDB22" s="142"/>
      <c r="EDC22" s="142"/>
      <c r="EDD22" s="142"/>
      <c r="EDE22" s="142"/>
      <c r="EDF22" s="142"/>
      <c r="EDG22" s="142"/>
      <c r="EDH22" s="142"/>
      <c r="EDI22" s="142"/>
      <c r="EDJ22" s="142"/>
      <c r="EDK22" s="142"/>
      <c r="EDL22" s="142"/>
      <c r="EDM22" s="142"/>
      <c r="EDN22" s="142"/>
      <c r="EDO22" s="142"/>
      <c r="EDP22" s="142"/>
      <c r="EDQ22" s="142"/>
      <c r="EDR22" s="142"/>
      <c r="EDS22" s="142"/>
      <c r="EDT22" s="142"/>
      <c r="EDU22" s="142"/>
      <c r="EDV22" s="142"/>
      <c r="EDW22" s="142"/>
      <c r="EDX22" s="142"/>
      <c r="EDY22" s="142"/>
      <c r="EDZ22" s="142"/>
      <c r="EEA22" s="142"/>
      <c r="EEB22" s="142"/>
      <c r="EEC22" s="142"/>
      <c r="EED22" s="142"/>
      <c r="EEE22" s="142"/>
      <c r="EEF22" s="142"/>
      <c r="EEG22" s="142"/>
      <c r="EEH22" s="142"/>
      <c r="EEI22" s="142"/>
      <c r="EEJ22" s="142"/>
      <c r="EEK22" s="142"/>
      <c r="EEL22" s="142"/>
      <c r="EEM22" s="142"/>
      <c r="EEN22" s="142"/>
      <c r="EEO22" s="142"/>
      <c r="EEP22" s="142"/>
      <c r="EEQ22" s="142"/>
      <c r="EER22" s="142"/>
      <c r="EES22" s="142"/>
      <c r="EET22" s="142"/>
      <c r="EEU22" s="142"/>
      <c r="EEV22" s="142"/>
      <c r="EEW22" s="142"/>
      <c r="EEX22" s="142"/>
      <c r="EEY22" s="142"/>
      <c r="EEZ22" s="142"/>
      <c r="EFA22" s="142"/>
      <c r="EFB22" s="142"/>
      <c r="EFC22" s="142"/>
      <c r="EFD22" s="142"/>
      <c r="EFE22" s="142"/>
      <c r="EFF22" s="142"/>
      <c r="EFG22" s="142"/>
      <c r="EFH22" s="142"/>
      <c r="EFI22" s="142"/>
      <c r="EFJ22" s="142"/>
      <c r="EFK22" s="142"/>
      <c r="EFL22" s="142"/>
      <c r="EFM22" s="142"/>
      <c r="EFN22" s="142"/>
      <c r="EFO22" s="142"/>
      <c r="EFP22" s="142"/>
      <c r="EFQ22" s="142"/>
      <c r="EFR22" s="142"/>
      <c r="EFS22" s="142"/>
      <c r="EFT22" s="142"/>
      <c r="EFU22" s="142"/>
      <c r="EFV22" s="142"/>
      <c r="EFW22" s="142"/>
      <c r="EFX22" s="142"/>
      <c r="EFY22" s="142"/>
      <c r="EFZ22" s="142"/>
      <c r="EGA22" s="142"/>
      <c r="EGB22" s="142"/>
      <c r="EGC22" s="142"/>
      <c r="EGD22" s="142"/>
      <c r="EGE22" s="142"/>
      <c r="EGF22" s="142"/>
      <c r="EGG22" s="142"/>
      <c r="EGH22" s="142"/>
      <c r="EGI22" s="142"/>
      <c r="EGJ22" s="142"/>
      <c r="EGK22" s="142"/>
      <c r="EGL22" s="142"/>
      <c r="EGM22" s="142"/>
      <c r="EGN22" s="142"/>
      <c r="EGO22" s="142"/>
      <c r="EGP22" s="142"/>
      <c r="EGQ22" s="142"/>
      <c r="EGR22" s="142"/>
      <c r="EGS22" s="142"/>
      <c r="EGT22" s="142"/>
      <c r="EGU22" s="142"/>
      <c r="EGV22" s="142"/>
      <c r="EGW22" s="142"/>
      <c r="EGX22" s="142"/>
      <c r="EGY22" s="142"/>
      <c r="EGZ22" s="142"/>
      <c r="EHA22" s="142"/>
      <c r="EHB22" s="142"/>
      <c r="EHC22" s="142"/>
      <c r="EHD22" s="142"/>
      <c r="EHE22" s="142"/>
      <c r="EHF22" s="142"/>
      <c r="EHG22" s="142"/>
      <c r="EHH22" s="142"/>
      <c r="EHI22" s="142"/>
      <c r="EHJ22" s="142"/>
      <c r="EHK22" s="142"/>
      <c r="EHL22" s="142"/>
      <c r="EHM22" s="142"/>
      <c r="EHN22" s="142"/>
      <c r="EHO22" s="142"/>
      <c r="EHP22" s="142"/>
      <c r="EHQ22" s="142"/>
      <c r="EHR22" s="142"/>
      <c r="EHS22" s="142"/>
      <c r="EHT22" s="142"/>
      <c r="EHU22" s="142"/>
      <c r="EHV22" s="142"/>
      <c r="EHW22" s="142"/>
      <c r="EHX22" s="142"/>
      <c r="EHY22" s="142"/>
      <c r="EHZ22" s="142"/>
      <c r="EIA22" s="142"/>
      <c r="EIB22" s="142"/>
      <c r="EIC22" s="142"/>
      <c r="EID22" s="142"/>
      <c r="EIE22" s="142"/>
      <c r="EIF22" s="142"/>
      <c r="EIG22" s="142"/>
      <c r="EIH22" s="142"/>
      <c r="EII22" s="142"/>
      <c r="EIJ22" s="142"/>
      <c r="EIK22" s="142"/>
      <c r="EIL22" s="142"/>
      <c r="EIM22" s="142"/>
      <c r="EIN22" s="142"/>
      <c r="EIO22" s="142"/>
      <c r="EIP22" s="142"/>
      <c r="EIQ22" s="142"/>
      <c r="EIR22" s="142"/>
      <c r="EIS22" s="142"/>
      <c r="EIT22" s="142"/>
      <c r="EIU22" s="142"/>
      <c r="EIV22" s="142"/>
      <c r="EIW22" s="142"/>
      <c r="EIX22" s="142"/>
      <c r="EIY22" s="142"/>
      <c r="EIZ22" s="142"/>
      <c r="EJA22" s="142"/>
      <c r="EJB22" s="142"/>
      <c r="EJC22" s="142"/>
      <c r="EJD22" s="142"/>
      <c r="EJE22" s="142"/>
      <c r="EJF22" s="142"/>
      <c r="EJG22" s="142"/>
      <c r="EJH22" s="142"/>
      <c r="EJI22" s="142"/>
      <c r="EJJ22" s="142"/>
      <c r="EJK22" s="142"/>
      <c r="EJL22" s="142"/>
      <c r="EJM22" s="142"/>
      <c r="EJN22" s="142"/>
      <c r="EJO22" s="142"/>
      <c r="EJP22" s="142"/>
      <c r="EJQ22" s="142"/>
      <c r="EJR22" s="142"/>
      <c r="EJS22" s="142"/>
      <c r="EJT22" s="142"/>
      <c r="EJU22" s="142"/>
      <c r="EJV22" s="142"/>
      <c r="EJW22" s="142"/>
      <c r="EJX22" s="142"/>
      <c r="EJY22" s="142"/>
      <c r="EJZ22" s="142"/>
      <c r="EKA22" s="142"/>
      <c r="EKB22" s="142"/>
      <c r="EKC22" s="142"/>
      <c r="EKD22" s="142"/>
      <c r="EKE22" s="142"/>
      <c r="EKF22" s="142"/>
      <c r="EKG22" s="142"/>
      <c r="EKH22" s="142"/>
      <c r="EKI22" s="142"/>
      <c r="EKJ22" s="142"/>
      <c r="EKK22" s="142"/>
      <c r="EKL22" s="142"/>
      <c r="EKM22" s="142"/>
      <c r="EKN22" s="142"/>
      <c r="EKO22" s="142"/>
      <c r="EKP22" s="142"/>
      <c r="EKQ22" s="142"/>
      <c r="EKR22" s="142"/>
      <c r="EKS22" s="142"/>
      <c r="EKT22" s="142"/>
      <c r="EKU22" s="142"/>
      <c r="EKV22" s="142"/>
      <c r="EKW22" s="142"/>
      <c r="EKX22" s="142"/>
      <c r="EKY22" s="142"/>
      <c r="EKZ22" s="142"/>
      <c r="ELA22" s="142"/>
      <c r="ELB22" s="142"/>
      <c r="ELC22" s="142"/>
      <c r="ELD22" s="142"/>
      <c r="ELE22" s="142"/>
      <c r="ELF22" s="142"/>
      <c r="ELG22" s="142"/>
      <c r="ELH22" s="142"/>
      <c r="ELI22" s="142"/>
      <c r="ELJ22" s="142"/>
      <c r="ELK22" s="142"/>
      <c r="ELL22" s="142"/>
      <c r="ELM22" s="142"/>
      <c r="ELN22" s="142"/>
      <c r="ELO22" s="142"/>
      <c r="ELP22" s="142"/>
      <c r="ELQ22" s="142"/>
      <c r="ELR22" s="142"/>
      <c r="ELS22" s="142"/>
      <c r="ELT22" s="142"/>
      <c r="ELU22" s="142"/>
      <c r="ELV22" s="142"/>
      <c r="ELW22" s="142"/>
      <c r="ELX22" s="142"/>
      <c r="ELY22" s="142"/>
      <c r="ELZ22" s="142"/>
      <c r="EMA22" s="142"/>
      <c r="EMB22" s="142"/>
      <c r="EMC22" s="142"/>
      <c r="EMD22" s="142"/>
      <c r="EME22" s="142"/>
      <c r="EMF22" s="142"/>
      <c r="EMG22" s="142"/>
      <c r="EMH22" s="142"/>
      <c r="EMI22" s="142"/>
      <c r="EMJ22" s="142"/>
      <c r="EMK22" s="142"/>
      <c r="EML22" s="142"/>
      <c r="EMM22" s="142"/>
      <c r="EMN22" s="142"/>
      <c r="EMO22" s="142"/>
      <c r="EMP22" s="142"/>
      <c r="EMQ22" s="142"/>
      <c r="EMR22" s="142"/>
      <c r="EMS22" s="142"/>
      <c r="EMT22" s="142"/>
      <c r="EMU22" s="142"/>
      <c r="EMV22" s="142"/>
      <c r="EMW22" s="142"/>
      <c r="EMX22" s="142"/>
      <c r="EMY22" s="142"/>
      <c r="EMZ22" s="142"/>
      <c r="ENA22" s="142"/>
      <c r="ENB22" s="142"/>
      <c r="ENC22" s="142"/>
      <c r="END22" s="142"/>
      <c r="ENE22" s="142"/>
      <c r="ENF22" s="142"/>
      <c r="ENG22" s="142"/>
      <c r="ENH22" s="142"/>
      <c r="ENI22" s="142"/>
      <c r="ENJ22" s="142"/>
      <c r="ENK22" s="142"/>
      <c r="ENL22" s="142"/>
      <c r="ENM22" s="142"/>
      <c r="ENN22" s="142"/>
      <c r="ENO22" s="142"/>
      <c r="ENP22" s="142"/>
      <c r="ENQ22" s="142"/>
      <c r="ENR22" s="142"/>
      <c r="ENS22" s="142"/>
      <c r="ENT22" s="142"/>
      <c r="ENU22" s="142"/>
      <c r="ENV22" s="142"/>
      <c r="ENW22" s="142"/>
      <c r="ENX22" s="142"/>
      <c r="ENY22" s="142"/>
      <c r="ENZ22" s="142"/>
      <c r="EOA22" s="142"/>
      <c r="EOB22" s="142"/>
      <c r="EOC22" s="142"/>
      <c r="EOD22" s="142"/>
      <c r="EOE22" s="142"/>
      <c r="EOF22" s="142"/>
      <c r="EOG22" s="142"/>
      <c r="EOH22" s="142"/>
      <c r="EOI22" s="142"/>
      <c r="EOJ22" s="142"/>
      <c r="EOK22" s="142"/>
      <c r="EOL22" s="142"/>
      <c r="EOM22" s="142"/>
      <c r="EON22" s="142"/>
      <c r="EOO22" s="142"/>
      <c r="EOP22" s="142"/>
      <c r="EOQ22" s="142"/>
      <c r="EOR22" s="142"/>
      <c r="EOS22" s="142"/>
      <c r="EOT22" s="142"/>
      <c r="EOU22" s="142"/>
      <c r="EOV22" s="142"/>
      <c r="EOW22" s="142"/>
      <c r="EOX22" s="142"/>
      <c r="EOY22" s="142"/>
      <c r="EOZ22" s="142"/>
      <c r="EPA22" s="142"/>
      <c r="EPB22" s="142"/>
      <c r="EPC22" s="142"/>
      <c r="EPD22" s="142"/>
      <c r="EPE22" s="142"/>
      <c r="EPF22" s="142"/>
      <c r="EPG22" s="142"/>
      <c r="EPH22" s="142"/>
      <c r="EPI22" s="142"/>
      <c r="EPJ22" s="142"/>
      <c r="EPK22" s="142"/>
      <c r="EPL22" s="142"/>
      <c r="EPM22" s="142"/>
      <c r="EPN22" s="142"/>
      <c r="EPO22" s="142"/>
      <c r="EPP22" s="142"/>
      <c r="EPQ22" s="142"/>
      <c r="EPR22" s="142"/>
      <c r="EPS22" s="142"/>
      <c r="EPT22" s="142"/>
      <c r="EPU22" s="142"/>
      <c r="EPV22" s="142"/>
      <c r="EPW22" s="142"/>
      <c r="EPX22" s="142"/>
      <c r="EPY22" s="142"/>
      <c r="EPZ22" s="142"/>
      <c r="EQA22" s="142"/>
      <c r="EQB22" s="142"/>
      <c r="EQC22" s="142"/>
      <c r="EQD22" s="142"/>
      <c r="EQE22" s="142"/>
      <c r="EQF22" s="142"/>
      <c r="EQG22" s="142"/>
      <c r="EQH22" s="142"/>
      <c r="EQI22" s="142"/>
      <c r="EQJ22" s="142"/>
      <c r="EQK22" s="142"/>
      <c r="EQL22" s="142"/>
      <c r="EQM22" s="142"/>
      <c r="EQN22" s="142"/>
      <c r="EQO22" s="142"/>
      <c r="EQP22" s="142"/>
      <c r="EQQ22" s="142"/>
      <c r="EQR22" s="142"/>
      <c r="EQS22" s="142"/>
      <c r="EQT22" s="142"/>
      <c r="EQU22" s="142"/>
      <c r="EQV22" s="142"/>
      <c r="EQW22" s="142"/>
      <c r="EQX22" s="142"/>
      <c r="EQY22" s="142"/>
      <c r="EQZ22" s="142"/>
      <c r="ERA22" s="142"/>
      <c r="ERB22" s="142"/>
      <c r="ERC22" s="142"/>
      <c r="ERD22" s="142"/>
      <c r="ERE22" s="142"/>
      <c r="ERF22" s="142"/>
      <c r="ERG22" s="142"/>
      <c r="ERH22" s="142"/>
      <c r="ERI22" s="142"/>
      <c r="ERJ22" s="142"/>
      <c r="ERK22" s="142"/>
      <c r="ERL22" s="142"/>
      <c r="ERM22" s="142"/>
      <c r="ERN22" s="142"/>
      <c r="ERO22" s="142"/>
      <c r="ERP22" s="142"/>
      <c r="ERQ22" s="142"/>
      <c r="ERR22" s="142"/>
      <c r="ERS22" s="142"/>
      <c r="ERT22" s="142"/>
      <c r="ERU22" s="142"/>
      <c r="ERV22" s="142"/>
      <c r="ERW22" s="142"/>
      <c r="ERX22" s="142"/>
      <c r="ERY22" s="142"/>
      <c r="ERZ22" s="142"/>
      <c r="ESA22" s="142"/>
      <c r="ESB22" s="142"/>
      <c r="ESC22" s="142"/>
      <c r="ESD22" s="142"/>
      <c r="ESE22" s="142"/>
      <c r="ESF22" s="142"/>
      <c r="ESG22" s="142"/>
      <c r="ESH22" s="142"/>
      <c r="ESI22" s="142"/>
      <c r="ESJ22" s="142"/>
      <c r="ESK22" s="142"/>
      <c r="ESL22" s="142"/>
      <c r="ESM22" s="142"/>
      <c r="ESN22" s="142"/>
      <c r="ESO22" s="142"/>
      <c r="ESP22" s="142"/>
      <c r="ESQ22" s="142"/>
      <c r="ESR22" s="142"/>
      <c r="ESS22" s="142"/>
      <c r="EST22" s="142"/>
      <c r="ESU22" s="142"/>
      <c r="ESV22" s="142"/>
      <c r="ESW22" s="142"/>
      <c r="ESX22" s="142"/>
      <c r="ESY22" s="142"/>
      <c r="ESZ22" s="142"/>
      <c r="ETA22" s="142"/>
      <c r="ETB22" s="142"/>
      <c r="ETC22" s="142"/>
      <c r="ETD22" s="142"/>
      <c r="ETE22" s="142"/>
      <c r="ETF22" s="142"/>
      <c r="ETG22" s="142"/>
      <c r="ETH22" s="142"/>
      <c r="ETI22" s="142"/>
      <c r="ETJ22" s="142"/>
      <c r="ETK22" s="142"/>
      <c r="ETL22" s="142"/>
      <c r="ETM22" s="142"/>
      <c r="ETN22" s="142"/>
      <c r="ETO22" s="142"/>
      <c r="ETP22" s="142"/>
      <c r="ETQ22" s="142"/>
      <c r="ETR22" s="142"/>
      <c r="ETS22" s="142"/>
      <c r="ETT22" s="142"/>
      <c r="ETU22" s="142"/>
      <c r="ETV22" s="142"/>
      <c r="ETW22" s="142"/>
      <c r="ETX22" s="142"/>
      <c r="ETY22" s="142"/>
      <c r="ETZ22" s="142"/>
      <c r="EUA22" s="142"/>
      <c r="EUB22" s="142"/>
      <c r="EUC22" s="142"/>
      <c r="EUD22" s="142"/>
      <c r="EUE22" s="142"/>
      <c r="EUF22" s="142"/>
      <c r="EUG22" s="142"/>
      <c r="EUH22" s="142"/>
      <c r="EUI22" s="142"/>
      <c r="EUJ22" s="142"/>
      <c r="EUK22" s="142"/>
      <c r="EUL22" s="142"/>
      <c r="EUM22" s="142"/>
      <c r="EUN22" s="142"/>
      <c r="EUO22" s="142"/>
      <c r="EUP22" s="142"/>
      <c r="EUQ22" s="142"/>
      <c r="EUR22" s="142"/>
      <c r="EUS22" s="142"/>
      <c r="EUT22" s="142"/>
      <c r="EUU22" s="142"/>
      <c r="EUV22" s="142"/>
      <c r="EUW22" s="142"/>
      <c r="EUX22" s="142"/>
      <c r="EUY22" s="142"/>
      <c r="EUZ22" s="142"/>
      <c r="EVA22" s="142"/>
      <c r="EVB22" s="142"/>
      <c r="EVC22" s="142"/>
      <c r="EVD22" s="142"/>
      <c r="EVE22" s="142"/>
      <c r="EVF22" s="142"/>
      <c r="EVG22" s="142"/>
      <c r="EVH22" s="142"/>
      <c r="EVI22" s="142"/>
      <c r="EVJ22" s="142"/>
      <c r="EVK22" s="142"/>
      <c r="EVL22" s="142"/>
      <c r="EVM22" s="142"/>
      <c r="EVN22" s="142"/>
      <c r="EVO22" s="142"/>
      <c r="EVP22" s="142"/>
      <c r="EVQ22" s="142"/>
      <c r="EVR22" s="142"/>
      <c r="EVS22" s="142"/>
      <c r="EVT22" s="142"/>
      <c r="EVU22" s="142"/>
      <c r="EVV22" s="142"/>
      <c r="EVW22" s="142"/>
      <c r="EVX22" s="142"/>
      <c r="EVY22" s="142"/>
      <c r="EVZ22" s="142"/>
      <c r="EWA22" s="142"/>
      <c r="EWB22" s="142"/>
      <c r="EWC22" s="142"/>
      <c r="EWD22" s="142"/>
      <c r="EWE22" s="142"/>
      <c r="EWF22" s="142"/>
      <c r="EWG22" s="142"/>
      <c r="EWH22" s="142"/>
      <c r="EWI22" s="142"/>
      <c r="EWJ22" s="142"/>
      <c r="EWK22" s="142"/>
      <c r="EWL22" s="142"/>
      <c r="EWM22" s="142"/>
      <c r="EWN22" s="142"/>
      <c r="EWO22" s="142"/>
      <c r="EWP22" s="142"/>
      <c r="EWQ22" s="142"/>
      <c r="EWR22" s="142"/>
      <c r="EWS22" s="142"/>
      <c r="EWT22" s="142"/>
      <c r="EWU22" s="142"/>
      <c r="EWV22" s="142"/>
      <c r="EWW22" s="142"/>
      <c r="EWX22" s="142"/>
      <c r="EWY22" s="142"/>
      <c r="EWZ22" s="142"/>
      <c r="EXA22" s="142"/>
      <c r="EXB22" s="142"/>
      <c r="EXC22" s="142"/>
      <c r="EXD22" s="142"/>
      <c r="EXE22" s="142"/>
      <c r="EXF22" s="142"/>
      <c r="EXG22" s="142"/>
      <c r="EXH22" s="142"/>
      <c r="EXI22" s="142"/>
      <c r="EXJ22" s="142"/>
      <c r="EXK22" s="142"/>
      <c r="EXL22" s="142"/>
      <c r="EXM22" s="142"/>
      <c r="EXN22" s="142"/>
      <c r="EXO22" s="142"/>
      <c r="EXP22" s="142"/>
      <c r="EXQ22" s="142"/>
      <c r="EXR22" s="142"/>
      <c r="EXS22" s="142"/>
      <c r="EXT22" s="142"/>
      <c r="EXU22" s="142"/>
      <c r="EXV22" s="142"/>
      <c r="EXW22" s="142"/>
      <c r="EXX22" s="142"/>
      <c r="EXY22" s="142"/>
      <c r="EXZ22" s="142"/>
      <c r="EYA22" s="142"/>
      <c r="EYB22" s="142"/>
      <c r="EYC22" s="142"/>
      <c r="EYD22" s="142"/>
      <c r="EYE22" s="142"/>
      <c r="EYF22" s="142"/>
      <c r="EYG22" s="142"/>
      <c r="EYH22" s="142"/>
      <c r="EYI22" s="142"/>
      <c r="EYJ22" s="142"/>
      <c r="EYK22" s="142"/>
      <c r="EYL22" s="142"/>
      <c r="EYM22" s="142"/>
      <c r="EYN22" s="142"/>
      <c r="EYO22" s="142"/>
      <c r="EYP22" s="142"/>
      <c r="EYQ22" s="142"/>
      <c r="EYR22" s="142"/>
      <c r="EYS22" s="142"/>
      <c r="EYT22" s="142"/>
      <c r="EYU22" s="142"/>
      <c r="EYV22" s="142"/>
      <c r="EYW22" s="142"/>
      <c r="EYX22" s="142"/>
      <c r="EYY22" s="142"/>
      <c r="EYZ22" s="142"/>
      <c r="EZA22" s="142"/>
      <c r="EZB22" s="142"/>
      <c r="EZC22" s="142"/>
      <c r="EZD22" s="142"/>
      <c r="EZE22" s="142"/>
      <c r="EZF22" s="142"/>
      <c r="EZG22" s="142"/>
      <c r="EZH22" s="142"/>
      <c r="EZI22" s="142"/>
      <c r="EZJ22" s="142"/>
      <c r="EZK22" s="142"/>
      <c r="EZL22" s="142"/>
      <c r="EZM22" s="142"/>
      <c r="EZN22" s="142"/>
      <c r="EZO22" s="142"/>
      <c r="EZP22" s="142"/>
      <c r="EZQ22" s="142"/>
      <c r="EZR22" s="142"/>
      <c r="EZS22" s="142"/>
      <c r="EZT22" s="142"/>
      <c r="EZU22" s="142"/>
      <c r="EZV22" s="142"/>
      <c r="EZW22" s="142"/>
      <c r="EZX22" s="142"/>
      <c r="EZY22" s="142"/>
      <c r="EZZ22" s="142"/>
      <c r="FAA22" s="142"/>
      <c r="FAB22" s="142"/>
      <c r="FAC22" s="142"/>
      <c r="FAD22" s="142"/>
      <c r="FAE22" s="142"/>
      <c r="FAF22" s="142"/>
      <c r="FAG22" s="142"/>
      <c r="FAH22" s="142"/>
      <c r="FAI22" s="142"/>
      <c r="FAJ22" s="142"/>
      <c r="FAK22" s="142"/>
      <c r="FAL22" s="142"/>
      <c r="FAM22" s="142"/>
      <c r="FAN22" s="142"/>
      <c r="FAO22" s="142"/>
      <c r="FAP22" s="142"/>
      <c r="FAQ22" s="142"/>
      <c r="FAR22" s="142"/>
      <c r="FAS22" s="142"/>
      <c r="FAT22" s="142"/>
      <c r="FAU22" s="142"/>
      <c r="FAV22" s="142"/>
      <c r="FAW22" s="142"/>
      <c r="FAX22" s="142"/>
      <c r="FAY22" s="142"/>
      <c r="FAZ22" s="142"/>
      <c r="FBA22" s="142"/>
      <c r="FBB22" s="142"/>
      <c r="FBC22" s="142"/>
      <c r="FBD22" s="142"/>
      <c r="FBE22" s="142"/>
      <c r="FBF22" s="142"/>
      <c r="FBG22" s="142"/>
      <c r="FBH22" s="142"/>
      <c r="FBI22" s="142"/>
      <c r="FBJ22" s="142"/>
      <c r="FBK22" s="142"/>
      <c r="FBL22" s="142"/>
      <c r="FBM22" s="142"/>
      <c r="FBN22" s="142"/>
      <c r="FBO22" s="142"/>
      <c r="FBP22" s="142"/>
      <c r="FBQ22" s="142"/>
      <c r="FBR22" s="142"/>
      <c r="FBS22" s="142"/>
      <c r="FBT22" s="142"/>
      <c r="FBU22" s="142"/>
      <c r="FBV22" s="142"/>
      <c r="FBW22" s="142"/>
      <c r="FBX22" s="142"/>
      <c r="FBY22" s="142"/>
      <c r="FBZ22" s="142"/>
      <c r="FCA22" s="142"/>
      <c r="FCB22" s="142"/>
      <c r="FCC22" s="142"/>
      <c r="FCD22" s="142"/>
      <c r="FCE22" s="142"/>
      <c r="FCF22" s="142"/>
      <c r="FCG22" s="142"/>
      <c r="FCH22" s="142"/>
      <c r="FCI22" s="142"/>
      <c r="FCJ22" s="142"/>
      <c r="FCK22" s="142"/>
      <c r="FCL22" s="142"/>
      <c r="FCM22" s="142"/>
      <c r="FCN22" s="142"/>
      <c r="FCO22" s="142"/>
      <c r="FCP22" s="142"/>
      <c r="FCQ22" s="142"/>
      <c r="FCR22" s="142"/>
      <c r="FCS22" s="142"/>
      <c r="FCT22" s="142"/>
      <c r="FCU22" s="142"/>
      <c r="FCV22" s="142"/>
      <c r="FCW22" s="142"/>
      <c r="FCX22" s="142"/>
      <c r="FCY22" s="142"/>
      <c r="FCZ22" s="142"/>
      <c r="FDA22" s="142"/>
      <c r="FDB22" s="142"/>
      <c r="FDC22" s="142"/>
      <c r="FDD22" s="142"/>
      <c r="FDE22" s="142"/>
      <c r="FDF22" s="142"/>
      <c r="FDG22" s="142"/>
      <c r="FDH22" s="142"/>
      <c r="FDI22" s="142"/>
      <c r="FDJ22" s="142"/>
      <c r="FDK22" s="142"/>
      <c r="FDL22" s="142"/>
      <c r="FDM22" s="142"/>
      <c r="FDN22" s="142"/>
      <c r="FDO22" s="142"/>
      <c r="FDP22" s="142"/>
      <c r="FDQ22" s="142"/>
      <c r="FDR22" s="142"/>
      <c r="FDS22" s="142"/>
      <c r="FDT22" s="142"/>
      <c r="FDU22" s="142"/>
      <c r="FDV22" s="142"/>
      <c r="FDW22" s="142"/>
      <c r="FDX22" s="142"/>
      <c r="FDY22" s="142"/>
      <c r="FDZ22" s="142"/>
      <c r="FEA22" s="142"/>
      <c r="FEB22" s="142"/>
      <c r="FEC22" s="142"/>
      <c r="FED22" s="142"/>
      <c r="FEE22" s="142"/>
      <c r="FEF22" s="142"/>
      <c r="FEG22" s="142"/>
      <c r="FEH22" s="142"/>
      <c r="FEI22" s="142"/>
      <c r="FEJ22" s="142"/>
      <c r="FEK22" s="142"/>
      <c r="FEL22" s="142"/>
      <c r="FEM22" s="142"/>
      <c r="FEN22" s="142"/>
      <c r="FEO22" s="142"/>
      <c r="FEP22" s="142"/>
      <c r="FEQ22" s="142"/>
      <c r="FER22" s="142"/>
      <c r="FES22" s="142"/>
      <c r="FET22" s="142"/>
      <c r="FEU22" s="142"/>
      <c r="FEV22" s="142"/>
      <c r="FEW22" s="142"/>
      <c r="FEX22" s="142"/>
      <c r="FEY22" s="142"/>
      <c r="FEZ22" s="142"/>
      <c r="FFA22" s="142"/>
      <c r="FFB22" s="142"/>
      <c r="FFC22" s="142"/>
      <c r="FFD22" s="142"/>
      <c r="FFE22" s="142"/>
      <c r="FFF22" s="142"/>
      <c r="FFG22" s="142"/>
      <c r="FFH22" s="142"/>
      <c r="FFI22" s="142"/>
      <c r="FFJ22" s="142"/>
      <c r="FFK22" s="142"/>
      <c r="FFL22" s="142"/>
      <c r="FFM22" s="142"/>
      <c r="FFN22" s="142"/>
      <c r="FFO22" s="142"/>
      <c r="FFP22" s="142"/>
      <c r="FFQ22" s="142"/>
      <c r="FFR22" s="142"/>
      <c r="FFS22" s="142"/>
      <c r="FFT22" s="142"/>
      <c r="FFU22" s="142"/>
      <c r="FFV22" s="142"/>
      <c r="FFW22" s="142"/>
      <c r="FFX22" s="142"/>
      <c r="FFY22" s="142"/>
      <c r="FFZ22" s="142"/>
      <c r="FGA22" s="142"/>
      <c r="FGB22" s="142"/>
      <c r="FGC22" s="142"/>
      <c r="FGD22" s="142"/>
      <c r="FGE22" s="142"/>
      <c r="FGF22" s="142"/>
      <c r="FGG22" s="142"/>
      <c r="FGH22" s="142"/>
      <c r="FGI22" s="142"/>
      <c r="FGJ22" s="142"/>
      <c r="FGK22" s="142"/>
      <c r="FGL22" s="142"/>
      <c r="FGM22" s="142"/>
      <c r="FGN22" s="142"/>
      <c r="FGO22" s="142"/>
      <c r="FGP22" s="142"/>
      <c r="FGQ22" s="142"/>
      <c r="FGR22" s="142"/>
      <c r="FGS22" s="142"/>
      <c r="FGT22" s="142"/>
      <c r="FGU22" s="142"/>
      <c r="FGV22" s="142"/>
      <c r="FGW22" s="142"/>
      <c r="FGX22" s="142"/>
      <c r="FGY22" s="142"/>
      <c r="FGZ22" s="142"/>
      <c r="FHA22" s="142"/>
      <c r="FHB22" s="142"/>
      <c r="FHC22" s="142"/>
      <c r="FHD22" s="142"/>
      <c r="FHE22" s="142"/>
      <c r="FHF22" s="142"/>
      <c r="FHG22" s="142"/>
      <c r="FHH22" s="142"/>
      <c r="FHI22" s="142"/>
      <c r="FHJ22" s="142"/>
      <c r="FHK22" s="142"/>
      <c r="FHL22" s="142"/>
      <c r="FHM22" s="142"/>
      <c r="FHN22" s="142"/>
      <c r="FHO22" s="142"/>
      <c r="FHP22" s="142"/>
      <c r="FHQ22" s="142"/>
      <c r="FHR22" s="142"/>
      <c r="FHS22" s="142"/>
      <c r="FHT22" s="142"/>
      <c r="FHU22" s="142"/>
      <c r="FHV22" s="142"/>
      <c r="FHW22" s="142"/>
      <c r="FHX22" s="142"/>
      <c r="FHY22" s="142"/>
      <c r="FHZ22" s="142"/>
      <c r="FIA22" s="142"/>
      <c r="FIB22" s="142"/>
      <c r="FIC22" s="142"/>
      <c r="FID22" s="142"/>
      <c r="FIE22" s="142"/>
      <c r="FIF22" s="142"/>
      <c r="FIG22" s="142"/>
      <c r="FIH22" s="142"/>
      <c r="FII22" s="142"/>
      <c r="FIJ22" s="142"/>
      <c r="FIK22" s="142"/>
      <c r="FIL22" s="142"/>
      <c r="FIM22" s="142"/>
      <c r="FIN22" s="142"/>
      <c r="FIO22" s="142"/>
      <c r="FIP22" s="142"/>
      <c r="FIQ22" s="142"/>
      <c r="FIR22" s="142"/>
      <c r="FIS22" s="142"/>
      <c r="FIT22" s="142"/>
      <c r="FIU22" s="142"/>
      <c r="FIV22" s="142"/>
      <c r="FIW22" s="142"/>
      <c r="FIX22" s="142"/>
      <c r="FIY22" s="142"/>
      <c r="FIZ22" s="142"/>
      <c r="FJA22" s="142"/>
      <c r="FJB22" s="142"/>
      <c r="FJC22" s="142"/>
      <c r="FJD22" s="142"/>
      <c r="FJE22" s="142"/>
      <c r="FJF22" s="142"/>
      <c r="FJG22" s="142"/>
      <c r="FJH22" s="142"/>
      <c r="FJI22" s="142"/>
      <c r="FJJ22" s="142"/>
      <c r="FJK22" s="142"/>
      <c r="FJL22" s="142"/>
      <c r="FJM22" s="142"/>
      <c r="FJN22" s="142"/>
      <c r="FJO22" s="142"/>
      <c r="FJP22" s="142"/>
      <c r="FJQ22" s="142"/>
      <c r="FJR22" s="142"/>
      <c r="FJS22" s="142"/>
      <c r="FJT22" s="142"/>
      <c r="FJU22" s="142"/>
      <c r="FJV22" s="142"/>
      <c r="FJW22" s="142"/>
      <c r="FJX22" s="142"/>
      <c r="FJY22" s="142"/>
      <c r="FJZ22" s="142"/>
      <c r="FKA22" s="142"/>
      <c r="FKB22" s="142"/>
      <c r="FKC22" s="142"/>
      <c r="FKD22" s="142"/>
      <c r="FKE22" s="142"/>
      <c r="FKF22" s="142"/>
      <c r="FKG22" s="142"/>
      <c r="FKH22" s="142"/>
      <c r="FKI22" s="142"/>
      <c r="FKJ22" s="142"/>
      <c r="FKK22" s="142"/>
      <c r="FKL22" s="142"/>
      <c r="FKM22" s="142"/>
      <c r="FKN22" s="142"/>
      <c r="FKO22" s="142"/>
      <c r="FKP22" s="142"/>
      <c r="FKQ22" s="142"/>
      <c r="FKR22" s="142"/>
      <c r="FKS22" s="142"/>
      <c r="FKT22" s="142"/>
      <c r="FKU22" s="142"/>
      <c r="FKV22" s="142"/>
      <c r="FKW22" s="142"/>
      <c r="FKX22" s="142"/>
      <c r="FKY22" s="142"/>
      <c r="FKZ22" s="142"/>
      <c r="FLA22" s="142"/>
      <c r="FLB22" s="142"/>
      <c r="FLC22" s="142"/>
      <c r="FLD22" s="142"/>
      <c r="FLE22" s="142"/>
      <c r="FLF22" s="142"/>
      <c r="FLG22" s="142"/>
      <c r="FLH22" s="142"/>
      <c r="FLI22" s="142"/>
      <c r="FLJ22" s="142"/>
      <c r="FLK22" s="142"/>
      <c r="FLL22" s="142"/>
      <c r="FLM22" s="142"/>
      <c r="FLN22" s="142"/>
      <c r="FLO22" s="142"/>
      <c r="FLP22" s="142"/>
      <c r="FLQ22" s="142"/>
      <c r="FLR22" s="142"/>
      <c r="FLS22" s="142"/>
      <c r="FLT22" s="142"/>
      <c r="FLU22" s="142"/>
      <c r="FLV22" s="142"/>
      <c r="FLW22" s="142"/>
      <c r="FLX22" s="142"/>
      <c r="FLY22" s="142"/>
      <c r="FLZ22" s="142"/>
      <c r="FMA22" s="142"/>
      <c r="FMB22" s="142"/>
      <c r="FMC22" s="142"/>
      <c r="FMD22" s="142"/>
      <c r="FME22" s="142"/>
      <c r="FMF22" s="142"/>
      <c r="FMG22" s="142"/>
      <c r="FMH22" s="142"/>
      <c r="FMI22" s="142"/>
      <c r="FMJ22" s="142"/>
      <c r="FMK22" s="142"/>
      <c r="FML22" s="142"/>
      <c r="FMM22" s="142"/>
      <c r="FMN22" s="142"/>
      <c r="FMO22" s="142"/>
      <c r="FMP22" s="142"/>
      <c r="FMQ22" s="142"/>
      <c r="FMR22" s="142"/>
      <c r="FMS22" s="142"/>
      <c r="FMT22" s="142"/>
      <c r="FMU22" s="142"/>
      <c r="FMV22" s="142"/>
      <c r="FMW22" s="142"/>
      <c r="FMX22" s="142"/>
      <c r="FMY22" s="142"/>
      <c r="FMZ22" s="142"/>
      <c r="FNA22" s="142"/>
      <c r="FNB22" s="142"/>
      <c r="FNC22" s="142"/>
      <c r="FND22" s="142"/>
      <c r="FNE22" s="142"/>
      <c r="FNF22" s="142"/>
      <c r="FNG22" s="142"/>
      <c r="FNH22" s="142"/>
      <c r="FNI22" s="142"/>
      <c r="FNJ22" s="142"/>
      <c r="FNK22" s="142"/>
      <c r="FNL22" s="142"/>
      <c r="FNM22" s="142"/>
      <c r="FNN22" s="142"/>
      <c r="FNO22" s="142"/>
      <c r="FNP22" s="142"/>
      <c r="FNQ22" s="142"/>
      <c r="FNR22" s="142"/>
      <c r="FNS22" s="142"/>
      <c r="FNT22" s="142"/>
      <c r="FNU22" s="142"/>
      <c r="FNV22" s="142"/>
      <c r="FNW22" s="142"/>
      <c r="FNX22" s="142"/>
      <c r="FNY22" s="142"/>
      <c r="FNZ22" s="142"/>
      <c r="FOA22" s="142"/>
      <c r="FOB22" s="142"/>
      <c r="FOC22" s="142"/>
      <c r="FOD22" s="142"/>
      <c r="FOE22" s="142"/>
      <c r="FOF22" s="142"/>
      <c r="FOG22" s="142"/>
      <c r="FOH22" s="142"/>
      <c r="FOI22" s="142"/>
      <c r="FOJ22" s="142"/>
      <c r="FOK22" s="142"/>
      <c r="FOL22" s="142"/>
      <c r="FOM22" s="142"/>
      <c r="FON22" s="142"/>
      <c r="FOO22" s="142"/>
      <c r="FOP22" s="142"/>
      <c r="FOQ22" s="142"/>
      <c r="FOR22" s="142"/>
      <c r="FOS22" s="142"/>
      <c r="FOT22" s="142"/>
      <c r="FOU22" s="142"/>
      <c r="FOV22" s="142"/>
      <c r="FOW22" s="142"/>
      <c r="FOX22" s="142"/>
      <c r="FOY22" s="142"/>
      <c r="FOZ22" s="142"/>
      <c r="FPA22" s="142"/>
      <c r="FPB22" s="142"/>
      <c r="FPC22" s="142"/>
      <c r="FPD22" s="142"/>
      <c r="FPE22" s="142"/>
      <c r="FPF22" s="142"/>
      <c r="FPG22" s="142"/>
      <c r="FPH22" s="142"/>
      <c r="FPI22" s="142"/>
      <c r="FPJ22" s="142"/>
      <c r="FPK22" s="142"/>
      <c r="FPL22" s="142"/>
      <c r="FPM22" s="142"/>
      <c r="FPN22" s="142"/>
      <c r="FPO22" s="142"/>
      <c r="FPP22" s="142"/>
      <c r="FPQ22" s="142"/>
      <c r="FPR22" s="142"/>
      <c r="FPS22" s="142"/>
      <c r="FPT22" s="142"/>
      <c r="FPU22" s="142"/>
      <c r="FPV22" s="142"/>
      <c r="FPW22" s="142"/>
      <c r="FPX22" s="142"/>
      <c r="FPY22" s="142"/>
      <c r="FPZ22" s="142"/>
      <c r="FQA22" s="142"/>
      <c r="FQB22" s="142"/>
      <c r="FQC22" s="142"/>
      <c r="FQD22" s="142"/>
      <c r="FQE22" s="142"/>
      <c r="FQF22" s="142"/>
      <c r="FQG22" s="142"/>
      <c r="FQH22" s="142"/>
      <c r="FQI22" s="142"/>
      <c r="FQJ22" s="142"/>
      <c r="FQK22" s="142"/>
      <c r="FQL22" s="142"/>
      <c r="FQM22" s="142"/>
      <c r="FQN22" s="142"/>
      <c r="FQO22" s="142"/>
      <c r="FQP22" s="142"/>
      <c r="FQQ22" s="142"/>
      <c r="FQR22" s="142"/>
      <c r="FQS22" s="142"/>
      <c r="FQT22" s="142"/>
      <c r="FQU22" s="142"/>
      <c r="FQV22" s="142"/>
      <c r="FQW22" s="142"/>
      <c r="FQX22" s="142"/>
      <c r="FQY22" s="142"/>
      <c r="FQZ22" s="142"/>
      <c r="FRA22" s="142"/>
      <c r="FRB22" s="142"/>
      <c r="FRC22" s="142"/>
      <c r="FRD22" s="142"/>
      <c r="FRE22" s="142"/>
      <c r="FRF22" s="142"/>
      <c r="FRG22" s="142"/>
      <c r="FRH22" s="142"/>
      <c r="FRI22" s="142"/>
      <c r="FRJ22" s="142"/>
      <c r="FRK22" s="142"/>
      <c r="FRL22" s="142"/>
      <c r="FRM22" s="142"/>
      <c r="FRN22" s="142"/>
      <c r="FRO22" s="142"/>
      <c r="FRP22" s="142"/>
      <c r="FRQ22" s="142"/>
      <c r="FRR22" s="142"/>
      <c r="FRS22" s="142"/>
      <c r="FRT22" s="142"/>
      <c r="FRU22" s="142"/>
      <c r="FRV22" s="142"/>
      <c r="FRW22" s="142"/>
      <c r="FRX22" s="142"/>
      <c r="FRY22" s="142"/>
      <c r="FRZ22" s="142"/>
      <c r="FSA22" s="142"/>
      <c r="FSB22" s="142"/>
      <c r="FSC22" s="142"/>
      <c r="FSD22" s="142"/>
      <c r="FSE22" s="142"/>
      <c r="FSF22" s="142"/>
      <c r="FSG22" s="142"/>
      <c r="FSH22" s="142"/>
      <c r="FSI22" s="142"/>
      <c r="FSJ22" s="142"/>
      <c r="FSK22" s="142"/>
      <c r="FSL22" s="142"/>
      <c r="FSM22" s="142"/>
      <c r="FSN22" s="142"/>
      <c r="FSO22" s="142"/>
      <c r="FSP22" s="142"/>
      <c r="FSQ22" s="142"/>
      <c r="FSR22" s="142"/>
      <c r="FSS22" s="142"/>
      <c r="FST22" s="142"/>
      <c r="FSU22" s="142"/>
      <c r="FSV22" s="142"/>
      <c r="FSW22" s="142"/>
      <c r="FSX22" s="142"/>
      <c r="FSY22" s="142"/>
      <c r="FSZ22" s="142"/>
      <c r="FTA22" s="142"/>
      <c r="FTB22" s="142"/>
      <c r="FTC22" s="142"/>
      <c r="FTD22" s="142"/>
      <c r="FTE22" s="142"/>
      <c r="FTF22" s="142"/>
      <c r="FTG22" s="142"/>
      <c r="FTH22" s="142"/>
      <c r="FTI22" s="142"/>
      <c r="FTJ22" s="142"/>
      <c r="FTK22" s="142"/>
      <c r="FTL22" s="142"/>
      <c r="FTM22" s="142"/>
      <c r="FTN22" s="142"/>
      <c r="FTO22" s="142"/>
      <c r="FTP22" s="142"/>
      <c r="FTQ22" s="142"/>
      <c r="FTR22" s="142"/>
      <c r="FTS22" s="142"/>
      <c r="FTT22" s="142"/>
      <c r="FTU22" s="142"/>
      <c r="FTV22" s="142"/>
      <c r="FTW22" s="142"/>
      <c r="FTX22" s="142"/>
      <c r="FTY22" s="142"/>
      <c r="FTZ22" s="142"/>
      <c r="FUA22" s="142"/>
      <c r="FUB22" s="142"/>
      <c r="FUC22" s="142"/>
      <c r="FUD22" s="142"/>
      <c r="FUE22" s="142"/>
      <c r="FUF22" s="142"/>
      <c r="FUG22" s="142"/>
      <c r="FUH22" s="142"/>
      <c r="FUI22" s="142"/>
      <c r="FUJ22" s="142"/>
      <c r="FUK22" s="142"/>
      <c r="FUL22" s="142"/>
      <c r="FUM22" s="142"/>
      <c r="FUN22" s="142"/>
      <c r="FUO22" s="142"/>
      <c r="FUP22" s="142"/>
      <c r="FUQ22" s="142"/>
      <c r="FUR22" s="142"/>
      <c r="FUS22" s="142"/>
      <c r="FUT22" s="142"/>
      <c r="FUU22" s="142"/>
      <c r="FUV22" s="142"/>
      <c r="FUW22" s="142"/>
      <c r="FUX22" s="142"/>
      <c r="FUY22" s="142"/>
      <c r="FUZ22" s="142"/>
      <c r="FVA22" s="142"/>
      <c r="FVB22" s="142"/>
      <c r="FVC22" s="142"/>
      <c r="FVD22" s="142"/>
      <c r="FVE22" s="142"/>
      <c r="FVF22" s="142"/>
      <c r="FVG22" s="142"/>
      <c r="FVH22" s="142"/>
      <c r="FVI22" s="142"/>
      <c r="FVJ22" s="142"/>
      <c r="FVK22" s="142"/>
      <c r="FVL22" s="142"/>
      <c r="FVM22" s="142"/>
      <c r="FVN22" s="142"/>
      <c r="FVO22" s="142"/>
      <c r="FVP22" s="142"/>
      <c r="FVQ22" s="142"/>
      <c r="FVR22" s="142"/>
      <c r="FVS22" s="142"/>
      <c r="FVT22" s="142"/>
      <c r="FVU22" s="142"/>
      <c r="FVV22" s="142"/>
      <c r="FVW22" s="142"/>
      <c r="FVX22" s="142"/>
      <c r="FVY22" s="142"/>
      <c r="FVZ22" s="142"/>
      <c r="FWA22" s="142"/>
      <c r="FWB22" s="142"/>
      <c r="FWC22" s="142"/>
      <c r="FWD22" s="142"/>
      <c r="FWE22" s="142"/>
      <c r="FWF22" s="142"/>
      <c r="FWG22" s="142"/>
      <c r="FWH22" s="142"/>
      <c r="FWI22" s="142"/>
      <c r="FWJ22" s="142"/>
      <c r="FWK22" s="142"/>
      <c r="FWL22" s="142"/>
      <c r="FWM22" s="142"/>
      <c r="FWN22" s="142"/>
      <c r="FWO22" s="142"/>
      <c r="FWP22" s="142"/>
      <c r="FWQ22" s="142"/>
      <c r="FWR22" s="142"/>
      <c r="FWS22" s="142"/>
      <c r="FWT22" s="142"/>
      <c r="FWU22" s="142"/>
      <c r="FWV22" s="142"/>
      <c r="FWW22" s="142"/>
      <c r="FWX22" s="142"/>
      <c r="FWY22" s="142"/>
      <c r="FWZ22" s="142"/>
      <c r="FXA22" s="142"/>
      <c r="FXB22" s="142"/>
      <c r="FXC22" s="142"/>
      <c r="FXD22" s="142"/>
      <c r="FXE22" s="142"/>
      <c r="FXF22" s="142"/>
      <c r="FXG22" s="142"/>
      <c r="FXH22" s="142"/>
      <c r="FXI22" s="142"/>
      <c r="FXJ22" s="142"/>
      <c r="FXK22" s="142"/>
      <c r="FXL22" s="142"/>
      <c r="FXM22" s="142"/>
      <c r="FXN22" s="142"/>
      <c r="FXO22" s="142"/>
      <c r="FXP22" s="142"/>
      <c r="FXQ22" s="142"/>
      <c r="FXR22" s="142"/>
      <c r="FXS22" s="142"/>
      <c r="FXT22" s="142"/>
      <c r="FXU22" s="142"/>
      <c r="FXV22" s="142"/>
      <c r="FXW22" s="142"/>
      <c r="FXX22" s="142"/>
      <c r="FXY22" s="142"/>
      <c r="FXZ22" s="142"/>
      <c r="FYA22" s="142"/>
      <c r="FYB22" s="142"/>
      <c r="FYC22" s="142"/>
      <c r="FYD22" s="142"/>
      <c r="FYE22" s="142"/>
      <c r="FYF22" s="142"/>
      <c r="FYG22" s="142"/>
      <c r="FYH22" s="142"/>
      <c r="FYI22" s="142"/>
      <c r="FYJ22" s="142"/>
      <c r="FYK22" s="142"/>
      <c r="FYL22" s="142"/>
      <c r="FYM22" s="142"/>
      <c r="FYN22" s="142"/>
      <c r="FYO22" s="142"/>
      <c r="FYP22" s="142"/>
      <c r="FYQ22" s="142"/>
      <c r="FYR22" s="142"/>
      <c r="FYS22" s="142"/>
      <c r="FYT22" s="142"/>
      <c r="FYU22" s="142"/>
      <c r="FYV22" s="142"/>
      <c r="FYW22" s="142"/>
      <c r="FYX22" s="142"/>
      <c r="FYY22" s="142"/>
      <c r="FYZ22" s="142"/>
      <c r="FZA22" s="142"/>
      <c r="FZB22" s="142"/>
      <c r="FZC22" s="142"/>
      <c r="FZD22" s="142"/>
      <c r="FZE22" s="142"/>
      <c r="FZF22" s="142"/>
      <c r="FZG22" s="142"/>
      <c r="FZH22" s="142"/>
      <c r="FZI22" s="142"/>
      <c r="FZJ22" s="142"/>
      <c r="FZK22" s="142"/>
      <c r="FZL22" s="142"/>
      <c r="FZM22" s="142"/>
      <c r="FZN22" s="142"/>
      <c r="FZO22" s="142"/>
      <c r="FZP22" s="142"/>
      <c r="FZQ22" s="142"/>
      <c r="FZR22" s="142"/>
      <c r="FZS22" s="142"/>
      <c r="FZT22" s="142"/>
      <c r="FZU22" s="142"/>
      <c r="FZV22" s="142"/>
      <c r="FZW22" s="142"/>
      <c r="FZX22" s="142"/>
      <c r="FZY22" s="142"/>
      <c r="FZZ22" s="142"/>
      <c r="GAA22" s="142"/>
      <c r="GAB22" s="142"/>
      <c r="GAC22" s="142"/>
      <c r="GAD22" s="142"/>
      <c r="GAE22" s="142"/>
      <c r="GAF22" s="142"/>
      <c r="GAG22" s="142"/>
      <c r="GAH22" s="142"/>
      <c r="GAI22" s="142"/>
      <c r="GAJ22" s="142"/>
      <c r="GAK22" s="142"/>
      <c r="GAL22" s="142"/>
      <c r="GAM22" s="142"/>
      <c r="GAN22" s="142"/>
      <c r="GAO22" s="142"/>
      <c r="GAP22" s="142"/>
      <c r="GAQ22" s="142"/>
      <c r="GAR22" s="142"/>
      <c r="GAS22" s="142"/>
      <c r="GAT22" s="142"/>
      <c r="GAU22" s="142"/>
      <c r="GAV22" s="142"/>
      <c r="GAW22" s="142"/>
      <c r="GAX22" s="142"/>
      <c r="GAY22" s="142"/>
      <c r="GAZ22" s="142"/>
      <c r="GBA22" s="142"/>
      <c r="GBB22" s="142"/>
      <c r="GBC22" s="142"/>
      <c r="GBD22" s="142"/>
      <c r="GBE22" s="142"/>
      <c r="GBF22" s="142"/>
      <c r="GBG22" s="142"/>
      <c r="GBH22" s="142"/>
      <c r="GBI22" s="142"/>
      <c r="GBJ22" s="142"/>
      <c r="GBK22" s="142"/>
      <c r="GBL22" s="142"/>
      <c r="GBM22" s="142"/>
      <c r="GBN22" s="142"/>
      <c r="GBO22" s="142"/>
      <c r="GBP22" s="142"/>
      <c r="GBQ22" s="142"/>
      <c r="GBR22" s="142"/>
      <c r="GBS22" s="142"/>
      <c r="GBT22" s="142"/>
      <c r="GBU22" s="142"/>
      <c r="GBV22" s="142"/>
      <c r="GBW22" s="142"/>
      <c r="GBX22" s="142"/>
      <c r="GBY22" s="142"/>
      <c r="GBZ22" s="142"/>
      <c r="GCA22" s="142"/>
      <c r="GCB22" s="142"/>
      <c r="GCC22" s="142"/>
      <c r="GCD22" s="142"/>
      <c r="GCE22" s="142"/>
      <c r="GCF22" s="142"/>
      <c r="GCG22" s="142"/>
      <c r="GCH22" s="142"/>
      <c r="GCI22" s="142"/>
      <c r="GCJ22" s="142"/>
      <c r="GCK22" s="142"/>
      <c r="GCL22" s="142"/>
      <c r="GCM22" s="142"/>
      <c r="GCN22" s="142"/>
      <c r="GCO22" s="142"/>
      <c r="GCP22" s="142"/>
      <c r="GCQ22" s="142"/>
      <c r="GCR22" s="142"/>
      <c r="GCS22" s="142"/>
      <c r="GCT22" s="142"/>
      <c r="GCU22" s="142"/>
      <c r="GCV22" s="142"/>
      <c r="GCW22" s="142"/>
      <c r="GCX22" s="142"/>
      <c r="GCY22" s="142"/>
      <c r="GCZ22" s="142"/>
      <c r="GDA22" s="142"/>
      <c r="GDB22" s="142"/>
      <c r="GDC22" s="142"/>
      <c r="GDD22" s="142"/>
      <c r="GDE22" s="142"/>
      <c r="GDF22" s="142"/>
      <c r="GDG22" s="142"/>
      <c r="GDH22" s="142"/>
      <c r="GDI22" s="142"/>
      <c r="GDJ22" s="142"/>
      <c r="GDK22" s="142"/>
      <c r="GDL22" s="142"/>
      <c r="GDM22" s="142"/>
      <c r="GDN22" s="142"/>
      <c r="GDO22" s="142"/>
      <c r="GDP22" s="142"/>
      <c r="GDQ22" s="142"/>
      <c r="GDR22" s="142"/>
      <c r="GDS22" s="142"/>
      <c r="GDT22" s="142"/>
      <c r="GDU22" s="142"/>
      <c r="GDV22" s="142"/>
      <c r="GDW22" s="142"/>
      <c r="GDX22" s="142"/>
      <c r="GDY22" s="142"/>
      <c r="GDZ22" s="142"/>
      <c r="GEA22" s="142"/>
      <c r="GEB22" s="142"/>
      <c r="GEC22" s="142"/>
      <c r="GED22" s="142"/>
      <c r="GEE22" s="142"/>
      <c r="GEF22" s="142"/>
      <c r="GEG22" s="142"/>
      <c r="GEH22" s="142"/>
      <c r="GEI22" s="142"/>
      <c r="GEJ22" s="142"/>
      <c r="GEK22" s="142"/>
      <c r="GEL22" s="142"/>
      <c r="GEM22" s="142"/>
      <c r="GEN22" s="142"/>
      <c r="GEO22" s="142"/>
      <c r="GEP22" s="142"/>
      <c r="GEQ22" s="142"/>
      <c r="GER22" s="142"/>
      <c r="GES22" s="142"/>
      <c r="GET22" s="142"/>
      <c r="GEU22" s="142"/>
      <c r="GEV22" s="142"/>
      <c r="GEW22" s="142"/>
      <c r="GEX22" s="142"/>
      <c r="GEY22" s="142"/>
      <c r="GEZ22" s="142"/>
      <c r="GFA22" s="142"/>
      <c r="GFB22" s="142"/>
      <c r="GFC22" s="142"/>
      <c r="GFD22" s="142"/>
      <c r="GFE22" s="142"/>
      <c r="GFF22" s="142"/>
      <c r="GFG22" s="142"/>
      <c r="GFH22" s="142"/>
      <c r="GFI22" s="142"/>
      <c r="GFJ22" s="142"/>
      <c r="GFK22" s="142"/>
      <c r="GFL22" s="142"/>
      <c r="GFM22" s="142"/>
      <c r="GFN22" s="142"/>
      <c r="GFO22" s="142"/>
      <c r="GFP22" s="142"/>
      <c r="GFQ22" s="142"/>
      <c r="GFR22" s="142"/>
      <c r="GFS22" s="142"/>
      <c r="GFT22" s="142"/>
      <c r="GFU22" s="142"/>
      <c r="GFV22" s="142"/>
      <c r="GFW22" s="142"/>
      <c r="GFX22" s="142"/>
      <c r="GFY22" s="142"/>
      <c r="GFZ22" s="142"/>
      <c r="GGA22" s="142"/>
      <c r="GGB22" s="142"/>
      <c r="GGC22" s="142"/>
      <c r="GGD22" s="142"/>
      <c r="GGE22" s="142"/>
      <c r="GGF22" s="142"/>
      <c r="GGG22" s="142"/>
      <c r="GGH22" s="142"/>
      <c r="GGI22" s="142"/>
      <c r="GGJ22" s="142"/>
      <c r="GGK22" s="142"/>
      <c r="GGL22" s="142"/>
      <c r="GGM22" s="142"/>
      <c r="GGN22" s="142"/>
      <c r="GGO22" s="142"/>
      <c r="GGP22" s="142"/>
      <c r="GGQ22" s="142"/>
      <c r="GGR22" s="142"/>
      <c r="GGS22" s="142"/>
      <c r="GGT22" s="142"/>
      <c r="GGU22" s="142"/>
      <c r="GGV22" s="142"/>
      <c r="GGW22" s="142"/>
      <c r="GGX22" s="142"/>
      <c r="GGY22" s="142"/>
      <c r="GGZ22" s="142"/>
      <c r="GHA22" s="142"/>
      <c r="GHB22" s="142"/>
      <c r="GHC22" s="142"/>
      <c r="GHD22" s="142"/>
      <c r="GHE22" s="142"/>
      <c r="GHF22" s="142"/>
      <c r="GHG22" s="142"/>
      <c r="GHH22" s="142"/>
      <c r="GHI22" s="142"/>
      <c r="GHJ22" s="142"/>
      <c r="GHK22" s="142"/>
      <c r="GHL22" s="142"/>
      <c r="GHM22" s="142"/>
      <c r="GHN22" s="142"/>
      <c r="GHO22" s="142"/>
      <c r="GHP22" s="142"/>
      <c r="GHQ22" s="142"/>
      <c r="GHR22" s="142"/>
      <c r="GHS22" s="142"/>
      <c r="GHT22" s="142"/>
      <c r="GHU22" s="142"/>
      <c r="GHV22" s="142"/>
      <c r="GHW22" s="142"/>
      <c r="GHX22" s="142"/>
      <c r="GHY22" s="142"/>
      <c r="GHZ22" s="142"/>
      <c r="GIA22" s="142"/>
      <c r="GIB22" s="142"/>
      <c r="GIC22" s="142"/>
      <c r="GID22" s="142"/>
      <c r="GIE22" s="142"/>
      <c r="GIF22" s="142"/>
      <c r="GIG22" s="142"/>
      <c r="GIH22" s="142"/>
      <c r="GII22" s="142"/>
      <c r="GIJ22" s="142"/>
      <c r="GIK22" s="142"/>
      <c r="GIL22" s="142"/>
      <c r="GIM22" s="142"/>
      <c r="GIN22" s="142"/>
      <c r="GIO22" s="142"/>
      <c r="GIP22" s="142"/>
      <c r="GIQ22" s="142"/>
      <c r="GIR22" s="142"/>
      <c r="GIS22" s="142"/>
      <c r="GIT22" s="142"/>
      <c r="GIU22" s="142"/>
      <c r="GIV22" s="142"/>
      <c r="GIW22" s="142"/>
      <c r="GIX22" s="142"/>
      <c r="GIY22" s="142"/>
      <c r="GIZ22" s="142"/>
      <c r="GJA22" s="142"/>
      <c r="GJB22" s="142"/>
      <c r="GJC22" s="142"/>
      <c r="GJD22" s="142"/>
      <c r="GJE22" s="142"/>
      <c r="GJF22" s="142"/>
      <c r="GJG22" s="142"/>
      <c r="GJH22" s="142"/>
      <c r="GJI22" s="142"/>
      <c r="GJJ22" s="142"/>
      <c r="GJK22" s="142"/>
      <c r="GJL22" s="142"/>
      <c r="GJM22" s="142"/>
      <c r="GJN22" s="142"/>
      <c r="GJO22" s="142"/>
      <c r="GJP22" s="142"/>
      <c r="GJQ22" s="142"/>
      <c r="GJR22" s="142"/>
      <c r="GJS22" s="142"/>
      <c r="GJT22" s="142"/>
      <c r="GJU22" s="142"/>
      <c r="GJV22" s="142"/>
      <c r="GJW22" s="142"/>
      <c r="GJX22" s="142"/>
      <c r="GJY22" s="142"/>
      <c r="GJZ22" s="142"/>
      <c r="GKA22" s="142"/>
      <c r="GKB22" s="142"/>
      <c r="GKC22" s="142"/>
      <c r="GKD22" s="142"/>
      <c r="GKE22" s="142"/>
      <c r="GKF22" s="142"/>
      <c r="GKG22" s="142"/>
      <c r="GKH22" s="142"/>
      <c r="GKI22" s="142"/>
      <c r="GKJ22" s="142"/>
      <c r="GKK22" s="142"/>
      <c r="GKL22" s="142"/>
      <c r="GKM22" s="142"/>
      <c r="GKN22" s="142"/>
      <c r="GKO22" s="142"/>
      <c r="GKP22" s="142"/>
      <c r="GKQ22" s="142"/>
      <c r="GKR22" s="142"/>
      <c r="GKS22" s="142"/>
      <c r="GKT22" s="142"/>
      <c r="GKU22" s="142"/>
      <c r="GKV22" s="142"/>
      <c r="GKW22" s="142"/>
      <c r="GKX22" s="142"/>
      <c r="GKY22" s="142"/>
      <c r="GKZ22" s="142"/>
      <c r="GLA22" s="142"/>
      <c r="GLB22" s="142"/>
      <c r="GLC22" s="142"/>
      <c r="GLD22" s="142"/>
      <c r="GLE22" s="142"/>
      <c r="GLF22" s="142"/>
      <c r="GLG22" s="142"/>
      <c r="GLH22" s="142"/>
      <c r="GLI22" s="142"/>
      <c r="GLJ22" s="142"/>
      <c r="GLK22" s="142"/>
      <c r="GLL22" s="142"/>
      <c r="GLM22" s="142"/>
      <c r="GLN22" s="142"/>
      <c r="GLO22" s="142"/>
      <c r="GLP22" s="142"/>
      <c r="GLQ22" s="142"/>
      <c r="GLR22" s="142"/>
      <c r="GLS22" s="142"/>
      <c r="GLT22" s="142"/>
      <c r="GLU22" s="142"/>
      <c r="GLV22" s="142"/>
      <c r="GLW22" s="142"/>
      <c r="GLX22" s="142"/>
      <c r="GLY22" s="142"/>
      <c r="GLZ22" s="142"/>
      <c r="GMA22" s="142"/>
      <c r="GMB22" s="142"/>
      <c r="GMC22" s="142"/>
      <c r="GMD22" s="142"/>
      <c r="GME22" s="142"/>
      <c r="GMF22" s="142"/>
      <c r="GMG22" s="142"/>
      <c r="GMH22" s="142"/>
      <c r="GMI22" s="142"/>
      <c r="GMJ22" s="142"/>
      <c r="GMK22" s="142"/>
      <c r="GML22" s="142"/>
      <c r="GMM22" s="142"/>
      <c r="GMN22" s="142"/>
      <c r="GMO22" s="142"/>
      <c r="GMP22" s="142"/>
      <c r="GMQ22" s="142"/>
      <c r="GMR22" s="142"/>
      <c r="GMS22" s="142"/>
      <c r="GMT22" s="142"/>
      <c r="GMU22" s="142"/>
      <c r="GMV22" s="142"/>
      <c r="GMW22" s="142"/>
      <c r="GMX22" s="142"/>
      <c r="GMY22" s="142"/>
      <c r="GMZ22" s="142"/>
      <c r="GNA22" s="142"/>
      <c r="GNB22" s="142"/>
      <c r="GNC22" s="142"/>
      <c r="GND22" s="142"/>
      <c r="GNE22" s="142"/>
      <c r="GNF22" s="142"/>
      <c r="GNG22" s="142"/>
      <c r="GNH22" s="142"/>
      <c r="GNI22" s="142"/>
      <c r="GNJ22" s="142"/>
      <c r="GNK22" s="142"/>
      <c r="GNL22" s="142"/>
      <c r="GNM22" s="142"/>
      <c r="GNN22" s="142"/>
      <c r="GNO22" s="142"/>
      <c r="GNP22" s="142"/>
      <c r="GNQ22" s="142"/>
      <c r="GNR22" s="142"/>
      <c r="GNS22" s="142"/>
      <c r="GNT22" s="142"/>
      <c r="GNU22" s="142"/>
      <c r="GNV22" s="142"/>
      <c r="GNW22" s="142"/>
      <c r="GNX22" s="142"/>
      <c r="GNY22" s="142"/>
      <c r="GNZ22" s="142"/>
      <c r="GOA22" s="142"/>
      <c r="GOB22" s="142"/>
      <c r="GOC22" s="142"/>
      <c r="GOD22" s="142"/>
      <c r="GOE22" s="142"/>
      <c r="GOF22" s="142"/>
      <c r="GOG22" s="142"/>
      <c r="GOH22" s="142"/>
      <c r="GOI22" s="142"/>
      <c r="GOJ22" s="142"/>
      <c r="GOK22" s="142"/>
      <c r="GOL22" s="142"/>
      <c r="GOM22" s="142"/>
      <c r="GON22" s="142"/>
      <c r="GOO22" s="142"/>
      <c r="GOP22" s="142"/>
      <c r="GOQ22" s="142"/>
      <c r="GOR22" s="142"/>
      <c r="GOS22" s="142"/>
      <c r="GOT22" s="142"/>
      <c r="GOU22" s="142"/>
      <c r="GOV22" s="142"/>
      <c r="GOW22" s="142"/>
      <c r="GOX22" s="142"/>
      <c r="GOY22" s="142"/>
      <c r="GOZ22" s="142"/>
      <c r="GPA22" s="142"/>
      <c r="GPB22" s="142"/>
      <c r="GPC22" s="142"/>
      <c r="GPD22" s="142"/>
      <c r="GPE22" s="142"/>
      <c r="GPF22" s="142"/>
      <c r="GPG22" s="142"/>
      <c r="GPH22" s="142"/>
      <c r="GPI22" s="142"/>
      <c r="GPJ22" s="142"/>
      <c r="GPK22" s="142"/>
      <c r="GPL22" s="142"/>
      <c r="GPM22" s="142"/>
      <c r="GPN22" s="142"/>
      <c r="GPO22" s="142"/>
      <c r="GPP22" s="142"/>
      <c r="GPQ22" s="142"/>
      <c r="GPR22" s="142"/>
      <c r="GPS22" s="142"/>
      <c r="GPT22" s="142"/>
      <c r="GPU22" s="142"/>
      <c r="GPV22" s="142"/>
      <c r="GPW22" s="142"/>
      <c r="GPX22" s="142"/>
      <c r="GPY22" s="142"/>
      <c r="GPZ22" s="142"/>
      <c r="GQA22" s="142"/>
      <c r="GQB22" s="142"/>
      <c r="GQC22" s="142"/>
      <c r="GQD22" s="142"/>
      <c r="GQE22" s="142"/>
      <c r="GQF22" s="142"/>
      <c r="GQG22" s="142"/>
      <c r="GQH22" s="142"/>
      <c r="GQI22" s="142"/>
      <c r="GQJ22" s="142"/>
      <c r="GQK22" s="142"/>
      <c r="GQL22" s="142"/>
      <c r="GQM22" s="142"/>
      <c r="GQN22" s="142"/>
      <c r="GQO22" s="142"/>
      <c r="GQP22" s="142"/>
      <c r="GQQ22" s="142"/>
      <c r="GQR22" s="142"/>
      <c r="GQS22" s="142"/>
      <c r="GQT22" s="142"/>
      <c r="GQU22" s="142"/>
      <c r="GQV22" s="142"/>
      <c r="GQW22" s="142"/>
      <c r="GQX22" s="142"/>
      <c r="GQY22" s="142"/>
      <c r="GQZ22" s="142"/>
      <c r="GRA22" s="142"/>
      <c r="GRB22" s="142"/>
      <c r="GRC22" s="142"/>
      <c r="GRD22" s="142"/>
      <c r="GRE22" s="142"/>
      <c r="GRF22" s="142"/>
      <c r="GRG22" s="142"/>
      <c r="GRH22" s="142"/>
      <c r="GRI22" s="142"/>
      <c r="GRJ22" s="142"/>
      <c r="GRK22" s="142"/>
      <c r="GRL22" s="142"/>
      <c r="GRM22" s="142"/>
      <c r="GRN22" s="142"/>
      <c r="GRO22" s="142"/>
      <c r="GRP22" s="142"/>
      <c r="GRQ22" s="142"/>
      <c r="GRR22" s="142"/>
      <c r="GRS22" s="142"/>
      <c r="GRT22" s="142"/>
      <c r="GRU22" s="142"/>
      <c r="GRV22" s="142"/>
      <c r="GRW22" s="142"/>
      <c r="GRX22" s="142"/>
      <c r="GRY22" s="142"/>
      <c r="GRZ22" s="142"/>
      <c r="GSA22" s="142"/>
      <c r="GSB22" s="142"/>
      <c r="GSC22" s="142"/>
      <c r="GSD22" s="142"/>
      <c r="GSE22" s="142"/>
      <c r="GSF22" s="142"/>
      <c r="GSG22" s="142"/>
      <c r="GSH22" s="142"/>
      <c r="GSI22" s="142"/>
      <c r="GSJ22" s="142"/>
      <c r="GSK22" s="142"/>
      <c r="GSL22" s="142"/>
      <c r="GSM22" s="142"/>
      <c r="GSN22" s="142"/>
      <c r="GSO22" s="142"/>
      <c r="GSP22" s="142"/>
      <c r="GSQ22" s="142"/>
      <c r="GSR22" s="142"/>
      <c r="GSS22" s="142"/>
      <c r="GST22" s="142"/>
      <c r="GSU22" s="142"/>
      <c r="GSV22" s="142"/>
      <c r="GSW22" s="142"/>
      <c r="GSX22" s="142"/>
      <c r="GSY22" s="142"/>
      <c r="GSZ22" s="142"/>
      <c r="GTA22" s="142"/>
      <c r="GTB22" s="142"/>
      <c r="GTC22" s="142"/>
      <c r="GTD22" s="142"/>
      <c r="GTE22" s="142"/>
      <c r="GTF22" s="142"/>
      <c r="GTG22" s="142"/>
      <c r="GTH22" s="142"/>
      <c r="GTI22" s="142"/>
      <c r="GTJ22" s="142"/>
      <c r="GTK22" s="142"/>
      <c r="GTL22" s="142"/>
      <c r="GTM22" s="142"/>
      <c r="GTN22" s="142"/>
      <c r="GTO22" s="142"/>
      <c r="GTP22" s="142"/>
      <c r="GTQ22" s="142"/>
      <c r="GTR22" s="142"/>
      <c r="GTS22" s="142"/>
      <c r="GTT22" s="142"/>
      <c r="GTU22" s="142"/>
      <c r="GTV22" s="142"/>
      <c r="GTW22" s="142"/>
      <c r="GTX22" s="142"/>
      <c r="GTY22" s="142"/>
      <c r="GTZ22" s="142"/>
      <c r="GUA22" s="142"/>
      <c r="GUB22" s="142"/>
      <c r="GUC22" s="142"/>
      <c r="GUD22" s="142"/>
      <c r="GUE22" s="142"/>
      <c r="GUF22" s="142"/>
      <c r="GUG22" s="142"/>
      <c r="GUH22" s="142"/>
      <c r="GUI22" s="142"/>
      <c r="GUJ22" s="142"/>
      <c r="GUK22" s="142"/>
      <c r="GUL22" s="142"/>
      <c r="GUM22" s="142"/>
      <c r="GUN22" s="142"/>
      <c r="GUO22" s="142"/>
      <c r="GUP22" s="142"/>
      <c r="GUQ22" s="142"/>
      <c r="GUR22" s="142"/>
      <c r="GUS22" s="142"/>
      <c r="GUT22" s="142"/>
      <c r="GUU22" s="142"/>
      <c r="GUV22" s="142"/>
      <c r="GUW22" s="142"/>
      <c r="GUX22" s="142"/>
      <c r="GUY22" s="142"/>
      <c r="GUZ22" s="142"/>
      <c r="GVA22" s="142"/>
      <c r="GVB22" s="142"/>
      <c r="GVC22" s="142"/>
      <c r="GVD22" s="142"/>
      <c r="GVE22" s="142"/>
      <c r="GVF22" s="142"/>
      <c r="GVG22" s="142"/>
      <c r="GVH22" s="142"/>
      <c r="GVI22" s="142"/>
      <c r="GVJ22" s="142"/>
      <c r="GVK22" s="142"/>
      <c r="GVL22" s="142"/>
      <c r="GVM22" s="142"/>
      <c r="GVN22" s="142"/>
      <c r="GVO22" s="142"/>
      <c r="GVP22" s="142"/>
      <c r="GVQ22" s="142"/>
      <c r="GVR22" s="142"/>
      <c r="GVS22" s="142"/>
      <c r="GVT22" s="142"/>
      <c r="GVU22" s="142"/>
      <c r="GVV22" s="142"/>
      <c r="GVW22" s="142"/>
      <c r="GVX22" s="142"/>
      <c r="GVY22" s="142"/>
      <c r="GVZ22" s="142"/>
      <c r="GWA22" s="142"/>
      <c r="GWB22" s="142"/>
      <c r="GWC22" s="142"/>
      <c r="GWD22" s="142"/>
      <c r="GWE22" s="142"/>
      <c r="GWF22" s="142"/>
      <c r="GWG22" s="142"/>
      <c r="GWH22" s="142"/>
      <c r="GWI22" s="142"/>
      <c r="GWJ22" s="142"/>
      <c r="GWK22" s="142"/>
      <c r="GWL22" s="142"/>
      <c r="GWM22" s="142"/>
      <c r="GWN22" s="142"/>
      <c r="GWO22" s="142"/>
      <c r="GWP22" s="142"/>
      <c r="GWQ22" s="142"/>
      <c r="GWR22" s="142"/>
      <c r="GWS22" s="142"/>
      <c r="GWT22" s="142"/>
      <c r="GWU22" s="142"/>
      <c r="GWV22" s="142"/>
      <c r="GWW22" s="142"/>
      <c r="GWX22" s="142"/>
      <c r="GWY22" s="142"/>
      <c r="GWZ22" s="142"/>
      <c r="GXA22" s="142"/>
      <c r="GXB22" s="142"/>
      <c r="GXC22" s="142"/>
      <c r="GXD22" s="142"/>
      <c r="GXE22" s="142"/>
      <c r="GXF22" s="142"/>
      <c r="GXG22" s="142"/>
      <c r="GXH22" s="142"/>
      <c r="GXI22" s="142"/>
      <c r="GXJ22" s="142"/>
      <c r="GXK22" s="142"/>
      <c r="GXL22" s="142"/>
      <c r="GXM22" s="142"/>
      <c r="GXN22" s="142"/>
      <c r="GXO22" s="142"/>
      <c r="GXP22" s="142"/>
      <c r="GXQ22" s="142"/>
      <c r="GXR22" s="142"/>
      <c r="GXS22" s="142"/>
      <c r="GXT22" s="142"/>
      <c r="GXU22" s="142"/>
      <c r="GXV22" s="142"/>
      <c r="GXW22" s="142"/>
      <c r="GXX22" s="142"/>
      <c r="GXY22" s="142"/>
      <c r="GXZ22" s="142"/>
      <c r="GYA22" s="142"/>
      <c r="GYB22" s="142"/>
      <c r="GYC22" s="142"/>
      <c r="GYD22" s="142"/>
      <c r="GYE22" s="142"/>
      <c r="GYF22" s="142"/>
      <c r="GYG22" s="142"/>
      <c r="GYH22" s="142"/>
      <c r="GYI22" s="142"/>
      <c r="GYJ22" s="142"/>
      <c r="GYK22" s="142"/>
      <c r="GYL22" s="142"/>
      <c r="GYM22" s="142"/>
      <c r="GYN22" s="142"/>
      <c r="GYO22" s="142"/>
      <c r="GYP22" s="142"/>
      <c r="GYQ22" s="142"/>
      <c r="GYR22" s="142"/>
      <c r="GYS22" s="142"/>
      <c r="GYT22" s="142"/>
      <c r="GYU22" s="142"/>
      <c r="GYV22" s="142"/>
      <c r="GYW22" s="142"/>
      <c r="GYX22" s="142"/>
      <c r="GYY22" s="142"/>
      <c r="GYZ22" s="142"/>
      <c r="GZA22" s="142"/>
      <c r="GZB22" s="142"/>
      <c r="GZC22" s="142"/>
      <c r="GZD22" s="142"/>
      <c r="GZE22" s="142"/>
      <c r="GZF22" s="142"/>
      <c r="GZG22" s="142"/>
      <c r="GZH22" s="142"/>
      <c r="GZI22" s="142"/>
      <c r="GZJ22" s="142"/>
      <c r="GZK22" s="142"/>
      <c r="GZL22" s="142"/>
      <c r="GZM22" s="142"/>
      <c r="GZN22" s="142"/>
      <c r="GZO22" s="142"/>
      <c r="GZP22" s="142"/>
      <c r="GZQ22" s="142"/>
      <c r="GZR22" s="142"/>
      <c r="GZS22" s="142"/>
      <c r="GZT22" s="142"/>
      <c r="GZU22" s="142"/>
      <c r="GZV22" s="142"/>
      <c r="GZW22" s="142"/>
      <c r="GZX22" s="142"/>
      <c r="GZY22" s="142"/>
      <c r="GZZ22" s="142"/>
      <c r="HAA22" s="142"/>
      <c r="HAB22" s="142"/>
      <c r="HAC22" s="142"/>
      <c r="HAD22" s="142"/>
      <c r="HAE22" s="142"/>
      <c r="HAF22" s="142"/>
      <c r="HAG22" s="142"/>
      <c r="HAH22" s="142"/>
      <c r="HAI22" s="142"/>
      <c r="HAJ22" s="142"/>
      <c r="HAK22" s="142"/>
      <c r="HAL22" s="142"/>
      <c r="HAM22" s="142"/>
      <c r="HAN22" s="142"/>
      <c r="HAO22" s="142"/>
      <c r="HAP22" s="142"/>
      <c r="HAQ22" s="142"/>
      <c r="HAR22" s="142"/>
      <c r="HAS22" s="142"/>
      <c r="HAT22" s="142"/>
      <c r="HAU22" s="142"/>
      <c r="HAV22" s="142"/>
      <c r="HAW22" s="142"/>
      <c r="HAX22" s="142"/>
      <c r="HAY22" s="142"/>
      <c r="HAZ22" s="142"/>
      <c r="HBA22" s="142"/>
      <c r="HBB22" s="142"/>
      <c r="HBC22" s="142"/>
      <c r="HBD22" s="142"/>
      <c r="HBE22" s="142"/>
      <c r="HBF22" s="142"/>
      <c r="HBG22" s="142"/>
      <c r="HBH22" s="142"/>
      <c r="HBI22" s="142"/>
      <c r="HBJ22" s="142"/>
      <c r="HBK22" s="142"/>
      <c r="HBL22" s="142"/>
      <c r="HBM22" s="142"/>
      <c r="HBN22" s="142"/>
      <c r="HBO22" s="142"/>
      <c r="HBP22" s="142"/>
      <c r="HBQ22" s="142"/>
      <c r="HBR22" s="142"/>
      <c r="HBS22" s="142"/>
      <c r="HBT22" s="142"/>
      <c r="HBU22" s="142"/>
      <c r="HBV22" s="142"/>
      <c r="HBW22" s="142"/>
      <c r="HBX22" s="142"/>
      <c r="HBY22" s="142"/>
      <c r="HBZ22" s="142"/>
      <c r="HCA22" s="142"/>
      <c r="HCB22" s="142"/>
      <c r="HCC22" s="142"/>
      <c r="HCD22" s="142"/>
      <c r="HCE22" s="142"/>
      <c r="HCF22" s="142"/>
      <c r="HCG22" s="142"/>
      <c r="HCH22" s="142"/>
      <c r="HCI22" s="142"/>
      <c r="HCJ22" s="142"/>
      <c r="HCK22" s="142"/>
      <c r="HCL22" s="142"/>
      <c r="HCM22" s="142"/>
      <c r="HCN22" s="142"/>
      <c r="HCO22" s="142"/>
      <c r="HCP22" s="142"/>
      <c r="HCQ22" s="142"/>
      <c r="HCR22" s="142"/>
      <c r="HCS22" s="142"/>
      <c r="HCT22" s="142"/>
      <c r="HCU22" s="142"/>
      <c r="HCV22" s="142"/>
      <c r="HCW22" s="142"/>
      <c r="HCX22" s="142"/>
      <c r="HCY22" s="142"/>
      <c r="HCZ22" s="142"/>
      <c r="HDA22" s="142"/>
      <c r="HDB22" s="142"/>
      <c r="HDC22" s="142"/>
      <c r="HDD22" s="142"/>
      <c r="HDE22" s="142"/>
      <c r="HDF22" s="142"/>
      <c r="HDG22" s="142"/>
      <c r="HDH22" s="142"/>
      <c r="HDI22" s="142"/>
      <c r="HDJ22" s="142"/>
      <c r="HDK22" s="142"/>
      <c r="HDL22" s="142"/>
      <c r="HDM22" s="142"/>
      <c r="HDN22" s="142"/>
      <c r="HDO22" s="142"/>
      <c r="HDP22" s="142"/>
      <c r="HDQ22" s="142"/>
      <c r="HDR22" s="142"/>
      <c r="HDS22" s="142"/>
      <c r="HDT22" s="142"/>
      <c r="HDU22" s="142"/>
      <c r="HDV22" s="142"/>
      <c r="HDW22" s="142"/>
      <c r="HDX22" s="142"/>
      <c r="HDY22" s="142"/>
      <c r="HDZ22" s="142"/>
      <c r="HEA22" s="142"/>
      <c r="HEB22" s="142"/>
      <c r="HEC22" s="142"/>
      <c r="HED22" s="142"/>
      <c r="HEE22" s="142"/>
      <c r="HEF22" s="142"/>
      <c r="HEG22" s="142"/>
      <c r="HEH22" s="142"/>
      <c r="HEI22" s="142"/>
      <c r="HEJ22" s="142"/>
      <c r="HEK22" s="142"/>
      <c r="HEL22" s="142"/>
      <c r="HEM22" s="142"/>
      <c r="HEN22" s="142"/>
      <c r="HEO22" s="142"/>
      <c r="HEP22" s="142"/>
      <c r="HEQ22" s="142"/>
      <c r="HER22" s="142"/>
      <c r="HES22" s="142"/>
      <c r="HET22" s="142"/>
      <c r="HEU22" s="142"/>
      <c r="HEV22" s="142"/>
      <c r="HEW22" s="142"/>
      <c r="HEX22" s="142"/>
      <c r="HEY22" s="142"/>
      <c r="HEZ22" s="142"/>
      <c r="HFA22" s="142"/>
      <c r="HFB22" s="142"/>
      <c r="HFC22" s="142"/>
      <c r="HFD22" s="142"/>
      <c r="HFE22" s="142"/>
      <c r="HFF22" s="142"/>
      <c r="HFG22" s="142"/>
      <c r="HFH22" s="142"/>
      <c r="HFI22" s="142"/>
      <c r="HFJ22" s="142"/>
      <c r="HFK22" s="142"/>
      <c r="HFL22" s="142"/>
      <c r="HFM22" s="142"/>
      <c r="HFN22" s="142"/>
      <c r="HFO22" s="142"/>
      <c r="HFP22" s="142"/>
      <c r="HFQ22" s="142"/>
      <c r="HFR22" s="142"/>
      <c r="HFS22" s="142"/>
      <c r="HFT22" s="142"/>
      <c r="HFU22" s="142"/>
      <c r="HFV22" s="142"/>
      <c r="HFW22" s="142"/>
      <c r="HFX22" s="142"/>
      <c r="HFY22" s="142"/>
      <c r="HFZ22" s="142"/>
      <c r="HGA22" s="142"/>
      <c r="HGB22" s="142"/>
      <c r="HGC22" s="142"/>
      <c r="HGD22" s="142"/>
      <c r="HGE22" s="142"/>
      <c r="HGF22" s="142"/>
      <c r="HGG22" s="142"/>
      <c r="HGH22" s="142"/>
      <c r="HGI22" s="142"/>
      <c r="HGJ22" s="142"/>
      <c r="HGK22" s="142"/>
      <c r="HGL22" s="142"/>
      <c r="HGM22" s="142"/>
      <c r="HGN22" s="142"/>
      <c r="HGO22" s="142"/>
      <c r="HGP22" s="142"/>
      <c r="HGQ22" s="142"/>
      <c r="HGR22" s="142"/>
      <c r="HGS22" s="142"/>
      <c r="HGT22" s="142"/>
      <c r="HGU22" s="142"/>
      <c r="HGV22" s="142"/>
      <c r="HGW22" s="142"/>
      <c r="HGX22" s="142"/>
      <c r="HGY22" s="142"/>
      <c r="HGZ22" s="142"/>
      <c r="HHA22" s="142"/>
      <c r="HHB22" s="142"/>
      <c r="HHC22" s="142"/>
      <c r="HHD22" s="142"/>
      <c r="HHE22" s="142"/>
      <c r="HHF22" s="142"/>
      <c r="HHG22" s="142"/>
      <c r="HHH22" s="142"/>
      <c r="HHI22" s="142"/>
      <c r="HHJ22" s="142"/>
      <c r="HHK22" s="142"/>
      <c r="HHL22" s="142"/>
      <c r="HHM22" s="142"/>
      <c r="HHN22" s="142"/>
      <c r="HHO22" s="142"/>
      <c r="HHP22" s="142"/>
      <c r="HHQ22" s="142"/>
      <c r="HHR22" s="142"/>
      <c r="HHS22" s="142"/>
      <c r="HHT22" s="142"/>
      <c r="HHU22" s="142"/>
      <c r="HHV22" s="142"/>
      <c r="HHW22" s="142"/>
      <c r="HHX22" s="142"/>
      <c r="HHY22" s="142"/>
      <c r="HHZ22" s="142"/>
      <c r="HIA22" s="142"/>
      <c r="HIB22" s="142"/>
      <c r="HIC22" s="142"/>
      <c r="HID22" s="142"/>
      <c r="HIE22" s="142"/>
      <c r="HIF22" s="142"/>
      <c r="HIG22" s="142"/>
      <c r="HIH22" s="142"/>
      <c r="HII22" s="142"/>
      <c r="HIJ22" s="142"/>
      <c r="HIK22" s="142"/>
      <c r="HIL22" s="142"/>
      <c r="HIM22" s="142"/>
      <c r="HIN22" s="142"/>
      <c r="HIO22" s="142"/>
      <c r="HIP22" s="142"/>
      <c r="HIQ22" s="142"/>
      <c r="HIR22" s="142"/>
      <c r="HIS22" s="142"/>
      <c r="HIT22" s="142"/>
      <c r="HIU22" s="142"/>
      <c r="HIV22" s="142"/>
      <c r="HIW22" s="142"/>
      <c r="HIX22" s="142"/>
      <c r="HIY22" s="142"/>
      <c r="HIZ22" s="142"/>
      <c r="HJA22" s="142"/>
      <c r="HJB22" s="142"/>
      <c r="HJC22" s="142"/>
      <c r="HJD22" s="142"/>
      <c r="HJE22" s="142"/>
      <c r="HJF22" s="142"/>
      <c r="HJG22" s="142"/>
      <c r="HJH22" s="142"/>
      <c r="HJI22" s="142"/>
      <c r="HJJ22" s="142"/>
      <c r="HJK22" s="142"/>
      <c r="HJL22" s="142"/>
      <c r="HJM22" s="142"/>
      <c r="HJN22" s="142"/>
      <c r="HJO22" s="142"/>
      <c r="HJP22" s="142"/>
      <c r="HJQ22" s="142"/>
      <c r="HJR22" s="142"/>
      <c r="HJS22" s="142"/>
      <c r="HJT22" s="142"/>
      <c r="HJU22" s="142"/>
      <c r="HJV22" s="142"/>
      <c r="HJW22" s="142"/>
      <c r="HJX22" s="142"/>
      <c r="HJY22" s="142"/>
      <c r="HJZ22" s="142"/>
      <c r="HKA22" s="142"/>
      <c r="HKB22" s="142"/>
      <c r="HKC22" s="142"/>
      <c r="HKD22" s="142"/>
      <c r="HKE22" s="142"/>
      <c r="HKF22" s="142"/>
      <c r="HKG22" s="142"/>
      <c r="HKH22" s="142"/>
      <c r="HKI22" s="142"/>
      <c r="HKJ22" s="142"/>
      <c r="HKK22" s="142"/>
      <c r="HKL22" s="142"/>
      <c r="HKM22" s="142"/>
      <c r="HKN22" s="142"/>
      <c r="HKO22" s="142"/>
      <c r="HKP22" s="142"/>
      <c r="HKQ22" s="142"/>
      <c r="HKR22" s="142"/>
      <c r="HKS22" s="142"/>
      <c r="HKT22" s="142"/>
      <c r="HKU22" s="142"/>
      <c r="HKV22" s="142"/>
      <c r="HKW22" s="142"/>
      <c r="HKX22" s="142"/>
      <c r="HKY22" s="142"/>
      <c r="HKZ22" s="142"/>
      <c r="HLA22" s="142"/>
      <c r="HLB22" s="142"/>
      <c r="HLC22" s="142"/>
      <c r="HLD22" s="142"/>
      <c r="HLE22" s="142"/>
      <c r="HLF22" s="142"/>
      <c r="HLG22" s="142"/>
      <c r="HLH22" s="142"/>
      <c r="HLI22" s="142"/>
      <c r="HLJ22" s="142"/>
      <c r="HLK22" s="142"/>
      <c r="HLL22" s="142"/>
      <c r="HLM22" s="142"/>
      <c r="HLN22" s="142"/>
      <c r="HLO22" s="142"/>
      <c r="HLP22" s="142"/>
      <c r="HLQ22" s="142"/>
      <c r="HLR22" s="142"/>
      <c r="HLS22" s="142"/>
      <c r="HLT22" s="142"/>
      <c r="HLU22" s="142"/>
      <c r="HLV22" s="142"/>
      <c r="HLW22" s="142"/>
      <c r="HLX22" s="142"/>
      <c r="HLY22" s="142"/>
      <c r="HLZ22" s="142"/>
      <c r="HMA22" s="142"/>
      <c r="HMB22" s="142"/>
      <c r="HMC22" s="142"/>
      <c r="HMD22" s="142"/>
      <c r="HME22" s="142"/>
      <c r="HMF22" s="142"/>
      <c r="HMG22" s="142"/>
      <c r="HMH22" s="142"/>
      <c r="HMI22" s="142"/>
      <c r="HMJ22" s="142"/>
      <c r="HMK22" s="142"/>
      <c r="HML22" s="142"/>
      <c r="HMM22" s="142"/>
      <c r="HMN22" s="142"/>
      <c r="HMO22" s="142"/>
      <c r="HMP22" s="142"/>
      <c r="HMQ22" s="142"/>
      <c r="HMR22" s="142"/>
      <c r="HMS22" s="142"/>
      <c r="HMT22" s="142"/>
      <c r="HMU22" s="142"/>
      <c r="HMV22" s="142"/>
      <c r="HMW22" s="142"/>
      <c r="HMX22" s="142"/>
      <c r="HMY22" s="142"/>
      <c r="HMZ22" s="142"/>
      <c r="HNA22" s="142"/>
      <c r="HNB22" s="142"/>
      <c r="HNC22" s="142"/>
      <c r="HND22" s="142"/>
      <c r="HNE22" s="142"/>
      <c r="HNF22" s="142"/>
      <c r="HNG22" s="142"/>
      <c r="HNH22" s="142"/>
      <c r="HNI22" s="142"/>
      <c r="HNJ22" s="142"/>
      <c r="HNK22" s="142"/>
      <c r="HNL22" s="142"/>
      <c r="HNM22" s="142"/>
      <c r="HNN22" s="142"/>
      <c r="HNO22" s="142"/>
      <c r="HNP22" s="142"/>
      <c r="HNQ22" s="142"/>
      <c r="HNR22" s="142"/>
      <c r="HNS22" s="142"/>
      <c r="HNT22" s="142"/>
      <c r="HNU22" s="142"/>
      <c r="HNV22" s="142"/>
      <c r="HNW22" s="142"/>
      <c r="HNX22" s="142"/>
      <c r="HNY22" s="142"/>
      <c r="HNZ22" s="142"/>
      <c r="HOA22" s="142"/>
      <c r="HOB22" s="142"/>
      <c r="HOC22" s="142"/>
      <c r="HOD22" s="142"/>
      <c r="HOE22" s="142"/>
      <c r="HOF22" s="142"/>
      <c r="HOG22" s="142"/>
      <c r="HOH22" s="142"/>
      <c r="HOI22" s="142"/>
      <c r="HOJ22" s="142"/>
      <c r="HOK22" s="142"/>
      <c r="HOL22" s="142"/>
      <c r="HOM22" s="142"/>
      <c r="HON22" s="142"/>
      <c r="HOO22" s="142"/>
      <c r="HOP22" s="142"/>
      <c r="HOQ22" s="142"/>
      <c r="HOR22" s="142"/>
      <c r="HOS22" s="142"/>
      <c r="HOT22" s="142"/>
      <c r="HOU22" s="142"/>
      <c r="HOV22" s="142"/>
      <c r="HOW22" s="142"/>
      <c r="HOX22" s="142"/>
      <c r="HOY22" s="142"/>
      <c r="HOZ22" s="142"/>
      <c r="HPA22" s="142"/>
      <c r="HPB22" s="142"/>
      <c r="HPC22" s="142"/>
      <c r="HPD22" s="142"/>
      <c r="HPE22" s="142"/>
      <c r="HPF22" s="142"/>
      <c r="HPG22" s="142"/>
      <c r="HPH22" s="142"/>
      <c r="HPI22" s="142"/>
      <c r="HPJ22" s="142"/>
      <c r="HPK22" s="142"/>
      <c r="HPL22" s="142"/>
      <c r="HPM22" s="142"/>
      <c r="HPN22" s="142"/>
      <c r="HPO22" s="142"/>
      <c r="HPP22" s="142"/>
      <c r="HPQ22" s="142"/>
      <c r="HPR22" s="142"/>
      <c r="HPS22" s="142"/>
      <c r="HPT22" s="142"/>
      <c r="HPU22" s="142"/>
      <c r="HPV22" s="142"/>
      <c r="HPW22" s="142"/>
      <c r="HPX22" s="142"/>
      <c r="HPY22" s="142"/>
      <c r="HPZ22" s="142"/>
      <c r="HQA22" s="142"/>
      <c r="HQB22" s="142"/>
      <c r="HQC22" s="142"/>
      <c r="HQD22" s="142"/>
      <c r="HQE22" s="142"/>
      <c r="HQF22" s="142"/>
      <c r="HQG22" s="142"/>
      <c r="HQH22" s="142"/>
      <c r="HQI22" s="142"/>
      <c r="HQJ22" s="142"/>
      <c r="HQK22" s="142"/>
      <c r="HQL22" s="142"/>
      <c r="HQM22" s="142"/>
      <c r="HQN22" s="142"/>
      <c r="HQO22" s="142"/>
      <c r="HQP22" s="142"/>
      <c r="HQQ22" s="142"/>
      <c r="HQR22" s="142"/>
      <c r="HQS22" s="142"/>
      <c r="HQT22" s="142"/>
      <c r="HQU22" s="142"/>
      <c r="HQV22" s="142"/>
      <c r="HQW22" s="142"/>
      <c r="HQX22" s="142"/>
      <c r="HQY22" s="142"/>
      <c r="HQZ22" s="142"/>
      <c r="HRA22" s="142"/>
      <c r="HRB22" s="142"/>
      <c r="HRC22" s="142"/>
      <c r="HRD22" s="142"/>
      <c r="HRE22" s="142"/>
      <c r="HRF22" s="142"/>
      <c r="HRG22" s="142"/>
      <c r="HRH22" s="142"/>
      <c r="HRI22" s="142"/>
      <c r="HRJ22" s="142"/>
      <c r="HRK22" s="142"/>
      <c r="HRL22" s="142"/>
      <c r="HRM22" s="142"/>
      <c r="HRN22" s="142"/>
      <c r="HRO22" s="142"/>
      <c r="HRP22" s="142"/>
      <c r="HRQ22" s="142"/>
      <c r="HRR22" s="142"/>
      <c r="HRS22" s="142"/>
      <c r="HRT22" s="142"/>
      <c r="HRU22" s="142"/>
      <c r="HRV22" s="142"/>
      <c r="HRW22" s="142"/>
      <c r="HRX22" s="142"/>
      <c r="HRY22" s="142"/>
      <c r="HRZ22" s="142"/>
      <c r="HSA22" s="142"/>
      <c r="HSB22" s="142"/>
      <c r="HSC22" s="142"/>
      <c r="HSD22" s="142"/>
      <c r="HSE22" s="142"/>
      <c r="HSF22" s="142"/>
      <c r="HSG22" s="142"/>
      <c r="HSH22" s="142"/>
      <c r="HSI22" s="142"/>
      <c r="HSJ22" s="142"/>
      <c r="HSK22" s="142"/>
      <c r="HSL22" s="142"/>
      <c r="HSM22" s="142"/>
      <c r="HSN22" s="142"/>
      <c r="HSO22" s="142"/>
      <c r="HSP22" s="142"/>
      <c r="HSQ22" s="142"/>
      <c r="HSR22" s="142"/>
      <c r="HSS22" s="142"/>
      <c r="HST22" s="142"/>
      <c r="HSU22" s="142"/>
      <c r="HSV22" s="142"/>
      <c r="HSW22" s="142"/>
      <c r="HSX22" s="142"/>
      <c r="HSY22" s="142"/>
      <c r="HSZ22" s="142"/>
      <c r="HTA22" s="142"/>
      <c r="HTB22" s="142"/>
      <c r="HTC22" s="142"/>
      <c r="HTD22" s="142"/>
      <c r="HTE22" s="142"/>
      <c r="HTF22" s="142"/>
      <c r="HTG22" s="142"/>
      <c r="HTH22" s="142"/>
      <c r="HTI22" s="142"/>
      <c r="HTJ22" s="142"/>
      <c r="HTK22" s="142"/>
      <c r="HTL22" s="142"/>
      <c r="HTM22" s="142"/>
      <c r="HTN22" s="142"/>
      <c r="HTO22" s="142"/>
      <c r="HTP22" s="142"/>
      <c r="HTQ22" s="142"/>
      <c r="HTR22" s="142"/>
      <c r="HTS22" s="142"/>
      <c r="HTT22" s="142"/>
      <c r="HTU22" s="142"/>
      <c r="HTV22" s="142"/>
      <c r="HTW22" s="142"/>
      <c r="HTX22" s="142"/>
      <c r="HTY22" s="142"/>
      <c r="HTZ22" s="142"/>
      <c r="HUA22" s="142"/>
      <c r="HUB22" s="142"/>
      <c r="HUC22" s="142"/>
      <c r="HUD22" s="142"/>
      <c r="HUE22" s="142"/>
      <c r="HUF22" s="142"/>
      <c r="HUG22" s="142"/>
      <c r="HUH22" s="142"/>
      <c r="HUI22" s="142"/>
      <c r="HUJ22" s="142"/>
      <c r="HUK22" s="142"/>
      <c r="HUL22" s="142"/>
      <c r="HUM22" s="142"/>
      <c r="HUN22" s="142"/>
      <c r="HUO22" s="142"/>
      <c r="HUP22" s="142"/>
      <c r="HUQ22" s="142"/>
      <c r="HUR22" s="142"/>
      <c r="HUS22" s="142"/>
      <c r="HUT22" s="142"/>
      <c r="HUU22" s="142"/>
      <c r="HUV22" s="142"/>
      <c r="HUW22" s="142"/>
      <c r="HUX22" s="142"/>
      <c r="HUY22" s="142"/>
      <c r="HUZ22" s="142"/>
      <c r="HVA22" s="142"/>
      <c r="HVB22" s="142"/>
      <c r="HVC22" s="142"/>
      <c r="HVD22" s="142"/>
      <c r="HVE22" s="142"/>
      <c r="HVF22" s="142"/>
      <c r="HVG22" s="142"/>
      <c r="HVH22" s="142"/>
      <c r="HVI22" s="142"/>
      <c r="HVJ22" s="142"/>
      <c r="HVK22" s="142"/>
      <c r="HVL22" s="142"/>
      <c r="HVM22" s="142"/>
      <c r="HVN22" s="142"/>
      <c r="HVO22" s="142"/>
      <c r="HVP22" s="142"/>
      <c r="HVQ22" s="142"/>
      <c r="HVR22" s="142"/>
      <c r="HVS22" s="142"/>
      <c r="HVT22" s="142"/>
      <c r="HVU22" s="142"/>
      <c r="HVV22" s="142"/>
      <c r="HVW22" s="142"/>
      <c r="HVX22" s="142"/>
      <c r="HVY22" s="142"/>
      <c r="HVZ22" s="142"/>
      <c r="HWA22" s="142"/>
      <c r="HWB22" s="142"/>
      <c r="HWC22" s="142"/>
      <c r="HWD22" s="142"/>
      <c r="HWE22" s="142"/>
      <c r="HWF22" s="142"/>
      <c r="HWG22" s="142"/>
      <c r="HWH22" s="142"/>
      <c r="HWI22" s="142"/>
      <c r="HWJ22" s="142"/>
      <c r="HWK22" s="142"/>
      <c r="HWL22" s="142"/>
      <c r="HWM22" s="142"/>
      <c r="HWN22" s="142"/>
      <c r="HWO22" s="142"/>
      <c r="HWP22" s="142"/>
      <c r="HWQ22" s="142"/>
      <c r="HWR22" s="142"/>
      <c r="HWS22" s="142"/>
      <c r="HWT22" s="142"/>
      <c r="HWU22" s="142"/>
      <c r="HWV22" s="142"/>
      <c r="HWW22" s="142"/>
      <c r="HWX22" s="142"/>
      <c r="HWY22" s="142"/>
      <c r="HWZ22" s="142"/>
      <c r="HXA22" s="142"/>
      <c r="HXB22" s="142"/>
      <c r="HXC22" s="142"/>
      <c r="HXD22" s="142"/>
      <c r="HXE22" s="142"/>
      <c r="HXF22" s="142"/>
      <c r="HXG22" s="142"/>
      <c r="HXH22" s="142"/>
      <c r="HXI22" s="142"/>
      <c r="HXJ22" s="142"/>
      <c r="HXK22" s="142"/>
      <c r="HXL22" s="142"/>
      <c r="HXM22" s="142"/>
      <c r="HXN22" s="142"/>
      <c r="HXO22" s="142"/>
      <c r="HXP22" s="142"/>
      <c r="HXQ22" s="142"/>
      <c r="HXR22" s="142"/>
      <c r="HXS22" s="142"/>
      <c r="HXT22" s="142"/>
      <c r="HXU22" s="142"/>
      <c r="HXV22" s="142"/>
      <c r="HXW22" s="142"/>
      <c r="HXX22" s="142"/>
      <c r="HXY22" s="142"/>
      <c r="HXZ22" s="142"/>
      <c r="HYA22" s="142"/>
      <c r="HYB22" s="142"/>
      <c r="HYC22" s="142"/>
      <c r="HYD22" s="142"/>
      <c r="HYE22" s="142"/>
      <c r="HYF22" s="142"/>
      <c r="HYG22" s="142"/>
      <c r="HYH22" s="142"/>
      <c r="HYI22" s="142"/>
      <c r="HYJ22" s="142"/>
      <c r="HYK22" s="142"/>
      <c r="HYL22" s="142"/>
      <c r="HYM22" s="142"/>
      <c r="HYN22" s="142"/>
      <c r="HYO22" s="142"/>
      <c r="HYP22" s="142"/>
      <c r="HYQ22" s="142"/>
      <c r="HYR22" s="142"/>
      <c r="HYS22" s="142"/>
      <c r="HYT22" s="142"/>
      <c r="HYU22" s="142"/>
      <c r="HYV22" s="142"/>
      <c r="HYW22" s="142"/>
      <c r="HYX22" s="142"/>
      <c r="HYY22" s="142"/>
      <c r="HYZ22" s="142"/>
      <c r="HZA22" s="142"/>
      <c r="HZB22" s="142"/>
      <c r="HZC22" s="142"/>
      <c r="HZD22" s="142"/>
      <c r="HZE22" s="142"/>
      <c r="HZF22" s="142"/>
      <c r="HZG22" s="142"/>
      <c r="HZH22" s="142"/>
      <c r="HZI22" s="142"/>
      <c r="HZJ22" s="142"/>
      <c r="HZK22" s="142"/>
      <c r="HZL22" s="142"/>
      <c r="HZM22" s="142"/>
      <c r="HZN22" s="142"/>
      <c r="HZO22" s="142"/>
      <c r="HZP22" s="142"/>
      <c r="HZQ22" s="142"/>
      <c r="HZR22" s="142"/>
      <c r="HZS22" s="142"/>
      <c r="HZT22" s="142"/>
      <c r="HZU22" s="142"/>
      <c r="HZV22" s="142"/>
      <c r="HZW22" s="142"/>
      <c r="HZX22" s="142"/>
      <c r="HZY22" s="142"/>
      <c r="HZZ22" s="142"/>
      <c r="IAA22" s="142"/>
      <c r="IAB22" s="142"/>
      <c r="IAC22" s="142"/>
      <c r="IAD22" s="142"/>
      <c r="IAE22" s="142"/>
      <c r="IAF22" s="142"/>
      <c r="IAG22" s="142"/>
      <c r="IAH22" s="142"/>
      <c r="IAI22" s="142"/>
      <c r="IAJ22" s="142"/>
      <c r="IAK22" s="142"/>
      <c r="IAL22" s="142"/>
      <c r="IAM22" s="142"/>
      <c r="IAN22" s="142"/>
      <c r="IAO22" s="142"/>
      <c r="IAP22" s="142"/>
      <c r="IAQ22" s="142"/>
      <c r="IAR22" s="142"/>
      <c r="IAS22" s="142"/>
      <c r="IAT22" s="142"/>
      <c r="IAU22" s="142"/>
      <c r="IAV22" s="142"/>
      <c r="IAW22" s="142"/>
      <c r="IAX22" s="142"/>
      <c r="IAY22" s="142"/>
      <c r="IAZ22" s="142"/>
      <c r="IBA22" s="142"/>
      <c r="IBB22" s="142"/>
      <c r="IBC22" s="142"/>
      <c r="IBD22" s="142"/>
      <c r="IBE22" s="142"/>
      <c r="IBF22" s="142"/>
      <c r="IBG22" s="142"/>
      <c r="IBH22" s="142"/>
      <c r="IBI22" s="142"/>
      <c r="IBJ22" s="142"/>
      <c r="IBK22" s="142"/>
      <c r="IBL22" s="142"/>
      <c r="IBM22" s="142"/>
      <c r="IBN22" s="142"/>
      <c r="IBO22" s="142"/>
      <c r="IBP22" s="142"/>
      <c r="IBQ22" s="142"/>
      <c r="IBR22" s="142"/>
      <c r="IBS22" s="142"/>
      <c r="IBT22" s="142"/>
      <c r="IBU22" s="142"/>
      <c r="IBV22" s="142"/>
      <c r="IBW22" s="142"/>
      <c r="IBX22" s="142"/>
      <c r="IBY22" s="142"/>
      <c r="IBZ22" s="142"/>
      <c r="ICA22" s="142"/>
      <c r="ICB22" s="142"/>
      <c r="ICC22" s="142"/>
      <c r="ICD22" s="142"/>
      <c r="ICE22" s="142"/>
      <c r="ICF22" s="142"/>
      <c r="ICG22" s="142"/>
      <c r="ICH22" s="142"/>
      <c r="ICI22" s="142"/>
      <c r="ICJ22" s="142"/>
      <c r="ICK22" s="142"/>
      <c r="ICL22" s="142"/>
      <c r="ICM22" s="142"/>
      <c r="ICN22" s="142"/>
      <c r="ICO22" s="142"/>
      <c r="ICP22" s="142"/>
      <c r="ICQ22" s="142"/>
      <c r="ICR22" s="142"/>
      <c r="ICS22" s="142"/>
      <c r="ICT22" s="142"/>
      <c r="ICU22" s="142"/>
      <c r="ICV22" s="142"/>
      <c r="ICW22" s="142"/>
      <c r="ICX22" s="142"/>
      <c r="ICY22" s="142"/>
      <c r="ICZ22" s="142"/>
      <c r="IDA22" s="142"/>
      <c r="IDB22" s="142"/>
      <c r="IDC22" s="142"/>
      <c r="IDD22" s="142"/>
      <c r="IDE22" s="142"/>
      <c r="IDF22" s="142"/>
      <c r="IDG22" s="142"/>
      <c r="IDH22" s="142"/>
      <c r="IDI22" s="142"/>
      <c r="IDJ22" s="142"/>
      <c r="IDK22" s="142"/>
      <c r="IDL22" s="142"/>
      <c r="IDM22" s="142"/>
      <c r="IDN22" s="142"/>
      <c r="IDO22" s="142"/>
      <c r="IDP22" s="142"/>
      <c r="IDQ22" s="142"/>
      <c r="IDR22" s="142"/>
      <c r="IDS22" s="142"/>
      <c r="IDT22" s="142"/>
      <c r="IDU22" s="142"/>
      <c r="IDV22" s="142"/>
      <c r="IDW22" s="142"/>
      <c r="IDX22" s="142"/>
      <c r="IDY22" s="142"/>
      <c r="IDZ22" s="142"/>
      <c r="IEA22" s="142"/>
      <c r="IEB22" s="142"/>
      <c r="IEC22" s="142"/>
      <c r="IED22" s="142"/>
      <c r="IEE22" s="142"/>
      <c r="IEF22" s="142"/>
      <c r="IEG22" s="142"/>
      <c r="IEH22" s="142"/>
      <c r="IEI22" s="142"/>
      <c r="IEJ22" s="142"/>
      <c r="IEK22" s="142"/>
      <c r="IEL22" s="142"/>
      <c r="IEM22" s="142"/>
      <c r="IEN22" s="142"/>
      <c r="IEO22" s="142"/>
      <c r="IEP22" s="142"/>
      <c r="IEQ22" s="142"/>
      <c r="IER22" s="142"/>
      <c r="IES22" s="142"/>
      <c r="IET22" s="142"/>
      <c r="IEU22" s="142"/>
      <c r="IEV22" s="142"/>
      <c r="IEW22" s="142"/>
      <c r="IEX22" s="142"/>
      <c r="IEY22" s="142"/>
      <c r="IEZ22" s="142"/>
      <c r="IFA22" s="142"/>
      <c r="IFB22" s="142"/>
      <c r="IFC22" s="142"/>
      <c r="IFD22" s="142"/>
      <c r="IFE22" s="142"/>
      <c r="IFF22" s="142"/>
      <c r="IFG22" s="142"/>
      <c r="IFH22" s="142"/>
      <c r="IFI22" s="142"/>
      <c r="IFJ22" s="142"/>
      <c r="IFK22" s="142"/>
      <c r="IFL22" s="142"/>
      <c r="IFM22" s="142"/>
      <c r="IFN22" s="142"/>
      <c r="IFO22" s="142"/>
      <c r="IFP22" s="142"/>
      <c r="IFQ22" s="142"/>
      <c r="IFR22" s="142"/>
      <c r="IFS22" s="142"/>
      <c r="IFT22" s="142"/>
      <c r="IFU22" s="142"/>
      <c r="IFV22" s="142"/>
      <c r="IFW22" s="142"/>
      <c r="IFX22" s="142"/>
      <c r="IFY22" s="142"/>
      <c r="IFZ22" s="142"/>
      <c r="IGA22" s="142"/>
      <c r="IGB22" s="142"/>
      <c r="IGC22" s="142"/>
      <c r="IGD22" s="142"/>
      <c r="IGE22" s="142"/>
      <c r="IGF22" s="142"/>
      <c r="IGG22" s="142"/>
      <c r="IGH22" s="142"/>
      <c r="IGI22" s="142"/>
      <c r="IGJ22" s="142"/>
      <c r="IGK22" s="142"/>
      <c r="IGL22" s="142"/>
      <c r="IGM22" s="142"/>
      <c r="IGN22" s="142"/>
      <c r="IGO22" s="142"/>
      <c r="IGP22" s="142"/>
      <c r="IGQ22" s="142"/>
      <c r="IGR22" s="142"/>
      <c r="IGS22" s="142"/>
      <c r="IGT22" s="142"/>
      <c r="IGU22" s="142"/>
      <c r="IGV22" s="142"/>
      <c r="IGW22" s="142"/>
      <c r="IGX22" s="142"/>
      <c r="IGY22" s="142"/>
      <c r="IGZ22" s="142"/>
      <c r="IHA22" s="142"/>
      <c r="IHB22" s="142"/>
      <c r="IHC22" s="142"/>
      <c r="IHD22" s="142"/>
      <c r="IHE22" s="142"/>
      <c r="IHF22" s="142"/>
      <c r="IHG22" s="142"/>
      <c r="IHH22" s="142"/>
      <c r="IHI22" s="142"/>
      <c r="IHJ22" s="142"/>
      <c r="IHK22" s="142"/>
      <c r="IHL22" s="142"/>
      <c r="IHM22" s="142"/>
      <c r="IHN22" s="142"/>
      <c r="IHO22" s="142"/>
      <c r="IHP22" s="142"/>
      <c r="IHQ22" s="142"/>
      <c r="IHR22" s="142"/>
      <c r="IHS22" s="142"/>
      <c r="IHT22" s="142"/>
      <c r="IHU22" s="142"/>
      <c r="IHV22" s="142"/>
      <c r="IHW22" s="142"/>
      <c r="IHX22" s="142"/>
      <c r="IHY22" s="142"/>
      <c r="IHZ22" s="142"/>
      <c r="IIA22" s="142"/>
      <c r="IIB22" s="142"/>
      <c r="IIC22" s="142"/>
      <c r="IID22" s="142"/>
      <c r="IIE22" s="142"/>
      <c r="IIF22" s="142"/>
      <c r="IIG22" s="142"/>
      <c r="IIH22" s="142"/>
      <c r="III22" s="142"/>
      <c r="IIJ22" s="142"/>
      <c r="IIK22" s="142"/>
      <c r="IIL22" s="142"/>
      <c r="IIM22" s="142"/>
      <c r="IIN22" s="142"/>
      <c r="IIO22" s="142"/>
      <c r="IIP22" s="142"/>
      <c r="IIQ22" s="142"/>
      <c r="IIR22" s="142"/>
      <c r="IIS22" s="142"/>
      <c r="IIT22" s="142"/>
      <c r="IIU22" s="142"/>
      <c r="IIV22" s="142"/>
      <c r="IIW22" s="142"/>
      <c r="IIX22" s="142"/>
      <c r="IIY22" s="142"/>
      <c r="IIZ22" s="142"/>
      <c r="IJA22" s="142"/>
      <c r="IJB22" s="142"/>
      <c r="IJC22" s="142"/>
      <c r="IJD22" s="142"/>
      <c r="IJE22" s="142"/>
      <c r="IJF22" s="142"/>
      <c r="IJG22" s="142"/>
      <c r="IJH22" s="142"/>
      <c r="IJI22" s="142"/>
      <c r="IJJ22" s="142"/>
      <c r="IJK22" s="142"/>
      <c r="IJL22" s="142"/>
      <c r="IJM22" s="142"/>
      <c r="IJN22" s="142"/>
      <c r="IJO22" s="142"/>
      <c r="IJP22" s="142"/>
      <c r="IJQ22" s="142"/>
      <c r="IJR22" s="142"/>
      <c r="IJS22" s="142"/>
      <c r="IJT22" s="142"/>
      <c r="IJU22" s="142"/>
      <c r="IJV22" s="142"/>
      <c r="IJW22" s="142"/>
      <c r="IJX22" s="142"/>
      <c r="IJY22" s="142"/>
      <c r="IJZ22" s="142"/>
      <c r="IKA22" s="142"/>
      <c r="IKB22" s="142"/>
      <c r="IKC22" s="142"/>
      <c r="IKD22" s="142"/>
      <c r="IKE22" s="142"/>
      <c r="IKF22" s="142"/>
      <c r="IKG22" s="142"/>
      <c r="IKH22" s="142"/>
      <c r="IKI22" s="142"/>
      <c r="IKJ22" s="142"/>
      <c r="IKK22" s="142"/>
      <c r="IKL22" s="142"/>
      <c r="IKM22" s="142"/>
      <c r="IKN22" s="142"/>
      <c r="IKO22" s="142"/>
      <c r="IKP22" s="142"/>
      <c r="IKQ22" s="142"/>
      <c r="IKR22" s="142"/>
      <c r="IKS22" s="142"/>
      <c r="IKT22" s="142"/>
      <c r="IKU22" s="142"/>
      <c r="IKV22" s="142"/>
      <c r="IKW22" s="142"/>
      <c r="IKX22" s="142"/>
      <c r="IKY22" s="142"/>
      <c r="IKZ22" s="142"/>
      <c r="ILA22" s="142"/>
      <c r="ILB22" s="142"/>
      <c r="ILC22" s="142"/>
      <c r="ILD22" s="142"/>
      <c r="ILE22" s="142"/>
      <c r="ILF22" s="142"/>
      <c r="ILG22" s="142"/>
      <c r="ILH22" s="142"/>
      <c r="ILI22" s="142"/>
      <c r="ILJ22" s="142"/>
      <c r="ILK22" s="142"/>
      <c r="ILL22" s="142"/>
      <c r="ILM22" s="142"/>
      <c r="ILN22" s="142"/>
      <c r="ILO22" s="142"/>
      <c r="ILP22" s="142"/>
      <c r="ILQ22" s="142"/>
      <c r="ILR22" s="142"/>
      <c r="ILS22" s="142"/>
      <c r="ILT22" s="142"/>
      <c r="ILU22" s="142"/>
      <c r="ILV22" s="142"/>
      <c r="ILW22" s="142"/>
      <c r="ILX22" s="142"/>
      <c r="ILY22" s="142"/>
      <c r="ILZ22" s="142"/>
      <c r="IMA22" s="142"/>
      <c r="IMB22" s="142"/>
      <c r="IMC22" s="142"/>
      <c r="IMD22" s="142"/>
      <c r="IME22" s="142"/>
      <c r="IMF22" s="142"/>
      <c r="IMG22" s="142"/>
      <c r="IMH22" s="142"/>
      <c r="IMI22" s="142"/>
      <c r="IMJ22" s="142"/>
      <c r="IMK22" s="142"/>
      <c r="IML22" s="142"/>
      <c r="IMM22" s="142"/>
      <c r="IMN22" s="142"/>
      <c r="IMO22" s="142"/>
      <c r="IMP22" s="142"/>
      <c r="IMQ22" s="142"/>
      <c r="IMR22" s="142"/>
      <c r="IMS22" s="142"/>
      <c r="IMT22" s="142"/>
      <c r="IMU22" s="142"/>
      <c r="IMV22" s="142"/>
      <c r="IMW22" s="142"/>
      <c r="IMX22" s="142"/>
      <c r="IMY22" s="142"/>
      <c r="IMZ22" s="142"/>
      <c r="INA22" s="142"/>
      <c r="INB22" s="142"/>
      <c r="INC22" s="142"/>
      <c r="IND22" s="142"/>
      <c r="INE22" s="142"/>
      <c r="INF22" s="142"/>
      <c r="ING22" s="142"/>
      <c r="INH22" s="142"/>
      <c r="INI22" s="142"/>
      <c r="INJ22" s="142"/>
      <c r="INK22" s="142"/>
      <c r="INL22" s="142"/>
      <c r="INM22" s="142"/>
      <c r="INN22" s="142"/>
      <c r="INO22" s="142"/>
      <c r="INP22" s="142"/>
      <c r="INQ22" s="142"/>
      <c r="INR22" s="142"/>
      <c r="INS22" s="142"/>
      <c r="INT22" s="142"/>
      <c r="INU22" s="142"/>
      <c r="INV22" s="142"/>
      <c r="INW22" s="142"/>
      <c r="INX22" s="142"/>
      <c r="INY22" s="142"/>
      <c r="INZ22" s="142"/>
      <c r="IOA22" s="142"/>
      <c r="IOB22" s="142"/>
      <c r="IOC22" s="142"/>
      <c r="IOD22" s="142"/>
      <c r="IOE22" s="142"/>
      <c r="IOF22" s="142"/>
      <c r="IOG22" s="142"/>
      <c r="IOH22" s="142"/>
      <c r="IOI22" s="142"/>
      <c r="IOJ22" s="142"/>
      <c r="IOK22" s="142"/>
      <c r="IOL22" s="142"/>
      <c r="IOM22" s="142"/>
      <c r="ION22" s="142"/>
      <c r="IOO22" s="142"/>
      <c r="IOP22" s="142"/>
      <c r="IOQ22" s="142"/>
      <c r="IOR22" s="142"/>
      <c r="IOS22" s="142"/>
      <c r="IOT22" s="142"/>
      <c r="IOU22" s="142"/>
      <c r="IOV22" s="142"/>
      <c r="IOW22" s="142"/>
      <c r="IOX22" s="142"/>
      <c r="IOY22" s="142"/>
      <c r="IOZ22" s="142"/>
      <c r="IPA22" s="142"/>
      <c r="IPB22" s="142"/>
      <c r="IPC22" s="142"/>
      <c r="IPD22" s="142"/>
      <c r="IPE22" s="142"/>
      <c r="IPF22" s="142"/>
      <c r="IPG22" s="142"/>
      <c r="IPH22" s="142"/>
      <c r="IPI22" s="142"/>
      <c r="IPJ22" s="142"/>
      <c r="IPK22" s="142"/>
      <c r="IPL22" s="142"/>
      <c r="IPM22" s="142"/>
      <c r="IPN22" s="142"/>
      <c r="IPO22" s="142"/>
      <c r="IPP22" s="142"/>
      <c r="IPQ22" s="142"/>
      <c r="IPR22" s="142"/>
      <c r="IPS22" s="142"/>
      <c r="IPT22" s="142"/>
      <c r="IPU22" s="142"/>
      <c r="IPV22" s="142"/>
      <c r="IPW22" s="142"/>
      <c r="IPX22" s="142"/>
      <c r="IPY22" s="142"/>
      <c r="IPZ22" s="142"/>
      <c r="IQA22" s="142"/>
      <c r="IQB22" s="142"/>
      <c r="IQC22" s="142"/>
      <c r="IQD22" s="142"/>
      <c r="IQE22" s="142"/>
      <c r="IQF22" s="142"/>
      <c r="IQG22" s="142"/>
      <c r="IQH22" s="142"/>
      <c r="IQI22" s="142"/>
      <c r="IQJ22" s="142"/>
      <c r="IQK22" s="142"/>
      <c r="IQL22" s="142"/>
      <c r="IQM22" s="142"/>
      <c r="IQN22" s="142"/>
      <c r="IQO22" s="142"/>
      <c r="IQP22" s="142"/>
      <c r="IQQ22" s="142"/>
      <c r="IQR22" s="142"/>
      <c r="IQS22" s="142"/>
      <c r="IQT22" s="142"/>
      <c r="IQU22" s="142"/>
      <c r="IQV22" s="142"/>
      <c r="IQW22" s="142"/>
      <c r="IQX22" s="142"/>
      <c r="IQY22" s="142"/>
      <c r="IQZ22" s="142"/>
      <c r="IRA22" s="142"/>
      <c r="IRB22" s="142"/>
      <c r="IRC22" s="142"/>
      <c r="IRD22" s="142"/>
      <c r="IRE22" s="142"/>
      <c r="IRF22" s="142"/>
      <c r="IRG22" s="142"/>
      <c r="IRH22" s="142"/>
      <c r="IRI22" s="142"/>
      <c r="IRJ22" s="142"/>
      <c r="IRK22" s="142"/>
      <c r="IRL22" s="142"/>
      <c r="IRM22" s="142"/>
      <c r="IRN22" s="142"/>
      <c r="IRO22" s="142"/>
      <c r="IRP22" s="142"/>
      <c r="IRQ22" s="142"/>
      <c r="IRR22" s="142"/>
      <c r="IRS22" s="142"/>
      <c r="IRT22" s="142"/>
      <c r="IRU22" s="142"/>
      <c r="IRV22" s="142"/>
      <c r="IRW22" s="142"/>
      <c r="IRX22" s="142"/>
      <c r="IRY22" s="142"/>
      <c r="IRZ22" s="142"/>
      <c r="ISA22" s="142"/>
      <c r="ISB22" s="142"/>
      <c r="ISC22" s="142"/>
      <c r="ISD22" s="142"/>
      <c r="ISE22" s="142"/>
      <c r="ISF22" s="142"/>
      <c r="ISG22" s="142"/>
      <c r="ISH22" s="142"/>
      <c r="ISI22" s="142"/>
      <c r="ISJ22" s="142"/>
      <c r="ISK22" s="142"/>
      <c r="ISL22" s="142"/>
      <c r="ISM22" s="142"/>
      <c r="ISN22" s="142"/>
      <c r="ISO22" s="142"/>
      <c r="ISP22" s="142"/>
      <c r="ISQ22" s="142"/>
      <c r="ISR22" s="142"/>
      <c r="ISS22" s="142"/>
      <c r="IST22" s="142"/>
      <c r="ISU22" s="142"/>
      <c r="ISV22" s="142"/>
      <c r="ISW22" s="142"/>
      <c r="ISX22" s="142"/>
      <c r="ISY22" s="142"/>
      <c r="ISZ22" s="142"/>
      <c r="ITA22" s="142"/>
      <c r="ITB22" s="142"/>
      <c r="ITC22" s="142"/>
      <c r="ITD22" s="142"/>
      <c r="ITE22" s="142"/>
      <c r="ITF22" s="142"/>
      <c r="ITG22" s="142"/>
      <c r="ITH22" s="142"/>
      <c r="ITI22" s="142"/>
      <c r="ITJ22" s="142"/>
      <c r="ITK22" s="142"/>
      <c r="ITL22" s="142"/>
      <c r="ITM22" s="142"/>
      <c r="ITN22" s="142"/>
      <c r="ITO22" s="142"/>
      <c r="ITP22" s="142"/>
      <c r="ITQ22" s="142"/>
      <c r="ITR22" s="142"/>
      <c r="ITS22" s="142"/>
      <c r="ITT22" s="142"/>
      <c r="ITU22" s="142"/>
      <c r="ITV22" s="142"/>
      <c r="ITW22" s="142"/>
      <c r="ITX22" s="142"/>
      <c r="ITY22" s="142"/>
      <c r="ITZ22" s="142"/>
      <c r="IUA22" s="142"/>
      <c r="IUB22" s="142"/>
      <c r="IUC22" s="142"/>
      <c r="IUD22" s="142"/>
      <c r="IUE22" s="142"/>
      <c r="IUF22" s="142"/>
      <c r="IUG22" s="142"/>
      <c r="IUH22" s="142"/>
      <c r="IUI22" s="142"/>
      <c r="IUJ22" s="142"/>
      <c r="IUK22" s="142"/>
      <c r="IUL22" s="142"/>
      <c r="IUM22" s="142"/>
      <c r="IUN22" s="142"/>
      <c r="IUO22" s="142"/>
      <c r="IUP22" s="142"/>
      <c r="IUQ22" s="142"/>
      <c r="IUR22" s="142"/>
      <c r="IUS22" s="142"/>
      <c r="IUT22" s="142"/>
      <c r="IUU22" s="142"/>
      <c r="IUV22" s="142"/>
      <c r="IUW22" s="142"/>
      <c r="IUX22" s="142"/>
      <c r="IUY22" s="142"/>
      <c r="IUZ22" s="142"/>
      <c r="IVA22" s="142"/>
      <c r="IVB22" s="142"/>
      <c r="IVC22" s="142"/>
      <c r="IVD22" s="142"/>
      <c r="IVE22" s="142"/>
      <c r="IVF22" s="142"/>
      <c r="IVG22" s="142"/>
      <c r="IVH22" s="142"/>
      <c r="IVI22" s="142"/>
      <c r="IVJ22" s="142"/>
      <c r="IVK22" s="142"/>
      <c r="IVL22" s="142"/>
      <c r="IVM22" s="142"/>
      <c r="IVN22" s="142"/>
      <c r="IVO22" s="142"/>
      <c r="IVP22" s="142"/>
      <c r="IVQ22" s="142"/>
      <c r="IVR22" s="142"/>
      <c r="IVS22" s="142"/>
      <c r="IVT22" s="142"/>
      <c r="IVU22" s="142"/>
      <c r="IVV22" s="142"/>
      <c r="IVW22" s="142"/>
      <c r="IVX22" s="142"/>
      <c r="IVY22" s="142"/>
      <c r="IVZ22" s="142"/>
      <c r="IWA22" s="142"/>
      <c r="IWB22" s="142"/>
      <c r="IWC22" s="142"/>
      <c r="IWD22" s="142"/>
      <c r="IWE22" s="142"/>
      <c r="IWF22" s="142"/>
      <c r="IWG22" s="142"/>
      <c r="IWH22" s="142"/>
      <c r="IWI22" s="142"/>
      <c r="IWJ22" s="142"/>
      <c r="IWK22" s="142"/>
      <c r="IWL22" s="142"/>
      <c r="IWM22" s="142"/>
      <c r="IWN22" s="142"/>
      <c r="IWO22" s="142"/>
      <c r="IWP22" s="142"/>
      <c r="IWQ22" s="142"/>
      <c r="IWR22" s="142"/>
      <c r="IWS22" s="142"/>
      <c r="IWT22" s="142"/>
      <c r="IWU22" s="142"/>
      <c r="IWV22" s="142"/>
      <c r="IWW22" s="142"/>
      <c r="IWX22" s="142"/>
      <c r="IWY22" s="142"/>
      <c r="IWZ22" s="142"/>
      <c r="IXA22" s="142"/>
      <c r="IXB22" s="142"/>
      <c r="IXC22" s="142"/>
      <c r="IXD22" s="142"/>
      <c r="IXE22" s="142"/>
      <c r="IXF22" s="142"/>
      <c r="IXG22" s="142"/>
      <c r="IXH22" s="142"/>
      <c r="IXI22" s="142"/>
      <c r="IXJ22" s="142"/>
      <c r="IXK22" s="142"/>
      <c r="IXL22" s="142"/>
      <c r="IXM22" s="142"/>
      <c r="IXN22" s="142"/>
      <c r="IXO22" s="142"/>
      <c r="IXP22" s="142"/>
      <c r="IXQ22" s="142"/>
      <c r="IXR22" s="142"/>
      <c r="IXS22" s="142"/>
      <c r="IXT22" s="142"/>
      <c r="IXU22" s="142"/>
      <c r="IXV22" s="142"/>
      <c r="IXW22" s="142"/>
      <c r="IXX22" s="142"/>
      <c r="IXY22" s="142"/>
      <c r="IXZ22" s="142"/>
      <c r="IYA22" s="142"/>
      <c r="IYB22" s="142"/>
      <c r="IYC22" s="142"/>
      <c r="IYD22" s="142"/>
      <c r="IYE22" s="142"/>
      <c r="IYF22" s="142"/>
      <c r="IYG22" s="142"/>
      <c r="IYH22" s="142"/>
      <c r="IYI22" s="142"/>
      <c r="IYJ22" s="142"/>
      <c r="IYK22" s="142"/>
      <c r="IYL22" s="142"/>
      <c r="IYM22" s="142"/>
      <c r="IYN22" s="142"/>
      <c r="IYO22" s="142"/>
      <c r="IYP22" s="142"/>
      <c r="IYQ22" s="142"/>
      <c r="IYR22" s="142"/>
      <c r="IYS22" s="142"/>
      <c r="IYT22" s="142"/>
      <c r="IYU22" s="142"/>
      <c r="IYV22" s="142"/>
      <c r="IYW22" s="142"/>
      <c r="IYX22" s="142"/>
      <c r="IYY22" s="142"/>
      <c r="IYZ22" s="142"/>
      <c r="IZA22" s="142"/>
      <c r="IZB22" s="142"/>
      <c r="IZC22" s="142"/>
      <c r="IZD22" s="142"/>
      <c r="IZE22" s="142"/>
      <c r="IZF22" s="142"/>
      <c r="IZG22" s="142"/>
      <c r="IZH22" s="142"/>
      <c r="IZI22" s="142"/>
      <c r="IZJ22" s="142"/>
      <c r="IZK22" s="142"/>
      <c r="IZL22" s="142"/>
      <c r="IZM22" s="142"/>
      <c r="IZN22" s="142"/>
      <c r="IZO22" s="142"/>
      <c r="IZP22" s="142"/>
      <c r="IZQ22" s="142"/>
      <c r="IZR22" s="142"/>
      <c r="IZS22" s="142"/>
      <c r="IZT22" s="142"/>
      <c r="IZU22" s="142"/>
      <c r="IZV22" s="142"/>
      <c r="IZW22" s="142"/>
      <c r="IZX22" s="142"/>
      <c r="IZY22" s="142"/>
      <c r="IZZ22" s="142"/>
      <c r="JAA22" s="142"/>
      <c r="JAB22" s="142"/>
      <c r="JAC22" s="142"/>
      <c r="JAD22" s="142"/>
      <c r="JAE22" s="142"/>
      <c r="JAF22" s="142"/>
      <c r="JAG22" s="142"/>
      <c r="JAH22" s="142"/>
      <c r="JAI22" s="142"/>
      <c r="JAJ22" s="142"/>
      <c r="JAK22" s="142"/>
      <c r="JAL22" s="142"/>
      <c r="JAM22" s="142"/>
      <c r="JAN22" s="142"/>
      <c r="JAO22" s="142"/>
      <c r="JAP22" s="142"/>
      <c r="JAQ22" s="142"/>
      <c r="JAR22" s="142"/>
      <c r="JAS22" s="142"/>
      <c r="JAT22" s="142"/>
      <c r="JAU22" s="142"/>
      <c r="JAV22" s="142"/>
      <c r="JAW22" s="142"/>
      <c r="JAX22" s="142"/>
      <c r="JAY22" s="142"/>
      <c r="JAZ22" s="142"/>
      <c r="JBA22" s="142"/>
      <c r="JBB22" s="142"/>
      <c r="JBC22" s="142"/>
      <c r="JBD22" s="142"/>
      <c r="JBE22" s="142"/>
      <c r="JBF22" s="142"/>
      <c r="JBG22" s="142"/>
      <c r="JBH22" s="142"/>
      <c r="JBI22" s="142"/>
      <c r="JBJ22" s="142"/>
      <c r="JBK22" s="142"/>
      <c r="JBL22" s="142"/>
      <c r="JBM22" s="142"/>
      <c r="JBN22" s="142"/>
      <c r="JBO22" s="142"/>
      <c r="JBP22" s="142"/>
      <c r="JBQ22" s="142"/>
      <c r="JBR22" s="142"/>
      <c r="JBS22" s="142"/>
      <c r="JBT22" s="142"/>
      <c r="JBU22" s="142"/>
      <c r="JBV22" s="142"/>
      <c r="JBW22" s="142"/>
      <c r="JBX22" s="142"/>
      <c r="JBY22" s="142"/>
      <c r="JBZ22" s="142"/>
      <c r="JCA22" s="142"/>
      <c r="JCB22" s="142"/>
      <c r="JCC22" s="142"/>
      <c r="JCD22" s="142"/>
      <c r="JCE22" s="142"/>
      <c r="JCF22" s="142"/>
      <c r="JCG22" s="142"/>
      <c r="JCH22" s="142"/>
      <c r="JCI22" s="142"/>
      <c r="JCJ22" s="142"/>
      <c r="JCK22" s="142"/>
      <c r="JCL22" s="142"/>
      <c r="JCM22" s="142"/>
      <c r="JCN22" s="142"/>
      <c r="JCO22" s="142"/>
      <c r="JCP22" s="142"/>
      <c r="JCQ22" s="142"/>
      <c r="JCR22" s="142"/>
      <c r="JCS22" s="142"/>
      <c r="JCT22" s="142"/>
      <c r="JCU22" s="142"/>
      <c r="JCV22" s="142"/>
      <c r="JCW22" s="142"/>
      <c r="JCX22" s="142"/>
      <c r="JCY22" s="142"/>
      <c r="JCZ22" s="142"/>
      <c r="JDA22" s="142"/>
      <c r="JDB22" s="142"/>
      <c r="JDC22" s="142"/>
      <c r="JDD22" s="142"/>
      <c r="JDE22" s="142"/>
      <c r="JDF22" s="142"/>
      <c r="JDG22" s="142"/>
      <c r="JDH22" s="142"/>
      <c r="JDI22" s="142"/>
      <c r="JDJ22" s="142"/>
      <c r="JDK22" s="142"/>
      <c r="JDL22" s="142"/>
      <c r="JDM22" s="142"/>
      <c r="JDN22" s="142"/>
      <c r="JDO22" s="142"/>
      <c r="JDP22" s="142"/>
      <c r="JDQ22" s="142"/>
      <c r="JDR22" s="142"/>
      <c r="JDS22" s="142"/>
      <c r="JDT22" s="142"/>
      <c r="JDU22" s="142"/>
      <c r="JDV22" s="142"/>
      <c r="JDW22" s="142"/>
      <c r="JDX22" s="142"/>
      <c r="JDY22" s="142"/>
      <c r="JDZ22" s="142"/>
      <c r="JEA22" s="142"/>
      <c r="JEB22" s="142"/>
      <c r="JEC22" s="142"/>
      <c r="JED22" s="142"/>
      <c r="JEE22" s="142"/>
      <c r="JEF22" s="142"/>
      <c r="JEG22" s="142"/>
      <c r="JEH22" s="142"/>
      <c r="JEI22" s="142"/>
      <c r="JEJ22" s="142"/>
      <c r="JEK22" s="142"/>
      <c r="JEL22" s="142"/>
      <c r="JEM22" s="142"/>
      <c r="JEN22" s="142"/>
      <c r="JEO22" s="142"/>
      <c r="JEP22" s="142"/>
      <c r="JEQ22" s="142"/>
      <c r="JER22" s="142"/>
      <c r="JES22" s="142"/>
      <c r="JET22" s="142"/>
      <c r="JEU22" s="142"/>
      <c r="JEV22" s="142"/>
      <c r="JEW22" s="142"/>
      <c r="JEX22" s="142"/>
      <c r="JEY22" s="142"/>
      <c r="JEZ22" s="142"/>
      <c r="JFA22" s="142"/>
      <c r="JFB22" s="142"/>
      <c r="JFC22" s="142"/>
      <c r="JFD22" s="142"/>
      <c r="JFE22" s="142"/>
      <c r="JFF22" s="142"/>
      <c r="JFG22" s="142"/>
      <c r="JFH22" s="142"/>
      <c r="JFI22" s="142"/>
      <c r="JFJ22" s="142"/>
      <c r="JFK22" s="142"/>
      <c r="JFL22" s="142"/>
      <c r="JFM22" s="142"/>
      <c r="JFN22" s="142"/>
      <c r="JFO22" s="142"/>
      <c r="JFP22" s="142"/>
      <c r="JFQ22" s="142"/>
      <c r="JFR22" s="142"/>
      <c r="JFS22" s="142"/>
      <c r="JFT22" s="142"/>
      <c r="JFU22" s="142"/>
      <c r="JFV22" s="142"/>
      <c r="JFW22" s="142"/>
      <c r="JFX22" s="142"/>
      <c r="JFY22" s="142"/>
      <c r="JFZ22" s="142"/>
      <c r="JGA22" s="142"/>
      <c r="JGB22" s="142"/>
      <c r="JGC22" s="142"/>
      <c r="JGD22" s="142"/>
      <c r="JGE22" s="142"/>
      <c r="JGF22" s="142"/>
      <c r="JGG22" s="142"/>
      <c r="JGH22" s="142"/>
      <c r="JGI22" s="142"/>
      <c r="JGJ22" s="142"/>
      <c r="JGK22" s="142"/>
      <c r="JGL22" s="142"/>
      <c r="JGM22" s="142"/>
      <c r="JGN22" s="142"/>
      <c r="JGO22" s="142"/>
      <c r="JGP22" s="142"/>
      <c r="JGQ22" s="142"/>
      <c r="JGR22" s="142"/>
      <c r="JGS22" s="142"/>
      <c r="JGT22" s="142"/>
      <c r="JGU22" s="142"/>
      <c r="JGV22" s="142"/>
      <c r="JGW22" s="142"/>
      <c r="JGX22" s="142"/>
      <c r="JGY22" s="142"/>
      <c r="JGZ22" s="142"/>
      <c r="JHA22" s="142"/>
      <c r="JHB22" s="142"/>
      <c r="JHC22" s="142"/>
      <c r="JHD22" s="142"/>
      <c r="JHE22" s="142"/>
      <c r="JHF22" s="142"/>
      <c r="JHG22" s="142"/>
      <c r="JHH22" s="142"/>
      <c r="JHI22" s="142"/>
      <c r="JHJ22" s="142"/>
      <c r="JHK22" s="142"/>
      <c r="JHL22" s="142"/>
      <c r="JHM22" s="142"/>
      <c r="JHN22" s="142"/>
      <c r="JHO22" s="142"/>
      <c r="JHP22" s="142"/>
      <c r="JHQ22" s="142"/>
      <c r="JHR22" s="142"/>
      <c r="JHS22" s="142"/>
      <c r="JHT22" s="142"/>
      <c r="JHU22" s="142"/>
      <c r="JHV22" s="142"/>
      <c r="JHW22" s="142"/>
      <c r="JHX22" s="142"/>
      <c r="JHY22" s="142"/>
      <c r="JHZ22" s="142"/>
      <c r="JIA22" s="142"/>
      <c r="JIB22" s="142"/>
      <c r="JIC22" s="142"/>
      <c r="JID22" s="142"/>
      <c r="JIE22" s="142"/>
      <c r="JIF22" s="142"/>
      <c r="JIG22" s="142"/>
      <c r="JIH22" s="142"/>
      <c r="JII22" s="142"/>
      <c r="JIJ22" s="142"/>
      <c r="JIK22" s="142"/>
      <c r="JIL22" s="142"/>
      <c r="JIM22" s="142"/>
      <c r="JIN22" s="142"/>
      <c r="JIO22" s="142"/>
      <c r="JIP22" s="142"/>
      <c r="JIQ22" s="142"/>
      <c r="JIR22" s="142"/>
      <c r="JIS22" s="142"/>
      <c r="JIT22" s="142"/>
      <c r="JIU22" s="142"/>
      <c r="JIV22" s="142"/>
      <c r="JIW22" s="142"/>
      <c r="JIX22" s="142"/>
      <c r="JIY22" s="142"/>
      <c r="JIZ22" s="142"/>
      <c r="JJA22" s="142"/>
      <c r="JJB22" s="142"/>
      <c r="JJC22" s="142"/>
      <c r="JJD22" s="142"/>
      <c r="JJE22" s="142"/>
      <c r="JJF22" s="142"/>
      <c r="JJG22" s="142"/>
      <c r="JJH22" s="142"/>
      <c r="JJI22" s="142"/>
      <c r="JJJ22" s="142"/>
      <c r="JJK22" s="142"/>
      <c r="JJL22" s="142"/>
      <c r="JJM22" s="142"/>
      <c r="JJN22" s="142"/>
      <c r="JJO22" s="142"/>
      <c r="JJP22" s="142"/>
      <c r="JJQ22" s="142"/>
      <c r="JJR22" s="142"/>
      <c r="JJS22" s="142"/>
      <c r="JJT22" s="142"/>
      <c r="JJU22" s="142"/>
      <c r="JJV22" s="142"/>
      <c r="JJW22" s="142"/>
      <c r="JJX22" s="142"/>
      <c r="JJY22" s="142"/>
      <c r="JJZ22" s="142"/>
      <c r="JKA22" s="142"/>
      <c r="JKB22" s="142"/>
      <c r="JKC22" s="142"/>
      <c r="JKD22" s="142"/>
      <c r="JKE22" s="142"/>
      <c r="JKF22" s="142"/>
      <c r="JKG22" s="142"/>
      <c r="JKH22" s="142"/>
      <c r="JKI22" s="142"/>
      <c r="JKJ22" s="142"/>
      <c r="JKK22" s="142"/>
      <c r="JKL22" s="142"/>
      <c r="JKM22" s="142"/>
      <c r="JKN22" s="142"/>
      <c r="JKO22" s="142"/>
      <c r="JKP22" s="142"/>
      <c r="JKQ22" s="142"/>
      <c r="JKR22" s="142"/>
      <c r="JKS22" s="142"/>
      <c r="JKT22" s="142"/>
      <c r="JKU22" s="142"/>
      <c r="JKV22" s="142"/>
      <c r="JKW22" s="142"/>
      <c r="JKX22" s="142"/>
      <c r="JKY22" s="142"/>
      <c r="JKZ22" s="142"/>
      <c r="JLA22" s="142"/>
      <c r="JLB22" s="142"/>
      <c r="JLC22" s="142"/>
      <c r="JLD22" s="142"/>
      <c r="JLE22" s="142"/>
      <c r="JLF22" s="142"/>
      <c r="JLG22" s="142"/>
      <c r="JLH22" s="142"/>
      <c r="JLI22" s="142"/>
      <c r="JLJ22" s="142"/>
      <c r="JLK22" s="142"/>
      <c r="JLL22" s="142"/>
      <c r="JLM22" s="142"/>
      <c r="JLN22" s="142"/>
      <c r="JLO22" s="142"/>
      <c r="JLP22" s="142"/>
      <c r="JLQ22" s="142"/>
      <c r="JLR22" s="142"/>
      <c r="JLS22" s="142"/>
      <c r="JLT22" s="142"/>
      <c r="JLU22" s="142"/>
      <c r="JLV22" s="142"/>
      <c r="JLW22" s="142"/>
      <c r="JLX22" s="142"/>
      <c r="JLY22" s="142"/>
      <c r="JLZ22" s="142"/>
      <c r="JMA22" s="142"/>
      <c r="JMB22" s="142"/>
      <c r="JMC22" s="142"/>
      <c r="JMD22" s="142"/>
      <c r="JME22" s="142"/>
      <c r="JMF22" s="142"/>
      <c r="JMG22" s="142"/>
      <c r="JMH22" s="142"/>
      <c r="JMI22" s="142"/>
      <c r="JMJ22" s="142"/>
      <c r="JMK22" s="142"/>
      <c r="JML22" s="142"/>
      <c r="JMM22" s="142"/>
      <c r="JMN22" s="142"/>
      <c r="JMO22" s="142"/>
      <c r="JMP22" s="142"/>
      <c r="JMQ22" s="142"/>
      <c r="JMR22" s="142"/>
      <c r="JMS22" s="142"/>
      <c r="JMT22" s="142"/>
      <c r="JMU22" s="142"/>
      <c r="JMV22" s="142"/>
      <c r="JMW22" s="142"/>
      <c r="JMX22" s="142"/>
      <c r="JMY22" s="142"/>
      <c r="JMZ22" s="142"/>
      <c r="JNA22" s="142"/>
      <c r="JNB22" s="142"/>
      <c r="JNC22" s="142"/>
      <c r="JND22" s="142"/>
      <c r="JNE22" s="142"/>
      <c r="JNF22" s="142"/>
      <c r="JNG22" s="142"/>
      <c r="JNH22" s="142"/>
      <c r="JNI22" s="142"/>
      <c r="JNJ22" s="142"/>
      <c r="JNK22" s="142"/>
      <c r="JNL22" s="142"/>
      <c r="JNM22" s="142"/>
      <c r="JNN22" s="142"/>
      <c r="JNO22" s="142"/>
      <c r="JNP22" s="142"/>
      <c r="JNQ22" s="142"/>
      <c r="JNR22" s="142"/>
      <c r="JNS22" s="142"/>
      <c r="JNT22" s="142"/>
      <c r="JNU22" s="142"/>
      <c r="JNV22" s="142"/>
      <c r="JNW22" s="142"/>
      <c r="JNX22" s="142"/>
      <c r="JNY22" s="142"/>
      <c r="JNZ22" s="142"/>
      <c r="JOA22" s="142"/>
      <c r="JOB22" s="142"/>
      <c r="JOC22" s="142"/>
      <c r="JOD22" s="142"/>
      <c r="JOE22" s="142"/>
      <c r="JOF22" s="142"/>
      <c r="JOG22" s="142"/>
      <c r="JOH22" s="142"/>
      <c r="JOI22" s="142"/>
      <c r="JOJ22" s="142"/>
      <c r="JOK22" s="142"/>
      <c r="JOL22" s="142"/>
      <c r="JOM22" s="142"/>
      <c r="JON22" s="142"/>
      <c r="JOO22" s="142"/>
      <c r="JOP22" s="142"/>
      <c r="JOQ22" s="142"/>
      <c r="JOR22" s="142"/>
      <c r="JOS22" s="142"/>
      <c r="JOT22" s="142"/>
      <c r="JOU22" s="142"/>
      <c r="JOV22" s="142"/>
      <c r="JOW22" s="142"/>
      <c r="JOX22" s="142"/>
      <c r="JOY22" s="142"/>
      <c r="JOZ22" s="142"/>
      <c r="JPA22" s="142"/>
      <c r="JPB22" s="142"/>
      <c r="JPC22" s="142"/>
      <c r="JPD22" s="142"/>
      <c r="JPE22" s="142"/>
      <c r="JPF22" s="142"/>
      <c r="JPG22" s="142"/>
      <c r="JPH22" s="142"/>
      <c r="JPI22" s="142"/>
      <c r="JPJ22" s="142"/>
      <c r="JPK22" s="142"/>
      <c r="JPL22" s="142"/>
      <c r="JPM22" s="142"/>
      <c r="JPN22" s="142"/>
      <c r="JPO22" s="142"/>
      <c r="JPP22" s="142"/>
      <c r="JPQ22" s="142"/>
      <c r="JPR22" s="142"/>
      <c r="JPS22" s="142"/>
      <c r="JPT22" s="142"/>
      <c r="JPU22" s="142"/>
      <c r="JPV22" s="142"/>
      <c r="JPW22" s="142"/>
      <c r="JPX22" s="142"/>
      <c r="JPY22" s="142"/>
      <c r="JPZ22" s="142"/>
      <c r="JQA22" s="142"/>
      <c r="JQB22" s="142"/>
      <c r="JQC22" s="142"/>
      <c r="JQD22" s="142"/>
      <c r="JQE22" s="142"/>
      <c r="JQF22" s="142"/>
      <c r="JQG22" s="142"/>
      <c r="JQH22" s="142"/>
      <c r="JQI22" s="142"/>
      <c r="JQJ22" s="142"/>
      <c r="JQK22" s="142"/>
      <c r="JQL22" s="142"/>
      <c r="JQM22" s="142"/>
      <c r="JQN22" s="142"/>
      <c r="JQO22" s="142"/>
      <c r="JQP22" s="142"/>
      <c r="JQQ22" s="142"/>
      <c r="JQR22" s="142"/>
      <c r="JQS22" s="142"/>
      <c r="JQT22" s="142"/>
      <c r="JQU22" s="142"/>
      <c r="JQV22" s="142"/>
      <c r="JQW22" s="142"/>
      <c r="JQX22" s="142"/>
      <c r="JQY22" s="142"/>
      <c r="JQZ22" s="142"/>
      <c r="JRA22" s="142"/>
      <c r="JRB22" s="142"/>
      <c r="JRC22" s="142"/>
      <c r="JRD22" s="142"/>
      <c r="JRE22" s="142"/>
      <c r="JRF22" s="142"/>
      <c r="JRG22" s="142"/>
      <c r="JRH22" s="142"/>
      <c r="JRI22" s="142"/>
      <c r="JRJ22" s="142"/>
      <c r="JRK22" s="142"/>
      <c r="JRL22" s="142"/>
      <c r="JRM22" s="142"/>
      <c r="JRN22" s="142"/>
      <c r="JRO22" s="142"/>
      <c r="JRP22" s="142"/>
      <c r="JRQ22" s="142"/>
      <c r="JRR22" s="142"/>
      <c r="JRS22" s="142"/>
      <c r="JRT22" s="142"/>
      <c r="JRU22" s="142"/>
      <c r="JRV22" s="142"/>
      <c r="JRW22" s="142"/>
      <c r="JRX22" s="142"/>
      <c r="JRY22" s="142"/>
      <c r="JRZ22" s="142"/>
      <c r="JSA22" s="142"/>
      <c r="JSB22" s="142"/>
      <c r="JSC22" s="142"/>
      <c r="JSD22" s="142"/>
      <c r="JSE22" s="142"/>
      <c r="JSF22" s="142"/>
      <c r="JSG22" s="142"/>
      <c r="JSH22" s="142"/>
      <c r="JSI22" s="142"/>
      <c r="JSJ22" s="142"/>
      <c r="JSK22" s="142"/>
      <c r="JSL22" s="142"/>
      <c r="JSM22" s="142"/>
      <c r="JSN22" s="142"/>
      <c r="JSO22" s="142"/>
      <c r="JSP22" s="142"/>
      <c r="JSQ22" s="142"/>
      <c r="JSR22" s="142"/>
      <c r="JSS22" s="142"/>
      <c r="JST22" s="142"/>
      <c r="JSU22" s="142"/>
      <c r="JSV22" s="142"/>
      <c r="JSW22" s="142"/>
      <c r="JSX22" s="142"/>
      <c r="JSY22" s="142"/>
      <c r="JSZ22" s="142"/>
      <c r="JTA22" s="142"/>
      <c r="JTB22" s="142"/>
      <c r="JTC22" s="142"/>
      <c r="JTD22" s="142"/>
      <c r="JTE22" s="142"/>
      <c r="JTF22" s="142"/>
      <c r="JTG22" s="142"/>
      <c r="JTH22" s="142"/>
      <c r="JTI22" s="142"/>
      <c r="JTJ22" s="142"/>
      <c r="JTK22" s="142"/>
      <c r="JTL22" s="142"/>
      <c r="JTM22" s="142"/>
      <c r="JTN22" s="142"/>
      <c r="JTO22" s="142"/>
      <c r="JTP22" s="142"/>
      <c r="JTQ22" s="142"/>
      <c r="JTR22" s="142"/>
      <c r="JTS22" s="142"/>
      <c r="JTT22" s="142"/>
      <c r="JTU22" s="142"/>
      <c r="JTV22" s="142"/>
      <c r="JTW22" s="142"/>
      <c r="JTX22" s="142"/>
      <c r="JTY22" s="142"/>
      <c r="JTZ22" s="142"/>
      <c r="JUA22" s="142"/>
      <c r="JUB22" s="142"/>
      <c r="JUC22" s="142"/>
      <c r="JUD22" s="142"/>
      <c r="JUE22" s="142"/>
      <c r="JUF22" s="142"/>
      <c r="JUG22" s="142"/>
      <c r="JUH22" s="142"/>
      <c r="JUI22" s="142"/>
      <c r="JUJ22" s="142"/>
      <c r="JUK22" s="142"/>
      <c r="JUL22" s="142"/>
      <c r="JUM22" s="142"/>
      <c r="JUN22" s="142"/>
      <c r="JUO22" s="142"/>
      <c r="JUP22" s="142"/>
      <c r="JUQ22" s="142"/>
      <c r="JUR22" s="142"/>
      <c r="JUS22" s="142"/>
      <c r="JUT22" s="142"/>
      <c r="JUU22" s="142"/>
      <c r="JUV22" s="142"/>
      <c r="JUW22" s="142"/>
      <c r="JUX22" s="142"/>
      <c r="JUY22" s="142"/>
      <c r="JUZ22" s="142"/>
      <c r="JVA22" s="142"/>
      <c r="JVB22" s="142"/>
      <c r="JVC22" s="142"/>
      <c r="JVD22" s="142"/>
      <c r="JVE22" s="142"/>
      <c r="JVF22" s="142"/>
      <c r="JVG22" s="142"/>
      <c r="JVH22" s="142"/>
      <c r="JVI22" s="142"/>
      <c r="JVJ22" s="142"/>
      <c r="JVK22" s="142"/>
      <c r="JVL22" s="142"/>
      <c r="JVM22" s="142"/>
      <c r="JVN22" s="142"/>
      <c r="JVO22" s="142"/>
      <c r="JVP22" s="142"/>
      <c r="JVQ22" s="142"/>
      <c r="JVR22" s="142"/>
      <c r="JVS22" s="142"/>
      <c r="JVT22" s="142"/>
      <c r="JVU22" s="142"/>
      <c r="JVV22" s="142"/>
      <c r="JVW22" s="142"/>
      <c r="JVX22" s="142"/>
      <c r="JVY22" s="142"/>
      <c r="JVZ22" s="142"/>
      <c r="JWA22" s="142"/>
      <c r="JWB22" s="142"/>
      <c r="JWC22" s="142"/>
      <c r="JWD22" s="142"/>
      <c r="JWE22" s="142"/>
      <c r="JWF22" s="142"/>
      <c r="JWG22" s="142"/>
      <c r="JWH22" s="142"/>
      <c r="JWI22" s="142"/>
      <c r="JWJ22" s="142"/>
      <c r="JWK22" s="142"/>
      <c r="JWL22" s="142"/>
      <c r="JWM22" s="142"/>
      <c r="JWN22" s="142"/>
      <c r="JWO22" s="142"/>
      <c r="JWP22" s="142"/>
      <c r="JWQ22" s="142"/>
      <c r="JWR22" s="142"/>
      <c r="JWS22" s="142"/>
      <c r="JWT22" s="142"/>
      <c r="JWU22" s="142"/>
      <c r="JWV22" s="142"/>
      <c r="JWW22" s="142"/>
      <c r="JWX22" s="142"/>
      <c r="JWY22" s="142"/>
      <c r="JWZ22" s="142"/>
      <c r="JXA22" s="142"/>
      <c r="JXB22" s="142"/>
      <c r="JXC22" s="142"/>
      <c r="JXD22" s="142"/>
      <c r="JXE22" s="142"/>
      <c r="JXF22" s="142"/>
      <c r="JXG22" s="142"/>
      <c r="JXH22" s="142"/>
      <c r="JXI22" s="142"/>
      <c r="JXJ22" s="142"/>
      <c r="JXK22" s="142"/>
      <c r="JXL22" s="142"/>
      <c r="JXM22" s="142"/>
      <c r="JXN22" s="142"/>
      <c r="JXO22" s="142"/>
      <c r="JXP22" s="142"/>
      <c r="JXQ22" s="142"/>
      <c r="JXR22" s="142"/>
      <c r="JXS22" s="142"/>
      <c r="JXT22" s="142"/>
      <c r="JXU22" s="142"/>
      <c r="JXV22" s="142"/>
      <c r="JXW22" s="142"/>
      <c r="JXX22" s="142"/>
      <c r="JXY22" s="142"/>
      <c r="JXZ22" s="142"/>
      <c r="JYA22" s="142"/>
      <c r="JYB22" s="142"/>
      <c r="JYC22" s="142"/>
      <c r="JYD22" s="142"/>
      <c r="JYE22" s="142"/>
      <c r="JYF22" s="142"/>
      <c r="JYG22" s="142"/>
      <c r="JYH22" s="142"/>
      <c r="JYI22" s="142"/>
      <c r="JYJ22" s="142"/>
      <c r="JYK22" s="142"/>
      <c r="JYL22" s="142"/>
      <c r="JYM22" s="142"/>
      <c r="JYN22" s="142"/>
      <c r="JYO22" s="142"/>
      <c r="JYP22" s="142"/>
      <c r="JYQ22" s="142"/>
      <c r="JYR22" s="142"/>
      <c r="JYS22" s="142"/>
      <c r="JYT22" s="142"/>
      <c r="JYU22" s="142"/>
      <c r="JYV22" s="142"/>
      <c r="JYW22" s="142"/>
      <c r="JYX22" s="142"/>
      <c r="JYY22" s="142"/>
      <c r="JYZ22" s="142"/>
      <c r="JZA22" s="142"/>
      <c r="JZB22" s="142"/>
      <c r="JZC22" s="142"/>
      <c r="JZD22" s="142"/>
      <c r="JZE22" s="142"/>
      <c r="JZF22" s="142"/>
      <c r="JZG22" s="142"/>
      <c r="JZH22" s="142"/>
      <c r="JZI22" s="142"/>
      <c r="JZJ22" s="142"/>
      <c r="JZK22" s="142"/>
      <c r="JZL22" s="142"/>
      <c r="JZM22" s="142"/>
      <c r="JZN22" s="142"/>
      <c r="JZO22" s="142"/>
      <c r="JZP22" s="142"/>
      <c r="JZQ22" s="142"/>
      <c r="JZR22" s="142"/>
      <c r="JZS22" s="142"/>
      <c r="JZT22" s="142"/>
      <c r="JZU22" s="142"/>
      <c r="JZV22" s="142"/>
      <c r="JZW22" s="142"/>
      <c r="JZX22" s="142"/>
      <c r="JZY22" s="142"/>
      <c r="JZZ22" s="142"/>
      <c r="KAA22" s="142"/>
      <c r="KAB22" s="142"/>
      <c r="KAC22" s="142"/>
      <c r="KAD22" s="142"/>
      <c r="KAE22" s="142"/>
      <c r="KAF22" s="142"/>
      <c r="KAG22" s="142"/>
      <c r="KAH22" s="142"/>
      <c r="KAI22" s="142"/>
      <c r="KAJ22" s="142"/>
      <c r="KAK22" s="142"/>
      <c r="KAL22" s="142"/>
      <c r="KAM22" s="142"/>
      <c r="KAN22" s="142"/>
      <c r="KAO22" s="142"/>
      <c r="KAP22" s="142"/>
      <c r="KAQ22" s="142"/>
      <c r="KAR22" s="142"/>
      <c r="KAS22" s="142"/>
      <c r="KAT22" s="142"/>
      <c r="KAU22" s="142"/>
      <c r="KAV22" s="142"/>
      <c r="KAW22" s="142"/>
      <c r="KAX22" s="142"/>
      <c r="KAY22" s="142"/>
      <c r="KAZ22" s="142"/>
      <c r="KBA22" s="142"/>
      <c r="KBB22" s="142"/>
      <c r="KBC22" s="142"/>
      <c r="KBD22" s="142"/>
      <c r="KBE22" s="142"/>
      <c r="KBF22" s="142"/>
      <c r="KBG22" s="142"/>
      <c r="KBH22" s="142"/>
      <c r="KBI22" s="142"/>
      <c r="KBJ22" s="142"/>
      <c r="KBK22" s="142"/>
      <c r="KBL22" s="142"/>
      <c r="KBM22" s="142"/>
      <c r="KBN22" s="142"/>
      <c r="KBO22" s="142"/>
      <c r="KBP22" s="142"/>
      <c r="KBQ22" s="142"/>
      <c r="KBR22" s="142"/>
      <c r="KBS22" s="142"/>
      <c r="KBT22" s="142"/>
      <c r="KBU22" s="142"/>
      <c r="KBV22" s="142"/>
      <c r="KBW22" s="142"/>
      <c r="KBX22" s="142"/>
      <c r="KBY22" s="142"/>
      <c r="KBZ22" s="142"/>
      <c r="KCA22" s="142"/>
      <c r="KCB22" s="142"/>
      <c r="KCC22" s="142"/>
      <c r="KCD22" s="142"/>
      <c r="KCE22" s="142"/>
      <c r="KCF22" s="142"/>
      <c r="KCG22" s="142"/>
      <c r="KCH22" s="142"/>
      <c r="KCI22" s="142"/>
      <c r="KCJ22" s="142"/>
      <c r="KCK22" s="142"/>
      <c r="KCL22" s="142"/>
      <c r="KCM22" s="142"/>
      <c r="KCN22" s="142"/>
      <c r="KCO22" s="142"/>
      <c r="KCP22" s="142"/>
      <c r="KCQ22" s="142"/>
      <c r="KCR22" s="142"/>
      <c r="KCS22" s="142"/>
      <c r="KCT22" s="142"/>
      <c r="KCU22" s="142"/>
      <c r="KCV22" s="142"/>
      <c r="KCW22" s="142"/>
      <c r="KCX22" s="142"/>
      <c r="KCY22" s="142"/>
      <c r="KCZ22" s="142"/>
      <c r="KDA22" s="142"/>
      <c r="KDB22" s="142"/>
      <c r="KDC22" s="142"/>
      <c r="KDD22" s="142"/>
      <c r="KDE22" s="142"/>
      <c r="KDF22" s="142"/>
      <c r="KDG22" s="142"/>
      <c r="KDH22" s="142"/>
      <c r="KDI22" s="142"/>
      <c r="KDJ22" s="142"/>
      <c r="KDK22" s="142"/>
      <c r="KDL22" s="142"/>
      <c r="KDM22" s="142"/>
      <c r="KDN22" s="142"/>
      <c r="KDO22" s="142"/>
      <c r="KDP22" s="142"/>
      <c r="KDQ22" s="142"/>
      <c r="KDR22" s="142"/>
      <c r="KDS22" s="142"/>
      <c r="KDT22" s="142"/>
      <c r="KDU22" s="142"/>
      <c r="KDV22" s="142"/>
      <c r="KDW22" s="142"/>
      <c r="KDX22" s="142"/>
      <c r="KDY22" s="142"/>
      <c r="KDZ22" s="142"/>
      <c r="KEA22" s="142"/>
      <c r="KEB22" s="142"/>
      <c r="KEC22" s="142"/>
      <c r="KED22" s="142"/>
      <c r="KEE22" s="142"/>
      <c r="KEF22" s="142"/>
      <c r="KEG22" s="142"/>
      <c r="KEH22" s="142"/>
      <c r="KEI22" s="142"/>
      <c r="KEJ22" s="142"/>
      <c r="KEK22" s="142"/>
      <c r="KEL22" s="142"/>
      <c r="KEM22" s="142"/>
      <c r="KEN22" s="142"/>
      <c r="KEO22" s="142"/>
      <c r="KEP22" s="142"/>
      <c r="KEQ22" s="142"/>
      <c r="KER22" s="142"/>
      <c r="KES22" s="142"/>
      <c r="KET22" s="142"/>
      <c r="KEU22" s="142"/>
      <c r="KEV22" s="142"/>
      <c r="KEW22" s="142"/>
      <c r="KEX22" s="142"/>
      <c r="KEY22" s="142"/>
      <c r="KEZ22" s="142"/>
      <c r="KFA22" s="142"/>
      <c r="KFB22" s="142"/>
      <c r="KFC22" s="142"/>
      <c r="KFD22" s="142"/>
      <c r="KFE22" s="142"/>
      <c r="KFF22" s="142"/>
      <c r="KFG22" s="142"/>
      <c r="KFH22" s="142"/>
      <c r="KFI22" s="142"/>
      <c r="KFJ22" s="142"/>
      <c r="KFK22" s="142"/>
      <c r="KFL22" s="142"/>
      <c r="KFM22" s="142"/>
      <c r="KFN22" s="142"/>
      <c r="KFO22" s="142"/>
      <c r="KFP22" s="142"/>
      <c r="KFQ22" s="142"/>
      <c r="KFR22" s="142"/>
      <c r="KFS22" s="142"/>
      <c r="KFT22" s="142"/>
      <c r="KFU22" s="142"/>
      <c r="KFV22" s="142"/>
      <c r="KFW22" s="142"/>
      <c r="KFX22" s="142"/>
      <c r="KFY22" s="142"/>
      <c r="KFZ22" s="142"/>
      <c r="KGA22" s="142"/>
      <c r="KGB22" s="142"/>
      <c r="KGC22" s="142"/>
      <c r="KGD22" s="142"/>
      <c r="KGE22" s="142"/>
      <c r="KGF22" s="142"/>
      <c r="KGG22" s="142"/>
      <c r="KGH22" s="142"/>
      <c r="KGI22" s="142"/>
      <c r="KGJ22" s="142"/>
      <c r="KGK22" s="142"/>
      <c r="KGL22" s="142"/>
      <c r="KGM22" s="142"/>
      <c r="KGN22" s="142"/>
      <c r="KGO22" s="142"/>
      <c r="KGP22" s="142"/>
      <c r="KGQ22" s="142"/>
      <c r="KGR22" s="142"/>
      <c r="KGS22" s="142"/>
      <c r="KGT22" s="142"/>
      <c r="KGU22" s="142"/>
      <c r="KGV22" s="142"/>
      <c r="KGW22" s="142"/>
      <c r="KGX22" s="142"/>
      <c r="KGY22" s="142"/>
      <c r="KGZ22" s="142"/>
      <c r="KHA22" s="142"/>
      <c r="KHB22" s="142"/>
      <c r="KHC22" s="142"/>
      <c r="KHD22" s="142"/>
      <c r="KHE22" s="142"/>
      <c r="KHF22" s="142"/>
      <c r="KHG22" s="142"/>
      <c r="KHH22" s="142"/>
      <c r="KHI22" s="142"/>
      <c r="KHJ22" s="142"/>
      <c r="KHK22" s="142"/>
      <c r="KHL22" s="142"/>
      <c r="KHM22" s="142"/>
      <c r="KHN22" s="142"/>
      <c r="KHO22" s="142"/>
      <c r="KHP22" s="142"/>
      <c r="KHQ22" s="142"/>
      <c r="KHR22" s="142"/>
      <c r="KHS22" s="142"/>
      <c r="KHT22" s="142"/>
      <c r="KHU22" s="142"/>
      <c r="KHV22" s="142"/>
      <c r="KHW22" s="142"/>
      <c r="KHX22" s="142"/>
      <c r="KHY22" s="142"/>
      <c r="KHZ22" s="142"/>
      <c r="KIA22" s="142"/>
      <c r="KIB22" s="142"/>
      <c r="KIC22" s="142"/>
      <c r="KID22" s="142"/>
      <c r="KIE22" s="142"/>
      <c r="KIF22" s="142"/>
      <c r="KIG22" s="142"/>
      <c r="KIH22" s="142"/>
      <c r="KII22" s="142"/>
      <c r="KIJ22" s="142"/>
      <c r="KIK22" s="142"/>
      <c r="KIL22" s="142"/>
      <c r="KIM22" s="142"/>
      <c r="KIN22" s="142"/>
      <c r="KIO22" s="142"/>
      <c r="KIP22" s="142"/>
      <c r="KIQ22" s="142"/>
      <c r="KIR22" s="142"/>
      <c r="KIS22" s="142"/>
      <c r="KIT22" s="142"/>
      <c r="KIU22" s="142"/>
      <c r="KIV22" s="142"/>
      <c r="KIW22" s="142"/>
      <c r="KIX22" s="142"/>
      <c r="KIY22" s="142"/>
      <c r="KIZ22" s="142"/>
      <c r="KJA22" s="142"/>
      <c r="KJB22" s="142"/>
      <c r="KJC22" s="142"/>
      <c r="KJD22" s="142"/>
      <c r="KJE22" s="142"/>
      <c r="KJF22" s="142"/>
      <c r="KJG22" s="142"/>
      <c r="KJH22" s="142"/>
      <c r="KJI22" s="142"/>
      <c r="KJJ22" s="142"/>
      <c r="KJK22" s="142"/>
      <c r="KJL22" s="142"/>
      <c r="KJM22" s="142"/>
      <c r="KJN22" s="142"/>
      <c r="KJO22" s="142"/>
      <c r="KJP22" s="142"/>
      <c r="KJQ22" s="142"/>
      <c r="KJR22" s="142"/>
      <c r="KJS22" s="142"/>
      <c r="KJT22" s="142"/>
      <c r="KJU22" s="142"/>
      <c r="KJV22" s="142"/>
      <c r="KJW22" s="142"/>
      <c r="KJX22" s="142"/>
      <c r="KJY22" s="142"/>
      <c r="KJZ22" s="142"/>
      <c r="KKA22" s="142"/>
      <c r="KKB22" s="142"/>
      <c r="KKC22" s="142"/>
      <c r="KKD22" s="142"/>
      <c r="KKE22" s="142"/>
      <c r="KKF22" s="142"/>
      <c r="KKG22" s="142"/>
      <c r="KKH22" s="142"/>
      <c r="KKI22" s="142"/>
      <c r="KKJ22" s="142"/>
      <c r="KKK22" s="142"/>
      <c r="KKL22" s="142"/>
      <c r="KKM22" s="142"/>
      <c r="KKN22" s="142"/>
      <c r="KKO22" s="142"/>
      <c r="KKP22" s="142"/>
      <c r="KKQ22" s="142"/>
      <c r="KKR22" s="142"/>
      <c r="KKS22" s="142"/>
      <c r="KKT22" s="142"/>
      <c r="KKU22" s="142"/>
      <c r="KKV22" s="142"/>
      <c r="KKW22" s="142"/>
      <c r="KKX22" s="142"/>
      <c r="KKY22" s="142"/>
      <c r="KKZ22" s="142"/>
      <c r="KLA22" s="142"/>
      <c r="KLB22" s="142"/>
      <c r="KLC22" s="142"/>
      <c r="KLD22" s="142"/>
      <c r="KLE22" s="142"/>
      <c r="KLF22" s="142"/>
      <c r="KLG22" s="142"/>
      <c r="KLH22" s="142"/>
      <c r="KLI22" s="142"/>
      <c r="KLJ22" s="142"/>
      <c r="KLK22" s="142"/>
      <c r="KLL22" s="142"/>
      <c r="KLM22" s="142"/>
      <c r="KLN22" s="142"/>
      <c r="KLO22" s="142"/>
      <c r="KLP22" s="142"/>
      <c r="KLQ22" s="142"/>
      <c r="KLR22" s="142"/>
      <c r="KLS22" s="142"/>
      <c r="KLT22" s="142"/>
      <c r="KLU22" s="142"/>
      <c r="KLV22" s="142"/>
      <c r="KLW22" s="142"/>
      <c r="KLX22" s="142"/>
      <c r="KLY22" s="142"/>
      <c r="KLZ22" s="142"/>
      <c r="KMA22" s="142"/>
      <c r="KMB22" s="142"/>
      <c r="KMC22" s="142"/>
      <c r="KMD22" s="142"/>
      <c r="KME22" s="142"/>
      <c r="KMF22" s="142"/>
      <c r="KMG22" s="142"/>
      <c r="KMH22" s="142"/>
      <c r="KMI22" s="142"/>
      <c r="KMJ22" s="142"/>
      <c r="KMK22" s="142"/>
      <c r="KML22" s="142"/>
      <c r="KMM22" s="142"/>
      <c r="KMN22" s="142"/>
      <c r="KMO22" s="142"/>
      <c r="KMP22" s="142"/>
      <c r="KMQ22" s="142"/>
      <c r="KMR22" s="142"/>
      <c r="KMS22" s="142"/>
      <c r="KMT22" s="142"/>
      <c r="KMU22" s="142"/>
      <c r="KMV22" s="142"/>
      <c r="KMW22" s="142"/>
      <c r="KMX22" s="142"/>
      <c r="KMY22" s="142"/>
      <c r="KMZ22" s="142"/>
      <c r="KNA22" s="142"/>
      <c r="KNB22" s="142"/>
      <c r="KNC22" s="142"/>
      <c r="KND22" s="142"/>
      <c r="KNE22" s="142"/>
      <c r="KNF22" s="142"/>
      <c r="KNG22" s="142"/>
      <c r="KNH22" s="142"/>
      <c r="KNI22" s="142"/>
      <c r="KNJ22" s="142"/>
      <c r="KNK22" s="142"/>
      <c r="KNL22" s="142"/>
      <c r="KNM22" s="142"/>
      <c r="KNN22" s="142"/>
      <c r="KNO22" s="142"/>
      <c r="KNP22" s="142"/>
      <c r="KNQ22" s="142"/>
      <c r="KNR22" s="142"/>
      <c r="KNS22" s="142"/>
      <c r="KNT22" s="142"/>
      <c r="KNU22" s="142"/>
      <c r="KNV22" s="142"/>
      <c r="KNW22" s="142"/>
      <c r="KNX22" s="142"/>
      <c r="KNY22" s="142"/>
      <c r="KNZ22" s="142"/>
      <c r="KOA22" s="142"/>
      <c r="KOB22" s="142"/>
      <c r="KOC22" s="142"/>
      <c r="KOD22" s="142"/>
      <c r="KOE22" s="142"/>
      <c r="KOF22" s="142"/>
      <c r="KOG22" s="142"/>
      <c r="KOH22" s="142"/>
      <c r="KOI22" s="142"/>
      <c r="KOJ22" s="142"/>
      <c r="KOK22" s="142"/>
      <c r="KOL22" s="142"/>
      <c r="KOM22" s="142"/>
      <c r="KON22" s="142"/>
      <c r="KOO22" s="142"/>
      <c r="KOP22" s="142"/>
      <c r="KOQ22" s="142"/>
      <c r="KOR22" s="142"/>
      <c r="KOS22" s="142"/>
      <c r="KOT22" s="142"/>
      <c r="KOU22" s="142"/>
      <c r="KOV22" s="142"/>
      <c r="KOW22" s="142"/>
      <c r="KOX22" s="142"/>
      <c r="KOY22" s="142"/>
      <c r="KOZ22" s="142"/>
      <c r="KPA22" s="142"/>
      <c r="KPB22" s="142"/>
      <c r="KPC22" s="142"/>
      <c r="KPD22" s="142"/>
      <c r="KPE22" s="142"/>
      <c r="KPF22" s="142"/>
      <c r="KPG22" s="142"/>
      <c r="KPH22" s="142"/>
      <c r="KPI22" s="142"/>
      <c r="KPJ22" s="142"/>
      <c r="KPK22" s="142"/>
      <c r="KPL22" s="142"/>
      <c r="KPM22" s="142"/>
      <c r="KPN22" s="142"/>
      <c r="KPO22" s="142"/>
      <c r="KPP22" s="142"/>
      <c r="KPQ22" s="142"/>
      <c r="KPR22" s="142"/>
      <c r="KPS22" s="142"/>
      <c r="KPT22" s="142"/>
      <c r="KPU22" s="142"/>
      <c r="KPV22" s="142"/>
      <c r="KPW22" s="142"/>
      <c r="KPX22" s="142"/>
      <c r="KPY22" s="142"/>
      <c r="KPZ22" s="142"/>
      <c r="KQA22" s="142"/>
      <c r="KQB22" s="142"/>
      <c r="KQC22" s="142"/>
      <c r="KQD22" s="142"/>
      <c r="KQE22" s="142"/>
      <c r="KQF22" s="142"/>
      <c r="KQG22" s="142"/>
      <c r="KQH22" s="142"/>
      <c r="KQI22" s="142"/>
      <c r="KQJ22" s="142"/>
      <c r="KQK22" s="142"/>
      <c r="KQL22" s="142"/>
      <c r="KQM22" s="142"/>
      <c r="KQN22" s="142"/>
      <c r="KQO22" s="142"/>
      <c r="KQP22" s="142"/>
      <c r="KQQ22" s="142"/>
      <c r="KQR22" s="142"/>
      <c r="KQS22" s="142"/>
      <c r="KQT22" s="142"/>
      <c r="KQU22" s="142"/>
      <c r="KQV22" s="142"/>
      <c r="KQW22" s="142"/>
      <c r="KQX22" s="142"/>
      <c r="KQY22" s="142"/>
      <c r="KQZ22" s="142"/>
      <c r="KRA22" s="142"/>
      <c r="KRB22" s="142"/>
      <c r="KRC22" s="142"/>
      <c r="KRD22" s="142"/>
      <c r="KRE22" s="142"/>
      <c r="KRF22" s="142"/>
      <c r="KRG22" s="142"/>
      <c r="KRH22" s="142"/>
      <c r="KRI22" s="142"/>
      <c r="KRJ22" s="142"/>
      <c r="KRK22" s="142"/>
      <c r="KRL22" s="142"/>
      <c r="KRM22" s="142"/>
      <c r="KRN22" s="142"/>
      <c r="KRO22" s="142"/>
      <c r="KRP22" s="142"/>
      <c r="KRQ22" s="142"/>
      <c r="KRR22" s="142"/>
      <c r="KRS22" s="142"/>
      <c r="KRT22" s="142"/>
      <c r="KRU22" s="142"/>
      <c r="KRV22" s="142"/>
      <c r="KRW22" s="142"/>
      <c r="KRX22" s="142"/>
      <c r="KRY22" s="142"/>
      <c r="KRZ22" s="142"/>
      <c r="KSA22" s="142"/>
      <c r="KSB22" s="142"/>
      <c r="KSC22" s="142"/>
      <c r="KSD22" s="142"/>
      <c r="KSE22" s="142"/>
      <c r="KSF22" s="142"/>
      <c r="KSG22" s="142"/>
      <c r="KSH22" s="142"/>
      <c r="KSI22" s="142"/>
      <c r="KSJ22" s="142"/>
      <c r="KSK22" s="142"/>
      <c r="KSL22" s="142"/>
      <c r="KSM22" s="142"/>
      <c r="KSN22" s="142"/>
      <c r="KSO22" s="142"/>
      <c r="KSP22" s="142"/>
      <c r="KSQ22" s="142"/>
      <c r="KSR22" s="142"/>
      <c r="KSS22" s="142"/>
      <c r="KST22" s="142"/>
      <c r="KSU22" s="142"/>
      <c r="KSV22" s="142"/>
      <c r="KSW22" s="142"/>
      <c r="KSX22" s="142"/>
      <c r="KSY22" s="142"/>
      <c r="KSZ22" s="142"/>
      <c r="KTA22" s="142"/>
      <c r="KTB22" s="142"/>
      <c r="KTC22" s="142"/>
      <c r="KTD22" s="142"/>
      <c r="KTE22" s="142"/>
      <c r="KTF22" s="142"/>
      <c r="KTG22" s="142"/>
      <c r="KTH22" s="142"/>
      <c r="KTI22" s="142"/>
      <c r="KTJ22" s="142"/>
      <c r="KTK22" s="142"/>
      <c r="KTL22" s="142"/>
      <c r="KTM22" s="142"/>
      <c r="KTN22" s="142"/>
      <c r="KTO22" s="142"/>
      <c r="KTP22" s="142"/>
      <c r="KTQ22" s="142"/>
      <c r="KTR22" s="142"/>
      <c r="KTS22" s="142"/>
      <c r="KTT22" s="142"/>
      <c r="KTU22" s="142"/>
      <c r="KTV22" s="142"/>
      <c r="KTW22" s="142"/>
      <c r="KTX22" s="142"/>
      <c r="KTY22" s="142"/>
      <c r="KTZ22" s="142"/>
      <c r="KUA22" s="142"/>
      <c r="KUB22" s="142"/>
      <c r="KUC22" s="142"/>
      <c r="KUD22" s="142"/>
      <c r="KUE22" s="142"/>
      <c r="KUF22" s="142"/>
      <c r="KUG22" s="142"/>
      <c r="KUH22" s="142"/>
      <c r="KUI22" s="142"/>
      <c r="KUJ22" s="142"/>
      <c r="KUK22" s="142"/>
      <c r="KUL22" s="142"/>
      <c r="KUM22" s="142"/>
      <c r="KUN22" s="142"/>
      <c r="KUO22" s="142"/>
      <c r="KUP22" s="142"/>
      <c r="KUQ22" s="142"/>
      <c r="KUR22" s="142"/>
      <c r="KUS22" s="142"/>
      <c r="KUT22" s="142"/>
      <c r="KUU22" s="142"/>
      <c r="KUV22" s="142"/>
      <c r="KUW22" s="142"/>
      <c r="KUX22" s="142"/>
      <c r="KUY22" s="142"/>
      <c r="KUZ22" s="142"/>
      <c r="KVA22" s="142"/>
      <c r="KVB22" s="142"/>
      <c r="KVC22" s="142"/>
      <c r="KVD22" s="142"/>
      <c r="KVE22" s="142"/>
      <c r="KVF22" s="142"/>
      <c r="KVG22" s="142"/>
      <c r="KVH22" s="142"/>
      <c r="KVI22" s="142"/>
      <c r="KVJ22" s="142"/>
      <c r="KVK22" s="142"/>
      <c r="KVL22" s="142"/>
      <c r="KVM22" s="142"/>
      <c r="KVN22" s="142"/>
      <c r="KVO22" s="142"/>
      <c r="KVP22" s="142"/>
      <c r="KVQ22" s="142"/>
      <c r="KVR22" s="142"/>
      <c r="KVS22" s="142"/>
      <c r="KVT22" s="142"/>
      <c r="KVU22" s="142"/>
      <c r="KVV22" s="142"/>
      <c r="KVW22" s="142"/>
      <c r="KVX22" s="142"/>
      <c r="KVY22" s="142"/>
      <c r="KVZ22" s="142"/>
      <c r="KWA22" s="142"/>
      <c r="KWB22" s="142"/>
      <c r="KWC22" s="142"/>
      <c r="KWD22" s="142"/>
      <c r="KWE22" s="142"/>
      <c r="KWF22" s="142"/>
      <c r="KWG22" s="142"/>
      <c r="KWH22" s="142"/>
      <c r="KWI22" s="142"/>
      <c r="KWJ22" s="142"/>
      <c r="KWK22" s="142"/>
      <c r="KWL22" s="142"/>
      <c r="KWM22" s="142"/>
      <c r="KWN22" s="142"/>
      <c r="KWO22" s="142"/>
      <c r="KWP22" s="142"/>
      <c r="KWQ22" s="142"/>
      <c r="KWR22" s="142"/>
      <c r="KWS22" s="142"/>
      <c r="KWT22" s="142"/>
      <c r="KWU22" s="142"/>
      <c r="KWV22" s="142"/>
      <c r="KWW22" s="142"/>
      <c r="KWX22" s="142"/>
      <c r="KWY22" s="142"/>
      <c r="KWZ22" s="142"/>
      <c r="KXA22" s="142"/>
      <c r="KXB22" s="142"/>
      <c r="KXC22" s="142"/>
      <c r="KXD22" s="142"/>
      <c r="KXE22" s="142"/>
      <c r="KXF22" s="142"/>
      <c r="KXG22" s="142"/>
      <c r="KXH22" s="142"/>
      <c r="KXI22" s="142"/>
      <c r="KXJ22" s="142"/>
      <c r="KXK22" s="142"/>
      <c r="KXL22" s="142"/>
      <c r="KXM22" s="142"/>
      <c r="KXN22" s="142"/>
      <c r="KXO22" s="142"/>
      <c r="KXP22" s="142"/>
      <c r="KXQ22" s="142"/>
      <c r="KXR22" s="142"/>
      <c r="KXS22" s="142"/>
      <c r="KXT22" s="142"/>
      <c r="KXU22" s="142"/>
      <c r="KXV22" s="142"/>
      <c r="KXW22" s="142"/>
      <c r="KXX22" s="142"/>
      <c r="KXY22" s="142"/>
      <c r="KXZ22" s="142"/>
      <c r="KYA22" s="142"/>
      <c r="KYB22" s="142"/>
      <c r="KYC22" s="142"/>
      <c r="KYD22" s="142"/>
      <c r="KYE22" s="142"/>
      <c r="KYF22" s="142"/>
      <c r="KYG22" s="142"/>
      <c r="KYH22" s="142"/>
      <c r="KYI22" s="142"/>
      <c r="KYJ22" s="142"/>
      <c r="KYK22" s="142"/>
      <c r="KYL22" s="142"/>
      <c r="KYM22" s="142"/>
      <c r="KYN22" s="142"/>
      <c r="KYO22" s="142"/>
      <c r="KYP22" s="142"/>
      <c r="KYQ22" s="142"/>
      <c r="KYR22" s="142"/>
      <c r="KYS22" s="142"/>
      <c r="KYT22" s="142"/>
      <c r="KYU22" s="142"/>
      <c r="KYV22" s="142"/>
      <c r="KYW22" s="142"/>
      <c r="KYX22" s="142"/>
      <c r="KYY22" s="142"/>
      <c r="KYZ22" s="142"/>
      <c r="KZA22" s="142"/>
      <c r="KZB22" s="142"/>
      <c r="KZC22" s="142"/>
      <c r="KZD22" s="142"/>
      <c r="KZE22" s="142"/>
      <c r="KZF22" s="142"/>
      <c r="KZG22" s="142"/>
      <c r="KZH22" s="142"/>
      <c r="KZI22" s="142"/>
      <c r="KZJ22" s="142"/>
      <c r="KZK22" s="142"/>
      <c r="KZL22" s="142"/>
      <c r="KZM22" s="142"/>
      <c r="KZN22" s="142"/>
      <c r="KZO22" s="142"/>
      <c r="KZP22" s="142"/>
      <c r="KZQ22" s="142"/>
      <c r="KZR22" s="142"/>
      <c r="KZS22" s="142"/>
      <c r="KZT22" s="142"/>
      <c r="KZU22" s="142"/>
      <c r="KZV22" s="142"/>
      <c r="KZW22" s="142"/>
      <c r="KZX22" s="142"/>
      <c r="KZY22" s="142"/>
      <c r="KZZ22" s="142"/>
      <c r="LAA22" s="142"/>
      <c r="LAB22" s="142"/>
      <c r="LAC22" s="142"/>
      <c r="LAD22" s="142"/>
      <c r="LAE22" s="142"/>
      <c r="LAF22" s="142"/>
      <c r="LAG22" s="142"/>
      <c r="LAH22" s="142"/>
      <c r="LAI22" s="142"/>
      <c r="LAJ22" s="142"/>
      <c r="LAK22" s="142"/>
      <c r="LAL22" s="142"/>
      <c r="LAM22" s="142"/>
      <c r="LAN22" s="142"/>
      <c r="LAO22" s="142"/>
      <c r="LAP22" s="142"/>
      <c r="LAQ22" s="142"/>
      <c r="LAR22" s="142"/>
      <c r="LAS22" s="142"/>
      <c r="LAT22" s="142"/>
      <c r="LAU22" s="142"/>
      <c r="LAV22" s="142"/>
      <c r="LAW22" s="142"/>
      <c r="LAX22" s="142"/>
      <c r="LAY22" s="142"/>
      <c r="LAZ22" s="142"/>
      <c r="LBA22" s="142"/>
      <c r="LBB22" s="142"/>
      <c r="LBC22" s="142"/>
      <c r="LBD22" s="142"/>
      <c r="LBE22" s="142"/>
      <c r="LBF22" s="142"/>
      <c r="LBG22" s="142"/>
      <c r="LBH22" s="142"/>
      <c r="LBI22" s="142"/>
      <c r="LBJ22" s="142"/>
      <c r="LBK22" s="142"/>
      <c r="LBL22" s="142"/>
      <c r="LBM22" s="142"/>
      <c r="LBN22" s="142"/>
      <c r="LBO22" s="142"/>
      <c r="LBP22" s="142"/>
      <c r="LBQ22" s="142"/>
      <c r="LBR22" s="142"/>
      <c r="LBS22" s="142"/>
      <c r="LBT22" s="142"/>
      <c r="LBU22" s="142"/>
      <c r="LBV22" s="142"/>
      <c r="LBW22" s="142"/>
      <c r="LBX22" s="142"/>
      <c r="LBY22" s="142"/>
      <c r="LBZ22" s="142"/>
      <c r="LCA22" s="142"/>
      <c r="LCB22" s="142"/>
      <c r="LCC22" s="142"/>
      <c r="LCD22" s="142"/>
      <c r="LCE22" s="142"/>
      <c r="LCF22" s="142"/>
      <c r="LCG22" s="142"/>
      <c r="LCH22" s="142"/>
      <c r="LCI22" s="142"/>
      <c r="LCJ22" s="142"/>
      <c r="LCK22" s="142"/>
      <c r="LCL22" s="142"/>
      <c r="LCM22" s="142"/>
      <c r="LCN22" s="142"/>
      <c r="LCO22" s="142"/>
      <c r="LCP22" s="142"/>
      <c r="LCQ22" s="142"/>
      <c r="LCR22" s="142"/>
      <c r="LCS22" s="142"/>
      <c r="LCT22" s="142"/>
      <c r="LCU22" s="142"/>
      <c r="LCV22" s="142"/>
      <c r="LCW22" s="142"/>
      <c r="LCX22" s="142"/>
      <c r="LCY22" s="142"/>
      <c r="LCZ22" s="142"/>
      <c r="LDA22" s="142"/>
      <c r="LDB22" s="142"/>
      <c r="LDC22" s="142"/>
      <c r="LDD22" s="142"/>
      <c r="LDE22" s="142"/>
      <c r="LDF22" s="142"/>
      <c r="LDG22" s="142"/>
      <c r="LDH22" s="142"/>
      <c r="LDI22" s="142"/>
      <c r="LDJ22" s="142"/>
      <c r="LDK22" s="142"/>
      <c r="LDL22" s="142"/>
      <c r="LDM22" s="142"/>
      <c r="LDN22" s="142"/>
      <c r="LDO22" s="142"/>
      <c r="LDP22" s="142"/>
      <c r="LDQ22" s="142"/>
      <c r="LDR22" s="142"/>
      <c r="LDS22" s="142"/>
      <c r="LDT22" s="142"/>
      <c r="LDU22" s="142"/>
      <c r="LDV22" s="142"/>
      <c r="LDW22" s="142"/>
      <c r="LDX22" s="142"/>
      <c r="LDY22" s="142"/>
      <c r="LDZ22" s="142"/>
      <c r="LEA22" s="142"/>
      <c r="LEB22" s="142"/>
      <c r="LEC22" s="142"/>
      <c r="LED22" s="142"/>
      <c r="LEE22" s="142"/>
      <c r="LEF22" s="142"/>
      <c r="LEG22" s="142"/>
      <c r="LEH22" s="142"/>
      <c r="LEI22" s="142"/>
      <c r="LEJ22" s="142"/>
      <c r="LEK22" s="142"/>
      <c r="LEL22" s="142"/>
      <c r="LEM22" s="142"/>
      <c r="LEN22" s="142"/>
      <c r="LEO22" s="142"/>
      <c r="LEP22" s="142"/>
      <c r="LEQ22" s="142"/>
      <c r="LER22" s="142"/>
      <c r="LES22" s="142"/>
      <c r="LET22" s="142"/>
      <c r="LEU22" s="142"/>
      <c r="LEV22" s="142"/>
      <c r="LEW22" s="142"/>
      <c r="LEX22" s="142"/>
      <c r="LEY22" s="142"/>
      <c r="LEZ22" s="142"/>
      <c r="LFA22" s="142"/>
      <c r="LFB22" s="142"/>
      <c r="LFC22" s="142"/>
      <c r="LFD22" s="142"/>
      <c r="LFE22" s="142"/>
      <c r="LFF22" s="142"/>
      <c r="LFG22" s="142"/>
      <c r="LFH22" s="142"/>
      <c r="LFI22" s="142"/>
      <c r="LFJ22" s="142"/>
      <c r="LFK22" s="142"/>
      <c r="LFL22" s="142"/>
      <c r="LFM22" s="142"/>
      <c r="LFN22" s="142"/>
      <c r="LFO22" s="142"/>
      <c r="LFP22" s="142"/>
      <c r="LFQ22" s="142"/>
      <c r="LFR22" s="142"/>
      <c r="LFS22" s="142"/>
      <c r="LFT22" s="142"/>
      <c r="LFU22" s="142"/>
      <c r="LFV22" s="142"/>
      <c r="LFW22" s="142"/>
      <c r="LFX22" s="142"/>
      <c r="LFY22" s="142"/>
      <c r="LFZ22" s="142"/>
      <c r="LGA22" s="142"/>
      <c r="LGB22" s="142"/>
      <c r="LGC22" s="142"/>
      <c r="LGD22" s="142"/>
      <c r="LGE22" s="142"/>
      <c r="LGF22" s="142"/>
      <c r="LGG22" s="142"/>
      <c r="LGH22" s="142"/>
      <c r="LGI22" s="142"/>
      <c r="LGJ22" s="142"/>
      <c r="LGK22" s="142"/>
      <c r="LGL22" s="142"/>
      <c r="LGM22" s="142"/>
      <c r="LGN22" s="142"/>
      <c r="LGO22" s="142"/>
      <c r="LGP22" s="142"/>
      <c r="LGQ22" s="142"/>
      <c r="LGR22" s="142"/>
      <c r="LGS22" s="142"/>
      <c r="LGT22" s="142"/>
      <c r="LGU22" s="142"/>
      <c r="LGV22" s="142"/>
      <c r="LGW22" s="142"/>
      <c r="LGX22" s="142"/>
      <c r="LGY22" s="142"/>
      <c r="LGZ22" s="142"/>
      <c r="LHA22" s="142"/>
      <c r="LHB22" s="142"/>
      <c r="LHC22" s="142"/>
      <c r="LHD22" s="142"/>
      <c r="LHE22" s="142"/>
      <c r="LHF22" s="142"/>
      <c r="LHG22" s="142"/>
      <c r="LHH22" s="142"/>
      <c r="LHI22" s="142"/>
      <c r="LHJ22" s="142"/>
      <c r="LHK22" s="142"/>
      <c r="LHL22" s="142"/>
      <c r="LHM22" s="142"/>
      <c r="LHN22" s="142"/>
      <c r="LHO22" s="142"/>
      <c r="LHP22" s="142"/>
      <c r="LHQ22" s="142"/>
      <c r="LHR22" s="142"/>
      <c r="LHS22" s="142"/>
      <c r="LHT22" s="142"/>
      <c r="LHU22" s="142"/>
      <c r="LHV22" s="142"/>
      <c r="LHW22" s="142"/>
      <c r="LHX22" s="142"/>
      <c r="LHY22" s="142"/>
      <c r="LHZ22" s="142"/>
      <c r="LIA22" s="142"/>
      <c r="LIB22" s="142"/>
      <c r="LIC22" s="142"/>
      <c r="LID22" s="142"/>
      <c r="LIE22" s="142"/>
      <c r="LIF22" s="142"/>
      <c r="LIG22" s="142"/>
      <c r="LIH22" s="142"/>
      <c r="LII22" s="142"/>
      <c r="LIJ22" s="142"/>
      <c r="LIK22" s="142"/>
      <c r="LIL22" s="142"/>
      <c r="LIM22" s="142"/>
      <c r="LIN22" s="142"/>
      <c r="LIO22" s="142"/>
      <c r="LIP22" s="142"/>
      <c r="LIQ22" s="142"/>
      <c r="LIR22" s="142"/>
      <c r="LIS22" s="142"/>
      <c r="LIT22" s="142"/>
      <c r="LIU22" s="142"/>
      <c r="LIV22" s="142"/>
      <c r="LIW22" s="142"/>
      <c r="LIX22" s="142"/>
      <c r="LIY22" s="142"/>
      <c r="LIZ22" s="142"/>
      <c r="LJA22" s="142"/>
      <c r="LJB22" s="142"/>
      <c r="LJC22" s="142"/>
      <c r="LJD22" s="142"/>
      <c r="LJE22" s="142"/>
      <c r="LJF22" s="142"/>
      <c r="LJG22" s="142"/>
      <c r="LJH22" s="142"/>
      <c r="LJI22" s="142"/>
      <c r="LJJ22" s="142"/>
      <c r="LJK22" s="142"/>
      <c r="LJL22" s="142"/>
      <c r="LJM22" s="142"/>
      <c r="LJN22" s="142"/>
      <c r="LJO22" s="142"/>
      <c r="LJP22" s="142"/>
      <c r="LJQ22" s="142"/>
      <c r="LJR22" s="142"/>
      <c r="LJS22" s="142"/>
      <c r="LJT22" s="142"/>
      <c r="LJU22" s="142"/>
      <c r="LJV22" s="142"/>
      <c r="LJW22" s="142"/>
      <c r="LJX22" s="142"/>
      <c r="LJY22" s="142"/>
      <c r="LJZ22" s="142"/>
      <c r="LKA22" s="142"/>
      <c r="LKB22" s="142"/>
      <c r="LKC22" s="142"/>
      <c r="LKD22" s="142"/>
      <c r="LKE22" s="142"/>
      <c r="LKF22" s="142"/>
      <c r="LKG22" s="142"/>
      <c r="LKH22" s="142"/>
      <c r="LKI22" s="142"/>
      <c r="LKJ22" s="142"/>
      <c r="LKK22" s="142"/>
      <c r="LKL22" s="142"/>
      <c r="LKM22" s="142"/>
      <c r="LKN22" s="142"/>
      <c r="LKO22" s="142"/>
      <c r="LKP22" s="142"/>
      <c r="LKQ22" s="142"/>
      <c r="LKR22" s="142"/>
      <c r="LKS22" s="142"/>
      <c r="LKT22" s="142"/>
      <c r="LKU22" s="142"/>
      <c r="LKV22" s="142"/>
      <c r="LKW22" s="142"/>
      <c r="LKX22" s="142"/>
      <c r="LKY22" s="142"/>
      <c r="LKZ22" s="142"/>
      <c r="LLA22" s="142"/>
      <c r="LLB22" s="142"/>
      <c r="LLC22" s="142"/>
      <c r="LLD22" s="142"/>
      <c r="LLE22" s="142"/>
      <c r="LLF22" s="142"/>
      <c r="LLG22" s="142"/>
      <c r="LLH22" s="142"/>
      <c r="LLI22" s="142"/>
      <c r="LLJ22" s="142"/>
      <c r="LLK22" s="142"/>
      <c r="LLL22" s="142"/>
      <c r="LLM22" s="142"/>
      <c r="LLN22" s="142"/>
      <c r="LLO22" s="142"/>
      <c r="LLP22" s="142"/>
      <c r="LLQ22" s="142"/>
      <c r="LLR22" s="142"/>
      <c r="LLS22" s="142"/>
      <c r="LLT22" s="142"/>
      <c r="LLU22" s="142"/>
      <c r="LLV22" s="142"/>
      <c r="LLW22" s="142"/>
      <c r="LLX22" s="142"/>
      <c r="LLY22" s="142"/>
      <c r="LLZ22" s="142"/>
      <c r="LMA22" s="142"/>
      <c r="LMB22" s="142"/>
      <c r="LMC22" s="142"/>
      <c r="LMD22" s="142"/>
      <c r="LME22" s="142"/>
      <c r="LMF22" s="142"/>
      <c r="LMG22" s="142"/>
      <c r="LMH22" s="142"/>
      <c r="LMI22" s="142"/>
      <c r="LMJ22" s="142"/>
      <c r="LMK22" s="142"/>
      <c r="LML22" s="142"/>
      <c r="LMM22" s="142"/>
      <c r="LMN22" s="142"/>
      <c r="LMO22" s="142"/>
      <c r="LMP22" s="142"/>
      <c r="LMQ22" s="142"/>
      <c r="LMR22" s="142"/>
      <c r="LMS22" s="142"/>
      <c r="LMT22" s="142"/>
      <c r="LMU22" s="142"/>
      <c r="LMV22" s="142"/>
      <c r="LMW22" s="142"/>
      <c r="LMX22" s="142"/>
      <c r="LMY22" s="142"/>
      <c r="LMZ22" s="142"/>
      <c r="LNA22" s="142"/>
      <c r="LNB22" s="142"/>
      <c r="LNC22" s="142"/>
      <c r="LND22" s="142"/>
      <c r="LNE22" s="142"/>
      <c r="LNF22" s="142"/>
      <c r="LNG22" s="142"/>
      <c r="LNH22" s="142"/>
      <c r="LNI22" s="142"/>
      <c r="LNJ22" s="142"/>
      <c r="LNK22" s="142"/>
      <c r="LNL22" s="142"/>
      <c r="LNM22" s="142"/>
      <c r="LNN22" s="142"/>
      <c r="LNO22" s="142"/>
      <c r="LNP22" s="142"/>
      <c r="LNQ22" s="142"/>
      <c r="LNR22" s="142"/>
      <c r="LNS22" s="142"/>
      <c r="LNT22" s="142"/>
      <c r="LNU22" s="142"/>
      <c r="LNV22" s="142"/>
      <c r="LNW22" s="142"/>
      <c r="LNX22" s="142"/>
      <c r="LNY22" s="142"/>
      <c r="LNZ22" s="142"/>
      <c r="LOA22" s="142"/>
      <c r="LOB22" s="142"/>
      <c r="LOC22" s="142"/>
      <c r="LOD22" s="142"/>
      <c r="LOE22" s="142"/>
      <c r="LOF22" s="142"/>
      <c r="LOG22" s="142"/>
      <c r="LOH22" s="142"/>
      <c r="LOI22" s="142"/>
      <c r="LOJ22" s="142"/>
      <c r="LOK22" s="142"/>
      <c r="LOL22" s="142"/>
      <c r="LOM22" s="142"/>
      <c r="LON22" s="142"/>
      <c r="LOO22" s="142"/>
      <c r="LOP22" s="142"/>
      <c r="LOQ22" s="142"/>
      <c r="LOR22" s="142"/>
      <c r="LOS22" s="142"/>
      <c r="LOT22" s="142"/>
      <c r="LOU22" s="142"/>
      <c r="LOV22" s="142"/>
      <c r="LOW22" s="142"/>
      <c r="LOX22" s="142"/>
      <c r="LOY22" s="142"/>
      <c r="LOZ22" s="142"/>
      <c r="LPA22" s="142"/>
      <c r="LPB22" s="142"/>
      <c r="LPC22" s="142"/>
      <c r="LPD22" s="142"/>
      <c r="LPE22" s="142"/>
      <c r="LPF22" s="142"/>
      <c r="LPG22" s="142"/>
      <c r="LPH22" s="142"/>
      <c r="LPI22" s="142"/>
      <c r="LPJ22" s="142"/>
      <c r="LPK22" s="142"/>
      <c r="LPL22" s="142"/>
      <c r="LPM22" s="142"/>
      <c r="LPN22" s="142"/>
      <c r="LPO22" s="142"/>
      <c r="LPP22" s="142"/>
      <c r="LPQ22" s="142"/>
      <c r="LPR22" s="142"/>
      <c r="LPS22" s="142"/>
      <c r="LPT22" s="142"/>
      <c r="LPU22" s="142"/>
      <c r="LPV22" s="142"/>
      <c r="LPW22" s="142"/>
      <c r="LPX22" s="142"/>
      <c r="LPY22" s="142"/>
      <c r="LPZ22" s="142"/>
      <c r="LQA22" s="142"/>
      <c r="LQB22" s="142"/>
      <c r="LQC22" s="142"/>
      <c r="LQD22" s="142"/>
      <c r="LQE22" s="142"/>
      <c r="LQF22" s="142"/>
      <c r="LQG22" s="142"/>
      <c r="LQH22" s="142"/>
      <c r="LQI22" s="142"/>
      <c r="LQJ22" s="142"/>
      <c r="LQK22" s="142"/>
      <c r="LQL22" s="142"/>
      <c r="LQM22" s="142"/>
      <c r="LQN22" s="142"/>
      <c r="LQO22" s="142"/>
      <c r="LQP22" s="142"/>
      <c r="LQQ22" s="142"/>
      <c r="LQR22" s="142"/>
      <c r="LQS22" s="142"/>
      <c r="LQT22" s="142"/>
      <c r="LQU22" s="142"/>
      <c r="LQV22" s="142"/>
      <c r="LQW22" s="142"/>
      <c r="LQX22" s="142"/>
      <c r="LQY22" s="142"/>
      <c r="LQZ22" s="142"/>
      <c r="LRA22" s="142"/>
      <c r="LRB22" s="142"/>
      <c r="LRC22" s="142"/>
      <c r="LRD22" s="142"/>
      <c r="LRE22" s="142"/>
      <c r="LRF22" s="142"/>
      <c r="LRG22" s="142"/>
      <c r="LRH22" s="142"/>
      <c r="LRI22" s="142"/>
      <c r="LRJ22" s="142"/>
      <c r="LRK22" s="142"/>
      <c r="LRL22" s="142"/>
      <c r="LRM22" s="142"/>
      <c r="LRN22" s="142"/>
      <c r="LRO22" s="142"/>
      <c r="LRP22" s="142"/>
      <c r="LRQ22" s="142"/>
      <c r="LRR22" s="142"/>
      <c r="LRS22" s="142"/>
      <c r="LRT22" s="142"/>
      <c r="LRU22" s="142"/>
      <c r="LRV22" s="142"/>
      <c r="LRW22" s="142"/>
      <c r="LRX22" s="142"/>
      <c r="LRY22" s="142"/>
      <c r="LRZ22" s="142"/>
      <c r="LSA22" s="142"/>
      <c r="LSB22" s="142"/>
      <c r="LSC22" s="142"/>
      <c r="LSD22" s="142"/>
      <c r="LSE22" s="142"/>
      <c r="LSF22" s="142"/>
      <c r="LSG22" s="142"/>
      <c r="LSH22" s="142"/>
      <c r="LSI22" s="142"/>
      <c r="LSJ22" s="142"/>
      <c r="LSK22" s="142"/>
      <c r="LSL22" s="142"/>
      <c r="LSM22" s="142"/>
      <c r="LSN22" s="142"/>
      <c r="LSO22" s="142"/>
      <c r="LSP22" s="142"/>
      <c r="LSQ22" s="142"/>
      <c r="LSR22" s="142"/>
      <c r="LSS22" s="142"/>
      <c r="LST22" s="142"/>
      <c r="LSU22" s="142"/>
      <c r="LSV22" s="142"/>
      <c r="LSW22" s="142"/>
      <c r="LSX22" s="142"/>
      <c r="LSY22" s="142"/>
      <c r="LSZ22" s="142"/>
      <c r="LTA22" s="142"/>
      <c r="LTB22" s="142"/>
      <c r="LTC22" s="142"/>
      <c r="LTD22" s="142"/>
      <c r="LTE22" s="142"/>
      <c r="LTF22" s="142"/>
      <c r="LTG22" s="142"/>
      <c r="LTH22" s="142"/>
      <c r="LTI22" s="142"/>
      <c r="LTJ22" s="142"/>
      <c r="LTK22" s="142"/>
      <c r="LTL22" s="142"/>
      <c r="LTM22" s="142"/>
      <c r="LTN22" s="142"/>
      <c r="LTO22" s="142"/>
      <c r="LTP22" s="142"/>
      <c r="LTQ22" s="142"/>
      <c r="LTR22" s="142"/>
      <c r="LTS22" s="142"/>
      <c r="LTT22" s="142"/>
      <c r="LTU22" s="142"/>
      <c r="LTV22" s="142"/>
      <c r="LTW22" s="142"/>
      <c r="LTX22" s="142"/>
      <c r="LTY22" s="142"/>
      <c r="LTZ22" s="142"/>
      <c r="LUA22" s="142"/>
      <c r="LUB22" s="142"/>
      <c r="LUC22" s="142"/>
      <c r="LUD22" s="142"/>
      <c r="LUE22" s="142"/>
      <c r="LUF22" s="142"/>
      <c r="LUG22" s="142"/>
      <c r="LUH22" s="142"/>
      <c r="LUI22" s="142"/>
      <c r="LUJ22" s="142"/>
      <c r="LUK22" s="142"/>
      <c r="LUL22" s="142"/>
      <c r="LUM22" s="142"/>
      <c r="LUN22" s="142"/>
      <c r="LUO22" s="142"/>
      <c r="LUP22" s="142"/>
      <c r="LUQ22" s="142"/>
      <c r="LUR22" s="142"/>
      <c r="LUS22" s="142"/>
      <c r="LUT22" s="142"/>
      <c r="LUU22" s="142"/>
      <c r="LUV22" s="142"/>
      <c r="LUW22" s="142"/>
      <c r="LUX22" s="142"/>
      <c r="LUY22" s="142"/>
      <c r="LUZ22" s="142"/>
      <c r="LVA22" s="142"/>
      <c r="LVB22" s="142"/>
      <c r="LVC22" s="142"/>
      <c r="LVD22" s="142"/>
      <c r="LVE22" s="142"/>
      <c r="LVF22" s="142"/>
      <c r="LVG22" s="142"/>
      <c r="LVH22" s="142"/>
      <c r="LVI22" s="142"/>
      <c r="LVJ22" s="142"/>
      <c r="LVK22" s="142"/>
      <c r="LVL22" s="142"/>
      <c r="LVM22" s="142"/>
      <c r="LVN22" s="142"/>
      <c r="LVO22" s="142"/>
      <c r="LVP22" s="142"/>
      <c r="LVQ22" s="142"/>
      <c r="LVR22" s="142"/>
      <c r="LVS22" s="142"/>
      <c r="LVT22" s="142"/>
      <c r="LVU22" s="142"/>
      <c r="LVV22" s="142"/>
      <c r="LVW22" s="142"/>
      <c r="LVX22" s="142"/>
      <c r="LVY22" s="142"/>
      <c r="LVZ22" s="142"/>
      <c r="LWA22" s="142"/>
      <c r="LWB22" s="142"/>
      <c r="LWC22" s="142"/>
      <c r="LWD22" s="142"/>
      <c r="LWE22" s="142"/>
      <c r="LWF22" s="142"/>
      <c r="LWG22" s="142"/>
      <c r="LWH22" s="142"/>
      <c r="LWI22" s="142"/>
      <c r="LWJ22" s="142"/>
      <c r="LWK22" s="142"/>
      <c r="LWL22" s="142"/>
      <c r="LWM22" s="142"/>
      <c r="LWN22" s="142"/>
      <c r="LWO22" s="142"/>
      <c r="LWP22" s="142"/>
      <c r="LWQ22" s="142"/>
      <c r="LWR22" s="142"/>
      <c r="LWS22" s="142"/>
      <c r="LWT22" s="142"/>
      <c r="LWU22" s="142"/>
      <c r="LWV22" s="142"/>
      <c r="LWW22" s="142"/>
      <c r="LWX22" s="142"/>
      <c r="LWY22" s="142"/>
      <c r="LWZ22" s="142"/>
      <c r="LXA22" s="142"/>
      <c r="LXB22" s="142"/>
      <c r="LXC22" s="142"/>
      <c r="LXD22" s="142"/>
      <c r="LXE22" s="142"/>
      <c r="LXF22" s="142"/>
      <c r="LXG22" s="142"/>
      <c r="LXH22" s="142"/>
      <c r="LXI22" s="142"/>
      <c r="LXJ22" s="142"/>
      <c r="LXK22" s="142"/>
      <c r="LXL22" s="142"/>
      <c r="LXM22" s="142"/>
      <c r="LXN22" s="142"/>
      <c r="LXO22" s="142"/>
      <c r="LXP22" s="142"/>
      <c r="LXQ22" s="142"/>
      <c r="LXR22" s="142"/>
      <c r="LXS22" s="142"/>
      <c r="LXT22" s="142"/>
      <c r="LXU22" s="142"/>
      <c r="LXV22" s="142"/>
      <c r="LXW22" s="142"/>
      <c r="LXX22" s="142"/>
      <c r="LXY22" s="142"/>
      <c r="LXZ22" s="142"/>
      <c r="LYA22" s="142"/>
      <c r="LYB22" s="142"/>
      <c r="LYC22" s="142"/>
      <c r="LYD22" s="142"/>
      <c r="LYE22" s="142"/>
      <c r="LYF22" s="142"/>
      <c r="LYG22" s="142"/>
      <c r="LYH22" s="142"/>
      <c r="LYI22" s="142"/>
      <c r="LYJ22" s="142"/>
      <c r="LYK22" s="142"/>
      <c r="LYL22" s="142"/>
      <c r="LYM22" s="142"/>
      <c r="LYN22" s="142"/>
      <c r="LYO22" s="142"/>
      <c r="LYP22" s="142"/>
      <c r="LYQ22" s="142"/>
      <c r="LYR22" s="142"/>
      <c r="LYS22" s="142"/>
      <c r="LYT22" s="142"/>
      <c r="LYU22" s="142"/>
      <c r="LYV22" s="142"/>
      <c r="LYW22" s="142"/>
      <c r="LYX22" s="142"/>
      <c r="LYY22" s="142"/>
      <c r="LYZ22" s="142"/>
      <c r="LZA22" s="142"/>
      <c r="LZB22" s="142"/>
      <c r="LZC22" s="142"/>
      <c r="LZD22" s="142"/>
      <c r="LZE22" s="142"/>
      <c r="LZF22" s="142"/>
      <c r="LZG22" s="142"/>
      <c r="LZH22" s="142"/>
      <c r="LZI22" s="142"/>
      <c r="LZJ22" s="142"/>
      <c r="LZK22" s="142"/>
      <c r="LZL22" s="142"/>
      <c r="LZM22" s="142"/>
      <c r="LZN22" s="142"/>
      <c r="LZO22" s="142"/>
      <c r="LZP22" s="142"/>
      <c r="LZQ22" s="142"/>
      <c r="LZR22" s="142"/>
      <c r="LZS22" s="142"/>
      <c r="LZT22" s="142"/>
      <c r="LZU22" s="142"/>
      <c r="LZV22" s="142"/>
      <c r="LZW22" s="142"/>
      <c r="LZX22" s="142"/>
      <c r="LZY22" s="142"/>
      <c r="LZZ22" s="142"/>
      <c r="MAA22" s="142"/>
      <c r="MAB22" s="142"/>
      <c r="MAC22" s="142"/>
      <c r="MAD22" s="142"/>
      <c r="MAE22" s="142"/>
      <c r="MAF22" s="142"/>
      <c r="MAG22" s="142"/>
      <c r="MAH22" s="142"/>
      <c r="MAI22" s="142"/>
      <c r="MAJ22" s="142"/>
      <c r="MAK22" s="142"/>
      <c r="MAL22" s="142"/>
      <c r="MAM22" s="142"/>
      <c r="MAN22" s="142"/>
      <c r="MAO22" s="142"/>
      <c r="MAP22" s="142"/>
      <c r="MAQ22" s="142"/>
      <c r="MAR22" s="142"/>
      <c r="MAS22" s="142"/>
      <c r="MAT22" s="142"/>
      <c r="MAU22" s="142"/>
      <c r="MAV22" s="142"/>
      <c r="MAW22" s="142"/>
      <c r="MAX22" s="142"/>
      <c r="MAY22" s="142"/>
      <c r="MAZ22" s="142"/>
      <c r="MBA22" s="142"/>
      <c r="MBB22" s="142"/>
      <c r="MBC22" s="142"/>
      <c r="MBD22" s="142"/>
      <c r="MBE22" s="142"/>
      <c r="MBF22" s="142"/>
      <c r="MBG22" s="142"/>
      <c r="MBH22" s="142"/>
      <c r="MBI22" s="142"/>
      <c r="MBJ22" s="142"/>
      <c r="MBK22" s="142"/>
      <c r="MBL22" s="142"/>
      <c r="MBM22" s="142"/>
      <c r="MBN22" s="142"/>
      <c r="MBO22" s="142"/>
      <c r="MBP22" s="142"/>
      <c r="MBQ22" s="142"/>
      <c r="MBR22" s="142"/>
      <c r="MBS22" s="142"/>
      <c r="MBT22" s="142"/>
      <c r="MBU22" s="142"/>
      <c r="MBV22" s="142"/>
      <c r="MBW22" s="142"/>
      <c r="MBX22" s="142"/>
      <c r="MBY22" s="142"/>
      <c r="MBZ22" s="142"/>
      <c r="MCA22" s="142"/>
      <c r="MCB22" s="142"/>
      <c r="MCC22" s="142"/>
      <c r="MCD22" s="142"/>
      <c r="MCE22" s="142"/>
      <c r="MCF22" s="142"/>
      <c r="MCG22" s="142"/>
      <c r="MCH22" s="142"/>
      <c r="MCI22" s="142"/>
      <c r="MCJ22" s="142"/>
      <c r="MCK22" s="142"/>
      <c r="MCL22" s="142"/>
      <c r="MCM22" s="142"/>
      <c r="MCN22" s="142"/>
      <c r="MCO22" s="142"/>
      <c r="MCP22" s="142"/>
      <c r="MCQ22" s="142"/>
      <c r="MCR22" s="142"/>
      <c r="MCS22" s="142"/>
      <c r="MCT22" s="142"/>
      <c r="MCU22" s="142"/>
      <c r="MCV22" s="142"/>
      <c r="MCW22" s="142"/>
      <c r="MCX22" s="142"/>
      <c r="MCY22" s="142"/>
      <c r="MCZ22" s="142"/>
      <c r="MDA22" s="142"/>
      <c r="MDB22" s="142"/>
      <c r="MDC22" s="142"/>
      <c r="MDD22" s="142"/>
      <c r="MDE22" s="142"/>
      <c r="MDF22" s="142"/>
      <c r="MDG22" s="142"/>
      <c r="MDH22" s="142"/>
      <c r="MDI22" s="142"/>
      <c r="MDJ22" s="142"/>
      <c r="MDK22" s="142"/>
      <c r="MDL22" s="142"/>
      <c r="MDM22" s="142"/>
      <c r="MDN22" s="142"/>
      <c r="MDO22" s="142"/>
      <c r="MDP22" s="142"/>
      <c r="MDQ22" s="142"/>
      <c r="MDR22" s="142"/>
      <c r="MDS22" s="142"/>
      <c r="MDT22" s="142"/>
      <c r="MDU22" s="142"/>
      <c r="MDV22" s="142"/>
      <c r="MDW22" s="142"/>
      <c r="MDX22" s="142"/>
      <c r="MDY22" s="142"/>
      <c r="MDZ22" s="142"/>
      <c r="MEA22" s="142"/>
      <c r="MEB22" s="142"/>
      <c r="MEC22" s="142"/>
      <c r="MED22" s="142"/>
      <c r="MEE22" s="142"/>
      <c r="MEF22" s="142"/>
      <c r="MEG22" s="142"/>
      <c r="MEH22" s="142"/>
      <c r="MEI22" s="142"/>
      <c r="MEJ22" s="142"/>
      <c r="MEK22" s="142"/>
      <c r="MEL22" s="142"/>
      <c r="MEM22" s="142"/>
      <c r="MEN22" s="142"/>
      <c r="MEO22" s="142"/>
      <c r="MEP22" s="142"/>
      <c r="MEQ22" s="142"/>
      <c r="MER22" s="142"/>
      <c r="MES22" s="142"/>
      <c r="MET22" s="142"/>
      <c r="MEU22" s="142"/>
      <c r="MEV22" s="142"/>
      <c r="MEW22" s="142"/>
      <c r="MEX22" s="142"/>
      <c r="MEY22" s="142"/>
      <c r="MEZ22" s="142"/>
      <c r="MFA22" s="142"/>
      <c r="MFB22" s="142"/>
      <c r="MFC22" s="142"/>
      <c r="MFD22" s="142"/>
      <c r="MFE22" s="142"/>
      <c r="MFF22" s="142"/>
      <c r="MFG22" s="142"/>
      <c r="MFH22" s="142"/>
      <c r="MFI22" s="142"/>
      <c r="MFJ22" s="142"/>
      <c r="MFK22" s="142"/>
      <c r="MFL22" s="142"/>
      <c r="MFM22" s="142"/>
      <c r="MFN22" s="142"/>
      <c r="MFO22" s="142"/>
      <c r="MFP22" s="142"/>
      <c r="MFQ22" s="142"/>
      <c r="MFR22" s="142"/>
      <c r="MFS22" s="142"/>
      <c r="MFT22" s="142"/>
      <c r="MFU22" s="142"/>
      <c r="MFV22" s="142"/>
      <c r="MFW22" s="142"/>
      <c r="MFX22" s="142"/>
      <c r="MFY22" s="142"/>
      <c r="MFZ22" s="142"/>
      <c r="MGA22" s="142"/>
      <c r="MGB22" s="142"/>
      <c r="MGC22" s="142"/>
      <c r="MGD22" s="142"/>
      <c r="MGE22" s="142"/>
      <c r="MGF22" s="142"/>
      <c r="MGG22" s="142"/>
      <c r="MGH22" s="142"/>
      <c r="MGI22" s="142"/>
      <c r="MGJ22" s="142"/>
      <c r="MGK22" s="142"/>
      <c r="MGL22" s="142"/>
      <c r="MGM22" s="142"/>
      <c r="MGN22" s="142"/>
      <c r="MGO22" s="142"/>
      <c r="MGP22" s="142"/>
      <c r="MGQ22" s="142"/>
      <c r="MGR22" s="142"/>
      <c r="MGS22" s="142"/>
      <c r="MGT22" s="142"/>
      <c r="MGU22" s="142"/>
      <c r="MGV22" s="142"/>
      <c r="MGW22" s="142"/>
      <c r="MGX22" s="142"/>
      <c r="MGY22" s="142"/>
      <c r="MGZ22" s="142"/>
      <c r="MHA22" s="142"/>
      <c r="MHB22" s="142"/>
      <c r="MHC22" s="142"/>
      <c r="MHD22" s="142"/>
      <c r="MHE22" s="142"/>
      <c r="MHF22" s="142"/>
      <c r="MHG22" s="142"/>
      <c r="MHH22" s="142"/>
      <c r="MHI22" s="142"/>
      <c r="MHJ22" s="142"/>
      <c r="MHK22" s="142"/>
      <c r="MHL22" s="142"/>
      <c r="MHM22" s="142"/>
      <c r="MHN22" s="142"/>
      <c r="MHO22" s="142"/>
      <c r="MHP22" s="142"/>
      <c r="MHQ22" s="142"/>
      <c r="MHR22" s="142"/>
      <c r="MHS22" s="142"/>
      <c r="MHT22" s="142"/>
      <c r="MHU22" s="142"/>
      <c r="MHV22" s="142"/>
      <c r="MHW22" s="142"/>
      <c r="MHX22" s="142"/>
      <c r="MHY22" s="142"/>
      <c r="MHZ22" s="142"/>
      <c r="MIA22" s="142"/>
      <c r="MIB22" s="142"/>
      <c r="MIC22" s="142"/>
      <c r="MID22" s="142"/>
      <c r="MIE22" s="142"/>
      <c r="MIF22" s="142"/>
      <c r="MIG22" s="142"/>
      <c r="MIH22" s="142"/>
      <c r="MII22" s="142"/>
      <c r="MIJ22" s="142"/>
      <c r="MIK22" s="142"/>
      <c r="MIL22" s="142"/>
      <c r="MIM22" s="142"/>
      <c r="MIN22" s="142"/>
      <c r="MIO22" s="142"/>
      <c r="MIP22" s="142"/>
      <c r="MIQ22" s="142"/>
      <c r="MIR22" s="142"/>
      <c r="MIS22" s="142"/>
      <c r="MIT22" s="142"/>
      <c r="MIU22" s="142"/>
      <c r="MIV22" s="142"/>
      <c r="MIW22" s="142"/>
      <c r="MIX22" s="142"/>
      <c r="MIY22" s="142"/>
      <c r="MIZ22" s="142"/>
      <c r="MJA22" s="142"/>
      <c r="MJB22" s="142"/>
      <c r="MJC22" s="142"/>
      <c r="MJD22" s="142"/>
      <c r="MJE22" s="142"/>
      <c r="MJF22" s="142"/>
      <c r="MJG22" s="142"/>
      <c r="MJH22" s="142"/>
      <c r="MJI22" s="142"/>
      <c r="MJJ22" s="142"/>
      <c r="MJK22" s="142"/>
      <c r="MJL22" s="142"/>
      <c r="MJM22" s="142"/>
      <c r="MJN22" s="142"/>
      <c r="MJO22" s="142"/>
      <c r="MJP22" s="142"/>
      <c r="MJQ22" s="142"/>
      <c r="MJR22" s="142"/>
      <c r="MJS22" s="142"/>
      <c r="MJT22" s="142"/>
      <c r="MJU22" s="142"/>
      <c r="MJV22" s="142"/>
      <c r="MJW22" s="142"/>
      <c r="MJX22" s="142"/>
      <c r="MJY22" s="142"/>
      <c r="MJZ22" s="142"/>
      <c r="MKA22" s="142"/>
      <c r="MKB22" s="142"/>
      <c r="MKC22" s="142"/>
      <c r="MKD22" s="142"/>
      <c r="MKE22" s="142"/>
      <c r="MKF22" s="142"/>
      <c r="MKG22" s="142"/>
      <c r="MKH22" s="142"/>
      <c r="MKI22" s="142"/>
      <c r="MKJ22" s="142"/>
      <c r="MKK22" s="142"/>
      <c r="MKL22" s="142"/>
      <c r="MKM22" s="142"/>
      <c r="MKN22" s="142"/>
      <c r="MKO22" s="142"/>
      <c r="MKP22" s="142"/>
      <c r="MKQ22" s="142"/>
      <c r="MKR22" s="142"/>
      <c r="MKS22" s="142"/>
      <c r="MKT22" s="142"/>
      <c r="MKU22" s="142"/>
      <c r="MKV22" s="142"/>
      <c r="MKW22" s="142"/>
      <c r="MKX22" s="142"/>
      <c r="MKY22" s="142"/>
      <c r="MKZ22" s="142"/>
      <c r="MLA22" s="142"/>
      <c r="MLB22" s="142"/>
      <c r="MLC22" s="142"/>
      <c r="MLD22" s="142"/>
      <c r="MLE22" s="142"/>
      <c r="MLF22" s="142"/>
      <c r="MLG22" s="142"/>
      <c r="MLH22" s="142"/>
      <c r="MLI22" s="142"/>
      <c r="MLJ22" s="142"/>
      <c r="MLK22" s="142"/>
      <c r="MLL22" s="142"/>
      <c r="MLM22" s="142"/>
      <c r="MLN22" s="142"/>
      <c r="MLO22" s="142"/>
      <c r="MLP22" s="142"/>
      <c r="MLQ22" s="142"/>
      <c r="MLR22" s="142"/>
      <c r="MLS22" s="142"/>
      <c r="MLT22" s="142"/>
      <c r="MLU22" s="142"/>
      <c r="MLV22" s="142"/>
      <c r="MLW22" s="142"/>
      <c r="MLX22" s="142"/>
      <c r="MLY22" s="142"/>
      <c r="MLZ22" s="142"/>
      <c r="MMA22" s="142"/>
      <c r="MMB22" s="142"/>
      <c r="MMC22" s="142"/>
      <c r="MMD22" s="142"/>
      <c r="MME22" s="142"/>
      <c r="MMF22" s="142"/>
      <c r="MMG22" s="142"/>
      <c r="MMH22" s="142"/>
      <c r="MMI22" s="142"/>
      <c r="MMJ22" s="142"/>
      <c r="MMK22" s="142"/>
      <c r="MML22" s="142"/>
      <c r="MMM22" s="142"/>
      <c r="MMN22" s="142"/>
      <c r="MMO22" s="142"/>
      <c r="MMP22" s="142"/>
      <c r="MMQ22" s="142"/>
      <c r="MMR22" s="142"/>
      <c r="MMS22" s="142"/>
      <c r="MMT22" s="142"/>
      <c r="MMU22" s="142"/>
      <c r="MMV22" s="142"/>
      <c r="MMW22" s="142"/>
      <c r="MMX22" s="142"/>
      <c r="MMY22" s="142"/>
      <c r="MMZ22" s="142"/>
      <c r="MNA22" s="142"/>
      <c r="MNB22" s="142"/>
      <c r="MNC22" s="142"/>
      <c r="MND22" s="142"/>
      <c r="MNE22" s="142"/>
      <c r="MNF22" s="142"/>
      <c r="MNG22" s="142"/>
      <c r="MNH22" s="142"/>
      <c r="MNI22" s="142"/>
      <c r="MNJ22" s="142"/>
      <c r="MNK22" s="142"/>
      <c r="MNL22" s="142"/>
      <c r="MNM22" s="142"/>
      <c r="MNN22" s="142"/>
      <c r="MNO22" s="142"/>
      <c r="MNP22" s="142"/>
      <c r="MNQ22" s="142"/>
      <c r="MNR22" s="142"/>
      <c r="MNS22" s="142"/>
      <c r="MNT22" s="142"/>
      <c r="MNU22" s="142"/>
      <c r="MNV22" s="142"/>
      <c r="MNW22" s="142"/>
      <c r="MNX22" s="142"/>
      <c r="MNY22" s="142"/>
      <c r="MNZ22" s="142"/>
      <c r="MOA22" s="142"/>
      <c r="MOB22" s="142"/>
      <c r="MOC22" s="142"/>
      <c r="MOD22" s="142"/>
      <c r="MOE22" s="142"/>
      <c r="MOF22" s="142"/>
      <c r="MOG22" s="142"/>
      <c r="MOH22" s="142"/>
      <c r="MOI22" s="142"/>
      <c r="MOJ22" s="142"/>
      <c r="MOK22" s="142"/>
      <c r="MOL22" s="142"/>
      <c r="MOM22" s="142"/>
      <c r="MON22" s="142"/>
      <c r="MOO22" s="142"/>
      <c r="MOP22" s="142"/>
      <c r="MOQ22" s="142"/>
      <c r="MOR22" s="142"/>
      <c r="MOS22" s="142"/>
      <c r="MOT22" s="142"/>
      <c r="MOU22" s="142"/>
      <c r="MOV22" s="142"/>
      <c r="MOW22" s="142"/>
      <c r="MOX22" s="142"/>
      <c r="MOY22" s="142"/>
      <c r="MOZ22" s="142"/>
      <c r="MPA22" s="142"/>
      <c r="MPB22" s="142"/>
      <c r="MPC22" s="142"/>
      <c r="MPD22" s="142"/>
      <c r="MPE22" s="142"/>
      <c r="MPF22" s="142"/>
      <c r="MPG22" s="142"/>
      <c r="MPH22" s="142"/>
      <c r="MPI22" s="142"/>
      <c r="MPJ22" s="142"/>
      <c r="MPK22" s="142"/>
      <c r="MPL22" s="142"/>
      <c r="MPM22" s="142"/>
      <c r="MPN22" s="142"/>
      <c r="MPO22" s="142"/>
      <c r="MPP22" s="142"/>
      <c r="MPQ22" s="142"/>
      <c r="MPR22" s="142"/>
      <c r="MPS22" s="142"/>
      <c r="MPT22" s="142"/>
      <c r="MPU22" s="142"/>
      <c r="MPV22" s="142"/>
      <c r="MPW22" s="142"/>
      <c r="MPX22" s="142"/>
      <c r="MPY22" s="142"/>
      <c r="MPZ22" s="142"/>
      <c r="MQA22" s="142"/>
      <c r="MQB22" s="142"/>
      <c r="MQC22" s="142"/>
      <c r="MQD22" s="142"/>
      <c r="MQE22" s="142"/>
      <c r="MQF22" s="142"/>
      <c r="MQG22" s="142"/>
      <c r="MQH22" s="142"/>
      <c r="MQI22" s="142"/>
      <c r="MQJ22" s="142"/>
      <c r="MQK22" s="142"/>
      <c r="MQL22" s="142"/>
      <c r="MQM22" s="142"/>
      <c r="MQN22" s="142"/>
      <c r="MQO22" s="142"/>
      <c r="MQP22" s="142"/>
      <c r="MQQ22" s="142"/>
      <c r="MQR22" s="142"/>
      <c r="MQS22" s="142"/>
      <c r="MQT22" s="142"/>
      <c r="MQU22" s="142"/>
      <c r="MQV22" s="142"/>
      <c r="MQW22" s="142"/>
      <c r="MQX22" s="142"/>
      <c r="MQY22" s="142"/>
      <c r="MQZ22" s="142"/>
      <c r="MRA22" s="142"/>
      <c r="MRB22" s="142"/>
      <c r="MRC22" s="142"/>
      <c r="MRD22" s="142"/>
      <c r="MRE22" s="142"/>
      <c r="MRF22" s="142"/>
      <c r="MRG22" s="142"/>
      <c r="MRH22" s="142"/>
      <c r="MRI22" s="142"/>
      <c r="MRJ22" s="142"/>
      <c r="MRK22" s="142"/>
      <c r="MRL22" s="142"/>
      <c r="MRM22" s="142"/>
      <c r="MRN22" s="142"/>
      <c r="MRO22" s="142"/>
      <c r="MRP22" s="142"/>
      <c r="MRQ22" s="142"/>
      <c r="MRR22" s="142"/>
      <c r="MRS22" s="142"/>
      <c r="MRT22" s="142"/>
      <c r="MRU22" s="142"/>
      <c r="MRV22" s="142"/>
      <c r="MRW22" s="142"/>
      <c r="MRX22" s="142"/>
      <c r="MRY22" s="142"/>
      <c r="MRZ22" s="142"/>
      <c r="MSA22" s="142"/>
      <c r="MSB22" s="142"/>
      <c r="MSC22" s="142"/>
      <c r="MSD22" s="142"/>
      <c r="MSE22" s="142"/>
      <c r="MSF22" s="142"/>
      <c r="MSG22" s="142"/>
      <c r="MSH22" s="142"/>
      <c r="MSI22" s="142"/>
      <c r="MSJ22" s="142"/>
      <c r="MSK22" s="142"/>
      <c r="MSL22" s="142"/>
      <c r="MSM22" s="142"/>
      <c r="MSN22" s="142"/>
      <c r="MSO22" s="142"/>
      <c r="MSP22" s="142"/>
      <c r="MSQ22" s="142"/>
      <c r="MSR22" s="142"/>
      <c r="MSS22" s="142"/>
      <c r="MST22" s="142"/>
      <c r="MSU22" s="142"/>
      <c r="MSV22" s="142"/>
      <c r="MSW22" s="142"/>
      <c r="MSX22" s="142"/>
      <c r="MSY22" s="142"/>
      <c r="MSZ22" s="142"/>
      <c r="MTA22" s="142"/>
      <c r="MTB22" s="142"/>
      <c r="MTC22" s="142"/>
      <c r="MTD22" s="142"/>
      <c r="MTE22" s="142"/>
      <c r="MTF22" s="142"/>
      <c r="MTG22" s="142"/>
      <c r="MTH22" s="142"/>
      <c r="MTI22" s="142"/>
      <c r="MTJ22" s="142"/>
      <c r="MTK22" s="142"/>
      <c r="MTL22" s="142"/>
      <c r="MTM22" s="142"/>
      <c r="MTN22" s="142"/>
      <c r="MTO22" s="142"/>
      <c r="MTP22" s="142"/>
      <c r="MTQ22" s="142"/>
      <c r="MTR22" s="142"/>
      <c r="MTS22" s="142"/>
      <c r="MTT22" s="142"/>
      <c r="MTU22" s="142"/>
      <c r="MTV22" s="142"/>
      <c r="MTW22" s="142"/>
      <c r="MTX22" s="142"/>
      <c r="MTY22" s="142"/>
      <c r="MTZ22" s="142"/>
      <c r="MUA22" s="142"/>
      <c r="MUB22" s="142"/>
      <c r="MUC22" s="142"/>
      <c r="MUD22" s="142"/>
      <c r="MUE22" s="142"/>
      <c r="MUF22" s="142"/>
      <c r="MUG22" s="142"/>
      <c r="MUH22" s="142"/>
      <c r="MUI22" s="142"/>
      <c r="MUJ22" s="142"/>
      <c r="MUK22" s="142"/>
      <c r="MUL22" s="142"/>
      <c r="MUM22" s="142"/>
      <c r="MUN22" s="142"/>
      <c r="MUO22" s="142"/>
      <c r="MUP22" s="142"/>
      <c r="MUQ22" s="142"/>
      <c r="MUR22" s="142"/>
      <c r="MUS22" s="142"/>
      <c r="MUT22" s="142"/>
      <c r="MUU22" s="142"/>
      <c r="MUV22" s="142"/>
      <c r="MUW22" s="142"/>
      <c r="MUX22" s="142"/>
      <c r="MUY22" s="142"/>
      <c r="MUZ22" s="142"/>
      <c r="MVA22" s="142"/>
      <c r="MVB22" s="142"/>
      <c r="MVC22" s="142"/>
      <c r="MVD22" s="142"/>
      <c r="MVE22" s="142"/>
      <c r="MVF22" s="142"/>
      <c r="MVG22" s="142"/>
      <c r="MVH22" s="142"/>
      <c r="MVI22" s="142"/>
      <c r="MVJ22" s="142"/>
      <c r="MVK22" s="142"/>
      <c r="MVL22" s="142"/>
      <c r="MVM22" s="142"/>
      <c r="MVN22" s="142"/>
      <c r="MVO22" s="142"/>
      <c r="MVP22" s="142"/>
      <c r="MVQ22" s="142"/>
      <c r="MVR22" s="142"/>
      <c r="MVS22" s="142"/>
      <c r="MVT22" s="142"/>
      <c r="MVU22" s="142"/>
      <c r="MVV22" s="142"/>
      <c r="MVW22" s="142"/>
      <c r="MVX22" s="142"/>
      <c r="MVY22" s="142"/>
      <c r="MVZ22" s="142"/>
      <c r="MWA22" s="142"/>
      <c r="MWB22" s="142"/>
      <c r="MWC22" s="142"/>
      <c r="MWD22" s="142"/>
      <c r="MWE22" s="142"/>
      <c r="MWF22" s="142"/>
      <c r="MWG22" s="142"/>
      <c r="MWH22" s="142"/>
      <c r="MWI22" s="142"/>
      <c r="MWJ22" s="142"/>
      <c r="MWK22" s="142"/>
      <c r="MWL22" s="142"/>
      <c r="MWM22" s="142"/>
      <c r="MWN22" s="142"/>
      <c r="MWO22" s="142"/>
      <c r="MWP22" s="142"/>
      <c r="MWQ22" s="142"/>
      <c r="MWR22" s="142"/>
      <c r="MWS22" s="142"/>
      <c r="MWT22" s="142"/>
      <c r="MWU22" s="142"/>
      <c r="MWV22" s="142"/>
      <c r="MWW22" s="142"/>
      <c r="MWX22" s="142"/>
      <c r="MWY22" s="142"/>
      <c r="MWZ22" s="142"/>
      <c r="MXA22" s="142"/>
      <c r="MXB22" s="142"/>
      <c r="MXC22" s="142"/>
      <c r="MXD22" s="142"/>
      <c r="MXE22" s="142"/>
      <c r="MXF22" s="142"/>
      <c r="MXG22" s="142"/>
      <c r="MXH22" s="142"/>
      <c r="MXI22" s="142"/>
      <c r="MXJ22" s="142"/>
      <c r="MXK22" s="142"/>
      <c r="MXL22" s="142"/>
      <c r="MXM22" s="142"/>
      <c r="MXN22" s="142"/>
      <c r="MXO22" s="142"/>
      <c r="MXP22" s="142"/>
      <c r="MXQ22" s="142"/>
      <c r="MXR22" s="142"/>
      <c r="MXS22" s="142"/>
      <c r="MXT22" s="142"/>
      <c r="MXU22" s="142"/>
      <c r="MXV22" s="142"/>
      <c r="MXW22" s="142"/>
      <c r="MXX22" s="142"/>
      <c r="MXY22" s="142"/>
      <c r="MXZ22" s="142"/>
      <c r="MYA22" s="142"/>
      <c r="MYB22" s="142"/>
      <c r="MYC22" s="142"/>
      <c r="MYD22" s="142"/>
      <c r="MYE22" s="142"/>
      <c r="MYF22" s="142"/>
      <c r="MYG22" s="142"/>
      <c r="MYH22" s="142"/>
      <c r="MYI22" s="142"/>
      <c r="MYJ22" s="142"/>
      <c r="MYK22" s="142"/>
      <c r="MYL22" s="142"/>
      <c r="MYM22" s="142"/>
      <c r="MYN22" s="142"/>
      <c r="MYO22" s="142"/>
      <c r="MYP22" s="142"/>
      <c r="MYQ22" s="142"/>
      <c r="MYR22" s="142"/>
      <c r="MYS22" s="142"/>
      <c r="MYT22" s="142"/>
      <c r="MYU22" s="142"/>
      <c r="MYV22" s="142"/>
      <c r="MYW22" s="142"/>
      <c r="MYX22" s="142"/>
      <c r="MYY22" s="142"/>
      <c r="MYZ22" s="142"/>
      <c r="MZA22" s="142"/>
      <c r="MZB22" s="142"/>
      <c r="MZC22" s="142"/>
      <c r="MZD22" s="142"/>
      <c r="MZE22" s="142"/>
      <c r="MZF22" s="142"/>
      <c r="MZG22" s="142"/>
      <c r="MZH22" s="142"/>
      <c r="MZI22" s="142"/>
      <c r="MZJ22" s="142"/>
      <c r="MZK22" s="142"/>
      <c r="MZL22" s="142"/>
      <c r="MZM22" s="142"/>
      <c r="MZN22" s="142"/>
      <c r="MZO22" s="142"/>
      <c r="MZP22" s="142"/>
      <c r="MZQ22" s="142"/>
      <c r="MZR22" s="142"/>
      <c r="MZS22" s="142"/>
      <c r="MZT22" s="142"/>
      <c r="MZU22" s="142"/>
      <c r="MZV22" s="142"/>
      <c r="MZW22" s="142"/>
      <c r="MZX22" s="142"/>
      <c r="MZY22" s="142"/>
      <c r="MZZ22" s="142"/>
      <c r="NAA22" s="142"/>
      <c r="NAB22" s="142"/>
      <c r="NAC22" s="142"/>
      <c r="NAD22" s="142"/>
      <c r="NAE22" s="142"/>
      <c r="NAF22" s="142"/>
      <c r="NAG22" s="142"/>
      <c r="NAH22" s="142"/>
      <c r="NAI22" s="142"/>
      <c r="NAJ22" s="142"/>
      <c r="NAK22" s="142"/>
      <c r="NAL22" s="142"/>
      <c r="NAM22" s="142"/>
      <c r="NAN22" s="142"/>
      <c r="NAO22" s="142"/>
      <c r="NAP22" s="142"/>
      <c r="NAQ22" s="142"/>
      <c r="NAR22" s="142"/>
      <c r="NAS22" s="142"/>
      <c r="NAT22" s="142"/>
      <c r="NAU22" s="142"/>
      <c r="NAV22" s="142"/>
      <c r="NAW22" s="142"/>
      <c r="NAX22" s="142"/>
      <c r="NAY22" s="142"/>
      <c r="NAZ22" s="142"/>
      <c r="NBA22" s="142"/>
      <c r="NBB22" s="142"/>
      <c r="NBC22" s="142"/>
      <c r="NBD22" s="142"/>
      <c r="NBE22" s="142"/>
      <c r="NBF22" s="142"/>
      <c r="NBG22" s="142"/>
      <c r="NBH22" s="142"/>
      <c r="NBI22" s="142"/>
      <c r="NBJ22" s="142"/>
      <c r="NBK22" s="142"/>
      <c r="NBL22" s="142"/>
      <c r="NBM22" s="142"/>
      <c r="NBN22" s="142"/>
      <c r="NBO22" s="142"/>
      <c r="NBP22" s="142"/>
      <c r="NBQ22" s="142"/>
      <c r="NBR22" s="142"/>
      <c r="NBS22" s="142"/>
      <c r="NBT22" s="142"/>
      <c r="NBU22" s="142"/>
      <c r="NBV22" s="142"/>
      <c r="NBW22" s="142"/>
      <c r="NBX22" s="142"/>
      <c r="NBY22" s="142"/>
      <c r="NBZ22" s="142"/>
      <c r="NCA22" s="142"/>
      <c r="NCB22" s="142"/>
      <c r="NCC22" s="142"/>
      <c r="NCD22" s="142"/>
      <c r="NCE22" s="142"/>
      <c r="NCF22" s="142"/>
      <c r="NCG22" s="142"/>
      <c r="NCH22" s="142"/>
      <c r="NCI22" s="142"/>
      <c r="NCJ22" s="142"/>
      <c r="NCK22" s="142"/>
      <c r="NCL22" s="142"/>
      <c r="NCM22" s="142"/>
      <c r="NCN22" s="142"/>
      <c r="NCO22" s="142"/>
      <c r="NCP22" s="142"/>
      <c r="NCQ22" s="142"/>
      <c r="NCR22" s="142"/>
      <c r="NCS22" s="142"/>
      <c r="NCT22" s="142"/>
      <c r="NCU22" s="142"/>
      <c r="NCV22" s="142"/>
      <c r="NCW22" s="142"/>
      <c r="NCX22" s="142"/>
      <c r="NCY22" s="142"/>
      <c r="NCZ22" s="142"/>
      <c r="NDA22" s="142"/>
      <c r="NDB22" s="142"/>
      <c r="NDC22" s="142"/>
      <c r="NDD22" s="142"/>
      <c r="NDE22" s="142"/>
      <c r="NDF22" s="142"/>
      <c r="NDG22" s="142"/>
      <c r="NDH22" s="142"/>
      <c r="NDI22" s="142"/>
      <c r="NDJ22" s="142"/>
      <c r="NDK22" s="142"/>
      <c r="NDL22" s="142"/>
      <c r="NDM22" s="142"/>
      <c r="NDN22" s="142"/>
      <c r="NDO22" s="142"/>
      <c r="NDP22" s="142"/>
      <c r="NDQ22" s="142"/>
      <c r="NDR22" s="142"/>
      <c r="NDS22" s="142"/>
      <c r="NDT22" s="142"/>
      <c r="NDU22" s="142"/>
      <c r="NDV22" s="142"/>
      <c r="NDW22" s="142"/>
      <c r="NDX22" s="142"/>
      <c r="NDY22" s="142"/>
      <c r="NDZ22" s="142"/>
      <c r="NEA22" s="142"/>
      <c r="NEB22" s="142"/>
      <c r="NEC22" s="142"/>
      <c r="NED22" s="142"/>
      <c r="NEE22" s="142"/>
      <c r="NEF22" s="142"/>
      <c r="NEG22" s="142"/>
      <c r="NEH22" s="142"/>
      <c r="NEI22" s="142"/>
      <c r="NEJ22" s="142"/>
      <c r="NEK22" s="142"/>
      <c r="NEL22" s="142"/>
      <c r="NEM22" s="142"/>
      <c r="NEN22" s="142"/>
      <c r="NEO22" s="142"/>
      <c r="NEP22" s="142"/>
      <c r="NEQ22" s="142"/>
      <c r="NER22" s="142"/>
      <c r="NES22" s="142"/>
      <c r="NET22" s="142"/>
      <c r="NEU22" s="142"/>
      <c r="NEV22" s="142"/>
      <c r="NEW22" s="142"/>
      <c r="NEX22" s="142"/>
      <c r="NEY22" s="142"/>
      <c r="NEZ22" s="142"/>
      <c r="NFA22" s="142"/>
      <c r="NFB22" s="142"/>
      <c r="NFC22" s="142"/>
      <c r="NFD22" s="142"/>
      <c r="NFE22" s="142"/>
      <c r="NFF22" s="142"/>
      <c r="NFG22" s="142"/>
      <c r="NFH22" s="142"/>
      <c r="NFI22" s="142"/>
      <c r="NFJ22" s="142"/>
      <c r="NFK22" s="142"/>
      <c r="NFL22" s="142"/>
      <c r="NFM22" s="142"/>
      <c r="NFN22" s="142"/>
      <c r="NFO22" s="142"/>
      <c r="NFP22" s="142"/>
      <c r="NFQ22" s="142"/>
      <c r="NFR22" s="142"/>
      <c r="NFS22" s="142"/>
      <c r="NFT22" s="142"/>
      <c r="NFU22" s="142"/>
      <c r="NFV22" s="142"/>
      <c r="NFW22" s="142"/>
      <c r="NFX22" s="142"/>
      <c r="NFY22" s="142"/>
      <c r="NFZ22" s="142"/>
      <c r="NGA22" s="142"/>
      <c r="NGB22" s="142"/>
      <c r="NGC22" s="142"/>
      <c r="NGD22" s="142"/>
      <c r="NGE22" s="142"/>
      <c r="NGF22" s="142"/>
      <c r="NGG22" s="142"/>
      <c r="NGH22" s="142"/>
      <c r="NGI22" s="142"/>
      <c r="NGJ22" s="142"/>
      <c r="NGK22" s="142"/>
      <c r="NGL22" s="142"/>
      <c r="NGM22" s="142"/>
      <c r="NGN22" s="142"/>
      <c r="NGO22" s="142"/>
      <c r="NGP22" s="142"/>
      <c r="NGQ22" s="142"/>
      <c r="NGR22" s="142"/>
      <c r="NGS22" s="142"/>
      <c r="NGT22" s="142"/>
      <c r="NGU22" s="142"/>
      <c r="NGV22" s="142"/>
      <c r="NGW22" s="142"/>
      <c r="NGX22" s="142"/>
      <c r="NGY22" s="142"/>
      <c r="NGZ22" s="142"/>
      <c r="NHA22" s="142"/>
      <c r="NHB22" s="142"/>
      <c r="NHC22" s="142"/>
      <c r="NHD22" s="142"/>
      <c r="NHE22" s="142"/>
      <c r="NHF22" s="142"/>
      <c r="NHG22" s="142"/>
      <c r="NHH22" s="142"/>
      <c r="NHI22" s="142"/>
      <c r="NHJ22" s="142"/>
      <c r="NHK22" s="142"/>
      <c r="NHL22" s="142"/>
      <c r="NHM22" s="142"/>
      <c r="NHN22" s="142"/>
      <c r="NHO22" s="142"/>
      <c r="NHP22" s="142"/>
      <c r="NHQ22" s="142"/>
      <c r="NHR22" s="142"/>
      <c r="NHS22" s="142"/>
      <c r="NHT22" s="142"/>
      <c r="NHU22" s="142"/>
      <c r="NHV22" s="142"/>
      <c r="NHW22" s="142"/>
      <c r="NHX22" s="142"/>
      <c r="NHY22" s="142"/>
      <c r="NHZ22" s="142"/>
      <c r="NIA22" s="142"/>
      <c r="NIB22" s="142"/>
      <c r="NIC22" s="142"/>
      <c r="NID22" s="142"/>
      <c r="NIE22" s="142"/>
      <c r="NIF22" s="142"/>
      <c r="NIG22" s="142"/>
      <c r="NIH22" s="142"/>
      <c r="NII22" s="142"/>
      <c r="NIJ22" s="142"/>
      <c r="NIK22" s="142"/>
      <c r="NIL22" s="142"/>
      <c r="NIM22" s="142"/>
      <c r="NIN22" s="142"/>
      <c r="NIO22" s="142"/>
      <c r="NIP22" s="142"/>
      <c r="NIQ22" s="142"/>
      <c r="NIR22" s="142"/>
      <c r="NIS22" s="142"/>
      <c r="NIT22" s="142"/>
      <c r="NIU22" s="142"/>
      <c r="NIV22" s="142"/>
      <c r="NIW22" s="142"/>
      <c r="NIX22" s="142"/>
      <c r="NIY22" s="142"/>
      <c r="NIZ22" s="142"/>
      <c r="NJA22" s="142"/>
      <c r="NJB22" s="142"/>
      <c r="NJC22" s="142"/>
      <c r="NJD22" s="142"/>
      <c r="NJE22" s="142"/>
      <c r="NJF22" s="142"/>
      <c r="NJG22" s="142"/>
      <c r="NJH22" s="142"/>
      <c r="NJI22" s="142"/>
      <c r="NJJ22" s="142"/>
      <c r="NJK22" s="142"/>
      <c r="NJL22" s="142"/>
      <c r="NJM22" s="142"/>
      <c r="NJN22" s="142"/>
      <c r="NJO22" s="142"/>
      <c r="NJP22" s="142"/>
      <c r="NJQ22" s="142"/>
      <c r="NJR22" s="142"/>
      <c r="NJS22" s="142"/>
      <c r="NJT22" s="142"/>
      <c r="NJU22" s="142"/>
      <c r="NJV22" s="142"/>
      <c r="NJW22" s="142"/>
      <c r="NJX22" s="142"/>
      <c r="NJY22" s="142"/>
      <c r="NJZ22" s="142"/>
      <c r="NKA22" s="142"/>
      <c r="NKB22" s="142"/>
      <c r="NKC22" s="142"/>
      <c r="NKD22" s="142"/>
      <c r="NKE22" s="142"/>
      <c r="NKF22" s="142"/>
      <c r="NKG22" s="142"/>
      <c r="NKH22" s="142"/>
      <c r="NKI22" s="142"/>
      <c r="NKJ22" s="142"/>
      <c r="NKK22" s="142"/>
      <c r="NKL22" s="142"/>
      <c r="NKM22" s="142"/>
      <c r="NKN22" s="142"/>
      <c r="NKO22" s="142"/>
      <c r="NKP22" s="142"/>
      <c r="NKQ22" s="142"/>
      <c r="NKR22" s="142"/>
      <c r="NKS22" s="142"/>
      <c r="NKT22" s="142"/>
      <c r="NKU22" s="142"/>
      <c r="NKV22" s="142"/>
      <c r="NKW22" s="142"/>
      <c r="NKX22" s="142"/>
      <c r="NKY22" s="142"/>
      <c r="NKZ22" s="142"/>
      <c r="NLA22" s="142"/>
      <c r="NLB22" s="142"/>
      <c r="NLC22" s="142"/>
      <c r="NLD22" s="142"/>
      <c r="NLE22" s="142"/>
      <c r="NLF22" s="142"/>
      <c r="NLG22" s="142"/>
      <c r="NLH22" s="142"/>
      <c r="NLI22" s="142"/>
      <c r="NLJ22" s="142"/>
      <c r="NLK22" s="142"/>
      <c r="NLL22" s="142"/>
      <c r="NLM22" s="142"/>
      <c r="NLN22" s="142"/>
      <c r="NLO22" s="142"/>
      <c r="NLP22" s="142"/>
      <c r="NLQ22" s="142"/>
      <c r="NLR22" s="142"/>
      <c r="NLS22" s="142"/>
      <c r="NLT22" s="142"/>
      <c r="NLU22" s="142"/>
      <c r="NLV22" s="142"/>
      <c r="NLW22" s="142"/>
      <c r="NLX22" s="142"/>
      <c r="NLY22" s="142"/>
      <c r="NLZ22" s="142"/>
      <c r="NMA22" s="142"/>
      <c r="NMB22" s="142"/>
      <c r="NMC22" s="142"/>
      <c r="NMD22" s="142"/>
      <c r="NME22" s="142"/>
      <c r="NMF22" s="142"/>
      <c r="NMG22" s="142"/>
      <c r="NMH22" s="142"/>
      <c r="NMI22" s="142"/>
      <c r="NMJ22" s="142"/>
      <c r="NMK22" s="142"/>
      <c r="NML22" s="142"/>
      <c r="NMM22" s="142"/>
      <c r="NMN22" s="142"/>
      <c r="NMO22" s="142"/>
      <c r="NMP22" s="142"/>
      <c r="NMQ22" s="142"/>
      <c r="NMR22" s="142"/>
      <c r="NMS22" s="142"/>
      <c r="NMT22" s="142"/>
      <c r="NMU22" s="142"/>
      <c r="NMV22" s="142"/>
      <c r="NMW22" s="142"/>
      <c r="NMX22" s="142"/>
      <c r="NMY22" s="142"/>
      <c r="NMZ22" s="142"/>
      <c r="NNA22" s="142"/>
      <c r="NNB22" s="142"/>
      <c r="NNC22" s="142"/>
      <c r="NND22" s="142"/>
      <c r="NNE22" s="142"/>
      <c r="NNF22" s="142"/>
      <c r="NNG22" s="142"/>
      <c r="NNH22" s="142"/>
      <c r="NNI22" s="142"/>
      <c r="NNJ22" s="142"/>
      <c r="NNK22" s="142"/>
      <c r="NNL22" s="142"/>
      <c r="NNM22" s="142"/>
      <c r="NNN22" s="142"/>
      <c r="NNO22" s="142"/>
      <c r="NNP22" s="142"/>
      <c r="NNQ22" s="142"/>
      <c r="NNR22" s="142"/>
      <c r="NNS22" s="142"/>
      <c r="NNT22" s="142"/>
      <c r="NNU22" s="142"/>
      <c r="NNV22" s="142"/>
      <c r="NNW22" s="142"/>
      <c r="NNX22" s="142"/>
      <c r="NNY22" s="142"/>
      <c r="NNZ22" s="142"/>
      <c r="NOA22" s="142"/>
      <c r="NOB22" s="142"/>
      <c r="NOC22" s="142"/>
      <c r="NOD22" s="142"/>
      <c r="NOE22" s="142"/>
      <c r="NOF22" s="142"/>
      <c r="NOG22" s="142"/>
      <c r="NOH22" s="142"/>
      <c r="NOI22" s="142"/>
      <c r="NOJ22" s="142"/>
      <c r="NOK22" s="142"/>
      <c r="NOL22" s="142"/>
      <c r="NOM22" s="142"/>
      <c r="NON22" s="142"/>
      <c r="NOO22" s="142"/>
      <c r="NOP22" s="142"/>
      <c r="NOQ22" s="142"/>
      <c r="NOR22" s="142"/>
      <c r="NOS22" s="142"/>
      <c r="NOT22" s="142"/>
      <c r="NOU22" s="142"/>
      <c r="NOV22" s="142"/>
      <c r="NOW22" s="142"/>
      <c r="NOX22" s="142"/>
      <c r="NOY22" s="142"/>
      <c r="NOZ22" s="142"/>
      <c r="NPA22" s="142"/>
      <c r="NPB22" s="142"/>
      <c r="NPC22" s="142"/>
      <c r="NPD22" s="142"/>
      <c r="NPE22" s="142"/>
      <c r="NPF22" s="142"/>
      <c r="NPG22" s="142"/>
      <c r="NPH22" s="142"/>
      <c r="NPI22" s="142"/>
      <c r="NPJ22" s="142"/>
      <c r="NPK22" s="142"/>
      <c r="NPL22" s="142"/>
      <c r="NPM22" s="142"/>
      <c r="NPN22" s="142"/>
      <c r="NPO22" s="142"/>
      <c r="NPP22" s="142"/>
      <c r="NPQ22" s="142"/>
      <c r="NPR22" s="142"/>
      <c r="NPS22" s="142"/>
      <c r="NPT22" s="142"/>
      <c r="NPU22" s="142"/>
      <c r="NPV22" s="142"/>
      <c r="NPW22" s="142"/>
      <c r="NPX22" s="142"/>
      <c r="NPY22" s="142"/>
      <c r="NPZ22" s="142"/>
      <c r="NQA22" s="142"/>
      <c r="NQB22" s="142"/>
      <c r="NQC22" s="142"/>
      <c r="NQD22" s="142"/>
      <c r="NQE22" s="142"/>
      <c r="NQF22" s="142"/>
      <c r="NQG22" s="142"/>
      <c r="NQH22" s="142"/>
      <c r="NQI22" s="142"/>
      <c r="NQJ22" s="142"/>
      <c r="NQK22" s="142"/>
      <c r="NQL22" s="142"/>
      <c r="NQM22" s="142"/>
      <c r="NQN22" s="142"/>
      <c r="NQO22" s="142"/>
      <c r="NQP22" s="142"/>
      <c r="NQQ22" s="142"/>
      <c r="NQR22" s="142"/>
      <c r="NQS22" s="142"/>
      <c r="NQT22" s="142"/>
      <c r="NQU22" s="142"/>
      <c r="NQV22" s="142"/>
      <c r="NQW22" s="142"/>
      <c r="NQX22" s="142"/>
      <c r="NQY22" s="142"/>
      <c r="NQZ22" s="142"/>
      <c r="NRA22" s="142"/>
      <c r="NRB22" s="142"/>
      <c r="NRC22" s="142"/>
      <c r="NRD22" s="142"/>
      <c r="NRE22" s="142"/>
      <c r="NRF22" s="142"/>
      <c r="NRG22" s="142"/>
      <c r="NRH22" s="142"/>
      <c r="NRI22" s="142"/>
      <c r="NRJ22" s="142"/>
      <c r="NRK22" s="142"/>
      <c r="NRL22" s="142"/>
      <c r="NRM22" s="142"/>
      <c r="NRN22" s="142"/>
      <c r="NRO22" s="142"/>
      <c r="NRP22" s="142"/>
      <c r="NRQ22" s="142"/>
      <c r="NRR22" s="142"/>
      <c r="NRS22" s="142"/>
      <c r="NRT22" s="142"/>
      <c r="NRU22" s="142"/>
      <c r="NRV22" s="142"/>
      <c r="NRW22" s="142"/>
      <c r="NRX22" s="142"/>
      <c r="NRY22" s="142"/>
      <c r="NRZ22" s="142"/>
      <c r="NSA22" s="142"/>
      <c r="NSB22" s="142"/>
      <c r="NSC22" s="142"/>
      <c r="NSD22" s="142"/>
      <c r="NSE22" s="142"/>
      <c r="NSF22" s="142"/>
      <c r="NSG22" s="142"/>
      <c r="NSH22" s="142"/>
      <c r="NSI22" s="142"/>
      <c r="NSJ22" s="142"/>
      <c r="NSK22" s="142"/>
      <c r="NSL22" s="142"/>
      <c r="NSM22" s="142"/>
      <c r="NSN22" s="142"/>
      <c r="NSO22" s="142"/>
      <c r="NSP22" s="142"/>
      <c r="NSQ22" s="142"/>
      <c r="NSR22" s="142"/>
      <c r="NSS22" s="142"/>
      <c r="NST22" s="142"/>
      <c r="NSU22" s="142"/>
      <c r="NSV22" s="142"/>
      <c r="NSW22" s="142"/>
      <c r="NSX22" s="142"/>
      <c r="NSY22" s="142"/>
      <c r="NSZ22" s="142"/>
      <c r="NTA22" s="142"/>
      <c r="NTB22" s="142"/>
      <c r="NTC22" s="142"/>
      <c r="NTD22" s="142"/>
      <c r="NTE22" s="142"/>
      <c r="NTF22" s="142"/>
      <c r="NTG22" s="142"/>
      <c r="NTH22" s="142"/>
      <c r="NTI22" s="142"/>
      <c r="NTJ22" s="142"/>
      <c r="NTK22" s="142"/>
      <c r="NTL22" s="142"/>
      <c r="NTM22" s="142"/>
      <c r="NTN22" s="142"/>
      <c r="NTO22" s="142"/>
      <c r="NTP22" s="142"/>
      <c r="NTQ22" s="142"/>
      <c r="NTR22" s="142"/>
      <c r="NTS22" s="142"/>
      <c r="NTT22" s="142"/>
      <c r="NTU22" s="142"/>
      <c r="NTV22" s="142"/>
      <c r="NTW22" s="142"/>
      <c r="NTX22" s="142"/>
      <c r="NTY22" s="142"/>
      <c r="NTZ22" s="142"/>
      <c r="NUA22" s="142"/>
      <c r="NUB22" s="142"/>
      <c r="NUC22" s="142"/>
      <c r="NUD22" s="142"/>
      <c r="NUE22" s="142"/>
      <c r="NUF22" s="142"/>
      <c r="NUG22" s="142"/>
      <c r="NUH22" s="142"/>
      <c r="NUI22" s="142"/>
      <c r="NUJ22" s="142"/>
      <c r="NUK22" s="142"/>
      <c r="NUL22" s="142"/>
      <c r="NUM22" s="142"/>
      <c r="NUN22" s="142"/>
      <c r="NUO22" s="142"/>
      <c r="NUP22" s="142"/>
      <c r="NUQ22" s="142"/>
      <c r="NUR22" s="142"/>
      <c r="NUS22" s="142"/>
      <c r="NUT22" s="142"/>
      <c r="NUU22" s="142"/>
      <c r="NUV22" s="142"/>
      <c r="NUW22" s="142"/>
      <c r="NUX22" s="142"/>
      <c r="NUY22" s="142"/>
      <c r="NUZ22" s="142"/>
      <c r="NVA22" s="142"/>
      <c r="NVB22" s="142"/>
      <c r="NVC22" s="142"/>
      <c r="NVD22" s="142"/>
      <c r="NVE22" s="142"/>
      <c r="NVF22" s="142"/>
      <c r="NVG22" s="142"/>
      <c r="NVH22" s="142"/>
      <c r="NVI22" s="142"/>
      <c r="NVJ22" s="142"/>
      <c r="NVK22" s="142"/>
      <c r="NVL22" s="142"/>
      <c r="NVM22" s="142"/>
      <c r="NVN22" s="142"/>
      <c r="NVO22" s="142"/>
      <c r="NVP22" s="142"/>
      <c r="NVQ22" s="142"/>
      <c r="NVR22" s="142"/>
      <c r="NVS22" s="142"/>
      <c r="NVT22" s="142"/>
      <c r="NVU22" s="142"/>
      <c r="NVV22" s="142"/>
      <c r="NVW22" s="142"/>
      <c r="NVX22" s="142"/>
      <c r="NVY22" s="142"/>
      <c r="NVZ22" s="142"/>
      <c r="NWA22" s="142"/>
      <c r="NWB22" s="142"/>
      <c r="NWC22" s="142"/>
      <c r="NWD22" s="142"/>
      <c r="NWE22" s="142"/>
      <c r="NWF22" s="142"/>
      <c r="NWG22" s="142"/>
      <c r="NWH22" s="142"/>
      <c r="NWI22" s="142"/>
      <c r="NWJ22" s="142"/>
      <c r="NWK22" s="142"/>
      <c r="NWL22" s="142"/>
      <c r="NWM22" s="142"/>
      <c r="NWN22" s="142"/>
      <c r="NWO22" s="142"/>
      <c r="NWP22" s="142"/>
      <c r="NWQ22" s="142"/>
      <c r="NWR22" s="142"/>
      <c r="NWS22" s="142"/>
      <c r="NWT22" s="142"/>
      <c r="NWU22" s="142"/>
      <c r="NWV22" s="142"/>
      <c r="NWW22" s="142"/>
      <c r="NWX22" s="142"/>
      <c r="NWY22" s="142"/>
      <c r="NWZ22" s="142"/>
      <c r="NXA22" s="142"/>
      <c r="NXB22" s="142"/>
      <c r="NXC22" s="142"/>
      <c r="NXD22" s="142"/>
      <c r="NXE22" s="142"/>
      <c r="NXF22" s="142"/>
      <c r="NXG22" s="142"/>
      <c r="NXH22" s="142"/>
      <c r="NXI22" s="142"/>
      <c r="NXJ22" s="142"/>
      <c r="NXK22" s="142"/>
      <c r="NXL22" s="142"/>
      <c r="NXM22" s="142"/>
      <c r="NXN22" s="142"/>
      <c r="NXO22" s="142"/>
      <c r="NXP22" s="142"/>
      <c r="NXQ22" s="142"/>
      <c r="NXR22" s="142"/>
      <c r="NXS22" s="142"/>
      <c r="NXT22" s="142"/>
      <c r="NXU22" s="142"/>
      <c r="NXV22" s="142"/>
      <c r="NXW22" s="142"/>
      <c r="NXX22" s="142"/>
      <c r="NXY22" s="142"/>
      <c r="NXZ22" s="142"/>
      <c r="NYA22" s="142"/>
      <c r="NYB22" s="142"/>
      <c r="NYC22" s="142"/>
      <c r="NYD22" s="142"/>
      <c r="NYE22" s="142"/>
      <c r="NYF22" s="142"/>
      <c r="NYG22" s="142"/>
      <c r="NYH22" s="142"/>
      <c r="NYI22" s="142"/>
      <c r="NYJ22" s="142"/>
      <c r="NYK22" s="142"/>
      <c r="NYL22" s="142"/>
      <c r="NYM22" s="142"/>
      <c r="NYN22" s="142"/>
      <c r="NYO22" s="142"/>
      <c r="NYP22" s="142"/>
      <c r="NYQ22" s="142"/>
      <c r="NYR22" s="142"/>
      <c r="NYS22" s="142"/>
      <c r="NYT22" s="142"/>
      <c r="NYU22" s="142"/>
      <c r="NYV22" s="142"/>
      <c r="NYW22" s="142"/>
      <c r="NYX22" s="142"/>
      <c r="NYY22" s="142"/>
      <c r="NYZ22" s="142"/>
      <c r="NZA22" s="142"/>
      <c r="NZB22" s="142"/>
      <c r="NZC22" s="142"/>
      <c r="NZD22" s="142"/>
      <c r="NZE22" s="142"/>
      <c r="NZF22" s="142"/>
      <c r="NZG22" s="142"/>
      <c r="NZH22" s="142"/>
      <c r="NZI22" s="142"/>
      <c r="NZJ22" s="142"/>
      <c r="NZK22" s="142"/>
      <c r="NZL22" s="142"/>
      <c r="NZM22" s="142"/>
      <c r="NZN22" s="142"/>
      <c r="NZO22" s="142"/>
      <c r="NZP22" s="142"/>
      <c r="NZQ22" s="142"/>
      <c r="NZR22" s="142"/>
      <c r="NZS22" s="142"/>
      <c r="NZT22" s="142"/>
      <c r="NZU22" s="142"/>
      <c r="NZV22" s="142"/>
      <c r="NZW22" s="142"/>
      <c r="NZX22" s="142"/>
      <c r="NZY22" s="142"/>
      <c r="NZZ22" s="142"/>
      <c r="OAA22" s="142"/>
      <c r="OAB22" s="142"/>
      <c r="OAC22" s="142"/>
      <c r="OAD22" s="142"/>
      <c r="OAE22" s="142"/>
      <c r="OAF22" s="142"/>
      <c r="OAG22" s="142"/>
      <c r="OAH22" s="142"/>
      <c r="OAI22" s="142"/>
      <c r="OAJ22" s="142"/>
      <c r="OAK22" s="142"/>
      <c r="OAL22" s="142"/>
      <c r="OAM22" s="142"/>
      <c r="OAN22" s="142"/>
      <c r="OAO22" s="142"/>
      <c r="OAP22" s="142"/>
      <c r="OAQ22" s="142"/>
      <c r="OAR22" s="142"/>
      <c r="OAS22" s="142"/>
      <c r="OAT22" s="142"/>
      <c r="OAU22" s="142"/>
      <c r="OAV22" s="142"/>
      <c r="OAW22" s="142"/>
      <c r="OAX22" s="142"/>
      <c r="OAY22" s="142"/>
      <c r="OAZ22" s="142"/>
      <c r="OBA22" s="142"/>
      <c r="OBB22" s="142"/>
      <c r="OBC22" s="142"/>
      <c r="OBD22" s="142"/>
      <c r="OBE22" s="142"/>
      <c r="OBF22" s="142"/>
      <c r="OBG22" s="142"/>
      <c r="OBH22" s="142"/>
      <c r="OBI22" s="142"/>
      <c r="OBJ22" s="142"/>
      <c r="OBK22" s="142"/>
      <c r="OBL22" s="142"/>
      <c r="OBM22" s="142"/>
      <c r="OBN22" s="142"/>
      <c r="OBO22" s="142"/>
      <c r="OBP22" s="142"/>
      <c r="OBQ22" s="142"/>
      <c r="OBR22" s="142"/>
      <c r="OBS22" s="142"/>
      <c r="OBT22" s="142"/>
      <c r="OBU22" s="142"/>
      <c r="OBV22" s="142"/>
      <c r="OBW22" s="142"/>
      <c r="OBX22" s="142"/>
      <c r="OBY22" s="142"/>
      <c r="OBZ22" s="142"/>
      <c r="OCA22" s="142"/>
      <c r="OCB22" s="142"/>
      <c r="OCC22" s="142"/>
      <c r="OCD22" s="142"/>
      <c r="OCE22" s="142"/>
      <c r="OCF22" s="142"/>
      <c r="OCG22" s="142"/>
      <c r="OCH22" s="142"/>
      <c r="OCI22" s="142"/>
      <c r="OCJ22" s="142"/>
      <c r="OCK22" s="142"/>
      <c r="OCL22" s="142"/>
      <c r="OCM22" s="142"/>
      <c r="OCN22" s="142"/>
      <c r="OCO22" s="142"/>
      <c r="OCP22" s="142"/>
      <c r="OCQ22" s="142"/>
      <c r="OCR22" s="142"/>
      <c r="OCS22" s="142"/>
      <c r="OCT22" s="142"/>
      <c r="OCU22" s="142"/>
      <c r="OCV22" s="142"/>
      <c r="OCW22" s="142"/>
      <c r="OCX22" s="142"/>
      <c r="OCY22" s="142"/>
      <c r="OCZ22" s="142"/>
      <c r="ODA22" s="142"/>
      <c r="ODB22" s="142"/>
      <c r="ODC22" s="142"/>
      <c r="ODD22" s="142"/>
      <c r="ODE22" s="142"/>
      <c r="ODF22" s="142"/>
      <c r="ODG22" s="142"/>
      <c r="ODH22" s="142"/>
      <c r="ODI22" s="142"/>
      <c r="ODJ22" s="142"/>
      <c r="ODK22" s="142"/>
      <c r="ODL22" s="142"/>
      <c r="ODM22" s="142"/>
      <c r="ODN22" s="142"/>
      <c r="ODO22" s="142"/>
      <c r="ODP22" s="142"/>
      <c r="ODQ22" s="142"/>
      <c r="ODR22" s="142"/>
      <c r="ODS22" s="142"/>
      <c r="ODT22" s="142"/>
      <c r="ODU22" s="142"/>
      <c r="ODV22" s="142"/>
      <c r="ODW22" s="142"/>
      <c r="ODX22" s="142"/>
      <c r="ODY22" s="142"/>
      <c r="ODZ22" s="142"/>
      <c r="OEA22" s="142"/>
      <c r="OEB22" s="142"/>
      <c r="OEC22" s="142"/>
      <c r="OED22" s="142"/>
      <c r="OEE22" s="142"/>
      <c r="OEF22" s="142"/>
      <c r="OEG22" s="142"/>
      <c r="OEH22" s="142"/>
      <c r="OEI22" s="142"/>
      <c r="OEJ22" s="142"/>
      <c r="OEK22" s="142"/>
      <c r="OEL22" s="142"/>
      <c r="OEM22" s="142"/>
      <c r="OEN22" s="142"/>
      <c r="OEO22" s="142"/>
      <c r="OEP22" s="142"/>
      <c r="OEQ22" s="142"/>
      <c r="OER22" s="142"/>
      <c r="OES22" s="142"/>
      <c r="OET22" s="142"/>
      <c r="OEU22" s="142"/>
      <c r="OEV22" s="142"/>
      <c r="OEW22" s="142"/>
      <c r="OEX22" s="142"/>
      <c r="OEY22" s="142"/>
      <c r="OEZ22" s="142"/>
      <c r="OFA22" s="142"/>
      <c r="OFB22" s="142"/>
      <c r="OFC22" s="142"/>
      <c r="OFD22" s="142"/>
      <c r="OFE22" s="142"/>
      <c r="OFF22" s="142"/>
      <c r="OFG22" s="142"/>
      <c r="OFH22" s="142"/>
      <c r="OFI22" s="142"/>
      <c r="OFJ22" s="142"/>
      <c r="OFK22" s="142"/>
      <c r="OFL22" s="142"/>
      <c r="OFM22" s="142"/>
      <c r="OFN22" s="142"/>
      <c r="OFO22" s="142"/>
      <c r="OFP22" s="142"/>
      <c r="OFQ22" s="142"/>
      <c r="OFR22" s="142"/>
      <c r="OFS22" s="142"/>
      <c r="OFT22" s="142"/>
      <c r="OFU22" s="142"/>
      <c r="OFV22" s="142"/>
      <c r="OFW22" s="142"/>
      <c r="OFX22" s="142"/>
      <c r="OFY22" s="142"/>
      <c r="OFZ22" s="142"/>
      <c r="OGA22" s="142"/>
      <c r="OGB22" s="142"/>
      <c r="OGC22" s="142"/>
      <c r="OGD22" s="142"/>
      <c r="OGE22" s="142"/>
      <c r="OGF22" s="142"/>
      <c r="OGG22" s="142"/>
      <c r="OGH22" s="142"/>
      <c r="OGI22" s="142"/>
      <c r="OGJ22" s="142"/>
      <c r="OGK22" s="142"/>
      <c r="OGL22" s="142"/>
      <c r="OGM22" s="142"/>
      <c r="OGN22" s="142"/>
      <c r="OGO22" s="142"/>
      <c r="OGP22" s="142"/>
      <c r="OGQ22" s="142"/>
      <c r="OGR22" s="142"/>
      <c r="OGS22" s="142"/>
      <c r="OGT22" s="142"/>
      <c r="OGU22" s="142"/>
      <c r="OGV22" s="142"/>
      <c r="OGW22" s="142"/>
      <c r="OGX22" s="142"/>
      <c r="OGY22" s="142"/>
      <c r="OGZ22" s="142"/>
      <c r="OHA22" s="142"/>
      <c r="OHB22" s="142"/>
      <c r="OHC22" s="142"/>
      <c r="OHD22" s="142"/>
      <c r="OHE22" s="142"/>
      <c r="OHF22" s="142"/>
      <c r="OHG22" s="142"/>
      <c r="OHH22" s="142"/>
      <c r="OHI22" s="142"/>
      <c r="OHJ22" s="142"/>
      <c r="OHK22" s="142"/>
      <c r="OHL22" s="142"/>
      <c r="OHM22" s="142"/>
      <c r="OHN22" s="142"/>
      <c r="OHO22" s="142"/>
      <c r="OHP22" s="142"/>
      <c r="OHQ22" s="142"/>
      <c r="OHR22" s="142"/>
      <c r="OHS22" s="142"/>
      <c r="OHT22" s="142"/>
      <c r="OHU22" s="142"/>
      <c r="OHV22" s="142"/>
      <c r="OHW22" s="142"/>
      <c r="OHX22" s="142"/>
      <c r="OHY22" s="142"/>
      <c r="OHZ22" s="142"/>
      <c r="OIA22" s="142"/>
      <c r="OIB22" s="142"/>
      <c r="OIC22" s="142"/>
      <c r="OID22" s="142"/>
      <c r="OIE22" s="142"/>
      <c r="OIF22" s="142"/>
      <c r="OIG22" s="142"/>
      <c r="OIH22" s="142"/>
      <c r="OII22" s="142"/>
      <c r="OIJ22" s="142"/>
      <c r="OIK22" s="142"/>
      <c r="OIL22" s="142"/>
      <c r="OIM22" s="142"/>
      <c r="OIN22" s="142"/>
      <c r="OIO22" s="142"/>
      <c r="OIP22" s="142"/>
      <c r="OIQ22" s="142"/>
      <c r="OIR22" s="142"/>
      <c r="OIS22" s="142"/>
      <c r="OIT22" s="142"/>
      <c r="OIU22" s="142"/>
      <c r="OIV22" s="142"/>
      <c r="OIW22" s="142"/>
      <c r="OIX22" s="142"/>
      <c r="OIY22" s="142"/>
      <c r="OIZ22" s="142"/>
      <c r="OJA22" s="142"/>
      <c r="OJB22" s="142"/>
      <c r="OJC22" s="142"/>
      <c r="OJD22" s="142"/>
      <c r="OJE22" s="142"/>
      <c r="OJF22" s="142"/>
      <c r="OJG22" s="142"/>
      <c r="OJH22" s="142"/>
      <c r="OJI22" s="142"/>
      <c r="OJJ22" s="142"/>
      <c r="OJK22" s="142"/>
      <c r="OJL22" s="142"/>
      <c r="OJM22" s="142"/>
      <c r="OJN22" s="142"/>
      <c r="OJO22" s="142"/>
      <c r="OJP22" s="142"/>
      <c r="OJQ22" s="142"/>
      <c r="OJR22" s="142"/>
      <c r="OJS22" s="142"/>
      <c r="OJT22" s="142"/>
      <c r="OJU22" s="142"/>
      <c r="OJV22" s="142"/>
      <c r="OJW22" s="142"/>
      <c r="OJX22" s="142"/>
      <c r="OJY22" s="142"/>
      <c r="OJZ22" s="142"/>
      <c r="OKA22" s="142"/>
      <c r="OKB22" s="142"/>
      <c r="OKC22" s="142"/>
      <c r="OKD22" s="142"/>
      <c r="OKE22" s="142"/>
      <c r="OKF22" s="142"/>
      <c r="OKG22" s="142"/>
      <c r="OKH22" s="142"/>
      <c r="OKI22" s="142"/>
      <c r="OKJ22" s="142"/>
      <c r="OKK22" s="142"/>
      <c r="OKL22" s="142"/>
      <c r="OKM22" s="142"/>
      <c r="OKN22" s="142"/>
      <c r="OKO22" s="142"/>
      <c r="OKP22" s="142"/>
      <c r="OKQ22" s="142"/>
      <c r="OKR22" s="142"/>
      <c r="OKS22" s="142"/>
      <c r="OKT22" s="142"/>
      <c r="OKU22" s="142"/>
      <c r="OKV22" s="142"/>
      <c r="OKW22" s="142"/>
      <c r="OKX22" s="142"/>
      <c r="OKY22" s="142"/>
      <c r="OKZ22" s="142"/>
      <c r="OLA22" s="142"/>
      <c r="OLB22" s="142"/>
      <c r="OLC22" s="142"/>
      <c r="OLD22" s="142"/>
      <c r="OLE22" s="142"/>
      <c r="OLF22" s="142"/>
      <c r="OLG22" s="142"/>
      <c r="OLH22" s="142"/>
      <c r="OLI22" s="142"/>
      <c r="OLJ22" s="142"/>
      <c r="OLK22" s="142"/>
      <c r="OLL22" s="142"/>
      <c r="OLM22" s="142"/>
      <c r="OLN22" s="142"/>
      <c r="OLO22" s="142"/>
      <c r="OLP22" s="142"/>
      <c r="OLQ22" s="142"/>
      <c r="OLR22" s="142"/>
      <c r="OLS22" s="142"/>
      <c r="OLT22" s="142"/>
      <c r="OLU22" s="142"/>
      <c r="OLV22" s="142"/>
      <c r="OLW22" s="142"/>
      <c r="OLX22" s="142"/>
      <c r="OLY22" s="142"/>
      <c r="OLZ22" s="142"/>
      <c r="OMA22" s="142"/>
      <c r="OMB22" s="142"/>
      <c r="OMC22" s="142"/>
      <c r="OMD22" s="142"/>
      <c r="OME22" s="142"/>
      <c r="OMF22" s="142"/>
      <c r="OMG22" s="142"/>
      <c r="OMH22" s="142"/>
      <c r="OMI22" s="142"/>
      <c r="OMJ22" s="142"/>
      <c r="OMK22" s="142"/>
      <c r="OML22" s="142"/>
      <c r="OMM22" s="142"/>
      <c r="OMN22" s="142"/>
      <c r="OMO22" s="142"/>
      <c r="OMP22" s="142"/>
      <c r="OMQ22" s="142"/>
      <c r="OMR22" s="142"/>
      <c r="OMS22" s="142"/>
      <c r="OMT22" s="142"/>
      <c r="OMU22" s="142"/>
      <c r="OMV22" s="142"/>
      <c r="OMW22" s="142"/>
      <c r="OMX22" s="142"/>
      <c r="OMY22" s="142"/>
      <c r="OMZ22" s="142"/>
      <c r="ONA22" s="142"/>
      <c r="ONB22" s="142"/>
      <c r="ONC22" s="142"/>
      <c r="OND22" s="142"/>
      <c r="ONE22" s="142"/>
      <c r="ONF22" s="142"/>
      <c r="ONG22" s="142"/>
      <c r="ONH22" s="142"/>
      <c r="ONI22" s="142"/>
      <c r="ONJ22" s="142"/>
      <c r="ONK22" s="142"/>
      <c r="ONL22" s="142"/>
      <c r="ONM22" s="142"/>
      <c r="ONN22" s="142"/>
      <c r="ONO22" s="142"/>
      <c r="ONP22" s="142"/>
      <c r="ONQ22" s="142"/>
      <c r="ONR22" s="142"/>
      <c r="ONS22" s="142"/>
      <c r="ONT22" s="142"/>
      <c r="ONU22" s="142"/>
      <c r="ONV22" s="142"/>
      <c r="ONW22" s="142"/>
      <c r="ONX22" s="142"/>
      <c r="ONY22" s="142"/>
      <c r="ONZ22" s="142"/>
      <c r="OOA22" s="142"/>
      <c r="OOB22" s="142"/>
      <c r="OOC22" s="142"/>
      <c r="OOD22" s="142"/>
      <c r="OOE22" s="142"/>
      <c r="OOF22" s="142"/>
      <c r="OOG22" s="142"/>
      <c r="OOH22" s="142"/>
      <c r="OOI22" s="142"/>
      <c r="OOJ22" s="142"/>
      <c r="OOK22" s="142"/>
      <c r="OOL22" s="142"/>
      <c r="OOM22" s="142"/>
      <c r="OON22" s="142"/>
      <c r="OOO22" s="142"/>
      <c r="OOP22" s="142"/>
      <c r="OOQ22" s="142"/>
      <c r="OOR22" s="142"/>
      <c r="OOS22" s="142"/>
      <c r="OOT22" s="142"/>
      <c r="OOU22" s="142"/>
      <c r="OOV22" s="142"/>
      <c r="OOW22" s="142"/>
      <c r="OOX22" s="142"/>
      <c r="OOY22" s="142"/>
      <c r="OOZ22" s="142"/>
      <c r="OPA22" s="142"/>
      <c r="OPB22" s="142"/>
      <c r="OPC22" s="142"/>
      <c r="OPD22" s="142"/>
      <c r="OPE22" s="142"/>
      <c r="OPF22" s="142"/>
      <c r="OPG22" s="142"/>
      <c r="OPH22" s="142"/>
      <c r="OPI22" s="142"/>
      <c r="OPJ22" s="142"/>
      <c r="OPK22" s="142"/>
      <c r="OPL22" s="142"/>
      <c r="OPM22" s="142"/>
      <c r="OPN22" s="142"/>
      <c r="OPO22" s="142"/>
      <c r="OPP22" s="142"/>
      <c r="OPQ22" s="142"/>
      <c r="OPR22" s="142"/>
      <c r="OPS22" s="142"/>
      <c r="OPT22" s="142"/>
      <c r="OPU22" s="142"/>
      <c r="OPV22" s="142"/>
      <c r="OPW22" s="142"/>
      <c r="OPX22" s="142"/>
      <c r="OPY22" s="142"/>
      <c r="OPZ22" s="142"/>
      <c r="OQA22" s="142"/>
      <c r="OQB22" s="142"/>
      <c r="OQC22" s="142"/>
      <c r="OQD22" s="142"/>
      <c r="OQE22" s="142"/>
      <c r="OQF22" s="142"/>
      <c r="OQG22" s="142"/>
      <c r="OQH22" s="142"/>
      <c r="OQI22" s="142"/>
      <c r="OQJ22" s="142"/>
      <c r="OQK22" s="142"/>
      <c r="OQL22" s="142"/>
      <c r="OQM22" s="142"/>
      <c r="OQN22" s="142"/>
      <c r="OQO22" s="142"/>
      <c r="OQP22" s="142"/>
      <c r="OQQ22" s="142"/>
      <c r="OQR22" s="142"/>
      <c r="OQS22" s="142"/>
      <c r="OQT22" s="142"/>
      <c r="OQU22" s="142"/>
      <c r="OQV22" s="142"/>
      <c r="OQW22" s="142"/>
      <c r="OQX22" s="142"/>
      <c r="OQY22" s="142"/>
      <c r="OQZ22" s="142"/>
      <c r="ORA22" s="142"/>
      <c r="ORB22" s="142"/>
      <c r="ORC22" s="142"/>
      <c r="ORD22" s="142"/>
      <c r="ORE22" s="142"/>
      <c r="ORF22" s="142"/>
      <c r="ORG22" s="142"/>
      <c r="ORH22" s="142"/>
      <c r="ORI22" s="142"/>
      <c r="ORJ22" s="142"/>
      <c r="ORK22" s="142"/>
      <c r="ORL22" s="142"/>
      <c r="ORM22" s="142"/>
      <c r="ORN22" s="142"/>
      <c r="ORO22" s="142"/>
      <c r="ORP22" s="142"/>
      <c r="ORQ22" s="142"/>
      <c r="ORR22" s="142"/>
      <c r="ORS22" s="142"/>
      <c r="ORT22" s="142"/>
      <c r="ORU22" s="142"/>
      <c r="ORV22" s="142"/>
      <c r="ORW22" s="142"/>
      <c r="ORX22" s="142"/>
      <c r="ORY22" s="142"/>
      <c r="ORZ22" s="142"/>
      <c r="OSA22" s="142"/>
      <c r="OSB22" s="142"/>
      <c r="OSC22" s="142"/>
      <c r="OSD22" s="142"/>
      <c r="OSE22" s="142"/>
      <c r="OSF22" s="142"/>
      <c r="OSG22" s="142"/>
      <c r="OSH22" s="142"/>
      <c r="OSI22" s="142"/>
      <c r="OSJ22" s="142"/>
      <c r="OSK22" s="142"/>
      <c r="OSL22" s="142"/>
      <c r="OSM22" s="142"/>
      <c r="OSN22" s="142"/>
      <c r="OSO22" s="142"/>
      <c r="OSP22" s="142"/>
      <c r="OSQ22" s="142"/>
      <c r="OSR22" s="142"/>
      <c r="OSS22" s="142"/>
      <c r="OST22" s="142"/>
      <c r="OSU22" s="142"/>
      <c r="OSV22" s="142"/>
      <c r="OSW22" s="142"/>
      <c r="OSX22" s="142"/>
      <c r="OSY22" s="142"/>
      <c r="OSZ22" s="142"/>
      <c r="OTA22" s="142"/>
      <c r="OTB22" s="142"/>
      <c r="OTC22" s="142"/>
      <c r="OTD22" s="142"/>
      <c r="OTE22" s="142"/>
      <c r="OTF22" s="142"/>
      <c r="OTG22" s="142"/>
      <c r="OTH22" s="142"/>
      <c r="OTI22" s="142"/>
      <c r="OTJ22" s="142"/>
      <c r="OTK22" s="142"/>
      <c r="OTL22" s="142"/>
      <c r="OTM22" s="142"/>
      <c r="OTN22" s="142"/>
      <c r="OTO22" s="142"/>
      <c r="OTP22" s="142"/>
      <c r="OTQ22" s="142"/>
      <c r="OTR22" s="142"/>
      <c r="OTS22" s="142"/>
      <c r="OTT22" s="142"/>
      <c r="OTU22" s="142"/>
      <c r="OTV22" s="142"/>
      <c r="OTW22" s="142"/>
      <c r="OTX22" s="142"/>
      <c r="OTY22" s="142"/>
      <c r="OTZ22" s="142"/>
      <c r="OUA22" s="142"/>
      <c r="OUB22" s="142"/>
      <c r="OUC22" s="142"/>
      <c r="OUD22" s="142"/>
      <c r="OUE22" s="142"/>
      <c r="OUF22" s="142"/>
      <c r="OUG22" s="142"/>
      <c r="OUH22" s="142"/>
      <c r="OUI22" s="142"/>
      <c r="OUJ22" s="142"/>
      <c r="OUK22" s="142"/>
      <c r="OUL22" s="142"/>
      <c r="OUM22" s="142"/>
      <c r="OUN22" s="142"/>
      <c r="OUO22" s="142"/>
      <c r="OUP22" s="142"/>
      <c r="OUQ22" s="142"/>
      <c r="OUR22" s="142"/>
      <c r="OUS22" s="142"/>
      <c r="OUT22" s="142"/>
      <c r="OUU22" s="142"/>
      <c r="OUV22" s="142"/>
      <c r="OUW22" s="142"/>
      <c r="OUX22" s="142"/>
      <c r="OUY22" s="142"/>
      <c r="OUZ22" s="142"/>
      <c r="OVA22" s="142"/>
      <c r="OVB22" s="142"/>
      <c r="OVC22" s="142"/>
      <c r="OVD22" s="142"/>
      <c r="OVE22" s="142"/>
      <c r="OVF22" s="142"/>
      <c r="OVG22" s="142"/>
      <c r="OVH22" s="142"/>
      <c r="OVI22" s="142"/>
      <c r="OVJ22" s="142"/>
      <c r="OVK22" s="142"/>
      <c r="OVL22" s="142"/>
      <c r="OVM22" s="142"/>
      <c r="OVN22" s="142"/>
      <c r="OVO22" s="142"/>
      <c r="OVP22" s="142"/>
      <c r="OVQ22" s="142"/>
      <c r="OVR22" s="142"/>
      <c r="OVS22" s="142"/>
      <c r="OVT22" s="142"/>
      <c r="OVU22" s="142"/>
      <c r="OVV22" s="142"/>
      <c r="OVW22" s="142"/>
      <c r="OVX22" s="142"/>
      <c r="OVY22" s="142"/>
      <c r="OVZ22" s="142"/>
      <c r="OWA22" s="142"/>
      <c r="OWB22" s="142"/>
      <c r="OWC22" s="142"/>
      <c r="OWD22" s="142"/>
      <c r="OWE22" s="142"/>
      <c r="OWF22" s="142"/>
      <c r="OWG22" s="142"/>
      <c r="OWH22" s="142"/>
      <c r="OWI22" s="142"/>
      <c r="OWJ22" s="142"/>
      <c r="OWK22" s="142"/>
      <c r="OWL22" s="142"/>
      <c r="OWM22" s="142"/>
      <c r="OWN22" s="142"/>
      <c r="OWO22" s="142"/>
      <c r="OWP22" s="142"/>
      <c r="OWQ22" s="142"/>
      <c r="OWR22" s="142"/>
      <c r="OWS22" s="142"/>
      <c r="OWT22" s="142"/>
      <c r="OWU22" s="142"/>
      <c r="OWV22" s="142"/>
      <c r="OWW22" s="142"/>
      <c r="OWX22" s="142"/>
      <c r="OWY22" s="142"/>
      <c r="OWZ22" s="142"/>
      <c r="OXA22" s="142"/>
      <c r="OXB22" s="142"/>
      <c r="OXC22" s="142"/>
      <c r="OXD22" s="142"/>
      <c r="OXE22" s="142"/>
      <c r="OXF22" s="142"/>
      <c r="OXG22" s="142"/>
      <c r="OXH22" s="142"/>
      <c r="OXI22" s="142"/>
      <c r="OXJ22" s="142"/>
      <c r="OXK22" s="142"/>
      <c r="OXL22" s="142"/>
      <c r="OXM22" s="142"/>
      <c r="OXN22" s="142"/>
      <c r="OXO22" s="142"/>
      <c r="OXP22" s="142"/>
      <c r="OXQ22" s="142"/>
      <c r="OXR22" s="142"/>
      <c r="OXS22" s="142"/>
      <c r="OXT22" s="142"/>
      <c r="OXU22" s="142"/>
      <c r="OXV22" s="142"/>
      <c r="OXW22" s="142"/>
      <c r="OXX22" s="142"/>
      <c r="OXY22" s="142"/>
      <c r="OXZ22" s="142"/>
      <c r="OYA22" s="142"/>
      <c r="OYB22" s="142"/>
      <c r="OYC22" s="142"/>
      <c r="OYD22" s="142"/>
      <c r="OYE22" s="142"/>
      <c r="OYF22" s="142"/>
      <c r="OYG22" s="142"/>
      <c r="OYH22" s="142"/>
      <c r="OYI22" s="142"/>
      <c r="OYJ22" s="142"/>
      <c r="OYK22" s="142"/>
      <c r="OYL22" s="142"/>
      <c r="OYM22" s="142"/>
      <c r="OYN22" s="142"/>
      <c r="OYO22" s="142"/>
      <c r="OYP22" s="142"/>
      <c r="OYQ22" s="142"/>
      <c r="OYR22" s="142"/>
      <c r="OYS22" s="142"/>
      <c r="OYT22" s="142"/>
      <c r="OYU22" s="142"/>
      <c r="OYV22" s="142"/>
      <c r="OYW22" s="142"/>
      <c r="OYX22" s="142"/>
      <c r="OYY22" s="142"/>
      <c r="OYZ22" s="142"/>
      <c r="OZA22" s="142"/>
      <c r="OZB22" s="142"/>
      <c r="OZC22" s="142"/>
      <c r="OZD22" s="142"/>
      <c r="OZE22" s="142"/>
      <c r="OZF22" s="142"/>
      <c r="OZG22" s="142"/>
      <c r="OZH22" s="142"/>
      <c r="OZI22" s="142"/>
      <c r="OZJ22" s="142"/>
      <c r="OZK22" s="142"/>
      <c r="OZL22" s="142"/>
      <c r="OZM22" s="142"/>
      <c r="OZN22" s="142"/>
      <c r="OZO22" s="142"/>
      <c r="OZP22" s="142"/>
      <c r="OZQ22" s="142"/>
      <c r="OZR22" s="142"/>
      <c r="OZS22" s="142"/>
      <c r="OZT22" s="142"/>
      <c r="OZU22" s="142"/>
      <c r="OZV22" s="142"/>
      <c r="OZW22" s="142"/>
      <c r="OZX22" s="142"/>
      <c r="OZY22" s="142"/>
      <c r="OZZ22" s="142"/>
      <c r="PAA22" s="142"/>
      <c r="PAB22" s="142"/>
      <c r="PAC22" s="142"/>
      <c r="PAD22" s="142"/>
      <c r="PAE22" s="142"/>
      <c r="PAF22" s="142"/>
      <c r="PAG22" s="142"/>
      <c r="PAH22" s="142"/>
      <c r="PAI22" s="142"/>
      <c r="PAJ22" s="142"/>
      <c r="PAK22" s="142"/>
      <c r="PAL22" s="142"/>
      <c r="PAM22" s="142"/>
      <c r="PAN22" s="142"/>
      <c r="PAO22" s="142"/>
      <c r="PAP22" s="142"/>
      <c r="PAQ22" s="142"/>
      <c r="PAR22" s="142"/>
      <c r="PAS22" s="142"/>
      <c r="PAT22" s="142"/>
      <c r="PAU22" s="142"/>
      <c r="PAV22" s="142"/>
      <c r="PAW22" s="142"/>
      <c r="PAX22" s="142"/>
      <c r="PAY22" s="142"/>
      <c r="PAZ22" s="142"/>
      <c r="PBA22" s="142"/>
      <c r="PBB22" s="142"/>
      <c r="PBC22" s="142"/>
      <c r="PBD22" s="142"/>
      <c r="PBE22" s="142"/>
      <c r="PBF22" s="142"/>
      <c r="PBG22" s="142"/>
      <c r="PBH22" s="142"/>
      <c r="PBI22" s="142"/>
      <c r="PBJ22" s="142"/>
      <c r="PBK22" s="142"/>
      <c r="PBL22" s="142"/>
      <c r="PBM22" s="142"/>
      <c r="PBN22" s="142"/>
      <c r="PBO22" s="142"/>
      <c r="PBP22" s="142"/>
      <c r="PBQ22" s="142"/>
      <c r="PBR22" s="142"/>
      <c r="PBS22" s="142"/>
      <c r="PBT22" s="142"/>
      <c r="PBU22" s="142"/>
      <c r="PBV22" s="142"/>
      <c r="PBW22" s="142"/>
      <c r="PBX22" s="142"/>
      <c r="PBY22" s="142"/>
      <c r="PBZ22" s="142"/>
      <c r="PCA22" s="142"/>
      <c r="PCB22" s="142"/>
      <c r="PCC22" s="142"/>
      <c r="PCD22" s="142"/>
      <c r="PCE22" s="142"/>
      <c r="PCF22" s="142"/>
      <c r="PCG22" s="142"/>
      <c r="PCH22" s="142"/>
      <c r="PCI22" s="142"/>
      <c r="PCJ22" s="142"/>
      <c r="PCK22" s="142"/>
      <c r="PCL22" s="142"/>
      <c r="PCM22" s="142"/>
      <c r="PCN22" s="142"/>
      <c r="PCO22" s="142"/>
      <c r="PCP22" s="142"/>
      <c r="PCQ22" s="142"/>
      <c r="PCR22" s="142"/>
      <c r="PCS22" s="142"/>
      <c r="PCT22" s="142"/>
      <c r="PCU22" s="142"/>
      <c r="PCV22" s="142"/>
      <c r="PCW22" s="142"/>
      <c r="PCX22" s="142"/>
      <c r="PCY22" s="142"/>
      <c r="PCZ22" s="142"/>
      <c r="PDA22" s="142"/>
      <c r="PDB22" s="142"/>
      <c r="PDC22" s="142"/>
      <c r="PDD22" s="142"/>
      <c r="PDE22" s="142"/>
      <c r="PDF22" s="142"/>
      <c r="PDG22" s="142"/>
      <c r="PDH22" s="142"/>
      <c r="PDI22" s="142"/>
      <c r="PDJ22" s="142"/>
      <c r="PDK22" s="142"/>
      <c r="PDL22" s="142"/>
      <c r="PDM22" s="142"/>
      <c r="PDN22" s="142"/>
      <c r="PDO22" s="142"/>
      <c r="PDP22" s="142"/>
      <c r="PDQ22" s="142"/>
      <c r="PDR22" s="142"/>
      <c r="PDS22" s="142"/>
      <c r="PDT22" s="142"/>
      <c r="PDU22" s="142"/>
      <c r="PDV22" s="142"/>
      <c r="PDW22" s="142"/>
      <c r="PDX22" s="142"/>
      <c r="PDY22" s="142"/>
      <c r="PDZ22" s="142"/>
      <c r="PEA22" s="142"/>
      <c r="PEB22" s="142"/>
      <c r="PEC22" s="142"/>
      <c r="PED22" s="142"/>
      <c r="PEE22" s="142"/>
      <c r="PEF22" s="142"/>
      <c r="PEG22" s="142"/>
      <c r="PEH22" s="142"/>
      <c r="PEI22" s="142"/>
      <c r="PEJ22" s="142"/>
      <c r="PEK22" s="142"/>
      <c r="PEL22" s="142"/>
      <c r="PEM22" s="142"/>
      <c r="PEN22" s="142"/>
      <c r="PEO22" s="142"/>
      <c r="PEP22" s="142"/>
      <c r="PEQ22" s="142"/>
      <c r="PER22" s="142"/>
      <c r="PES22" s="142"/>
      <c r="PET22" s="142"/>
      <c r="PEU22" s="142"/>
      <c r="PEV22" s="142"/>
      <c r="PEW22" s="142"/>
      <c r="PEX22" s="142"/>
      <c r="PEY22" s="142"/>
      <c r="PEZ22" s="142"/>
      <c r="PFA22" s="142"/>
      <c r="PFB22" s="142"/>
      <c r="PFC22" s="142"/>
      <c r="PFD22" s="142"/>
      <c r="PFE22" s="142"/>
      <c r="PFF22" s="142"/>
      <c r="PFG22" s="142"/>
      <c r="PFH22" s="142"/>
      <c r="PFI22" s="142"/>
      <c r="PFJ22" s="142"/>
      <c r="PFK22" s="142"/>
      <c r="PFL22" s="142"/>
      <c r="PFM22" s="142"/>
      <c r="PFN22" s="142"/>
      <c r="PFO22" s="142"/>
      <c r="PFP22" s="142"/>
      <c r="PFQ22" s="142"/>
      <c r="PFR22" s="142"/>
      <c r="PFS22" s="142"/>
      <c r="PFT22" s="142"/>
      <c r="PFU22" s="142"/>
      <c r="PFV22" s="142"/>
      <c r="PFW22" s="142"/>
      <c r="PFX22" s="142"/>
      <c r="PFY22" s="142"/>
      <c r="PFZ22" s="142"/>
      <c r="PGA22" s="142"/>
      <c r="PGB22" s="142"/>
      <c r="PGC22" s="142"/>
      <c r="PGD22" s="142"/>
      <c r="PGE22" s="142"/>
      <c r="PGF22" s="142"/>
      <c r="PGG22" s="142"/>
      <c r="PGH22" s="142"/>
      <c r="PGI22" s="142"/>
      <c r="PGJ22" s="142"/>
      <c r="PGK22" s="142"/>
      <c r="PGL22" s="142"/>
      <c r="PGM22" s="142"/>
      <c r="PGN22" s="142"/>
      <c r="PGO22" s="142"/>
      <c r="PGP22" s="142"/>
      <c r="PGQ22" s="142"/>
      <c r="PGR22" s="142"/>
      <c r="PGS22" s="142"/>
      <c r="PGT22" s="142"/>
      <c r="PGU22" s="142"/>
      <c r="PGV22" s="142"/>
      <c r="PGW22" s="142"/>
      <c r="PGX22" s="142"/>
      <c r="PGY22" s="142"/>
      <c r="PGZ22" s="142"/>
      <c r="PHA22" s="142"/>
      <c r="PHB22" s="142"/>
      <c r="PHC22" s="142"/>
      <c r="PHD22" s="142"/>
      <c r="PHE22" s="142"/>
      <c r="PHF22" s="142"/>
      <c r="PHG22" s="142"/>
      <c r="PHH22" s="142"/>
      <c r="PHI22" s="142"/>
      <c r="PHJ22" s="142"/>
      <c r="PHK22" s="142"/>
      <c r="PHL22" s="142"/>
      <c r="PHM22" s="142"/>
      <c r="PHN22" s="142"/>
      <c r="PHO22" s="142"/>
      <c r="PHP22" s="142"/>
      <c r="PHQ22" s="142"/>
      <c r="PHR22" s="142"/>
      <c r="PHS22" s="142"/>
      <c r="PHT22" s="142"/>
      <c r="PHU22" s="142"/>
      <c r="PHV22" s="142"/>
      <c r="PHW22" s="142"/>
      <c r="PHX22" s="142"/>
      <c r="PHY22" s="142"/>
      <c r="PHZ22" s="142"/>
      <c r="PIA22" s="142"/>
      <c r="PIB22" s="142"/>
      <c r="PIC22" s="142"/>
      <c r="PID22" s="142"/>
      <c r="PIE22" s="142"/>
      <c r="PIF22" s="142"/>
      <c r="PIG22" s="142"/>
      <c r="PIH22" s="142"/>
      <c r="PII22" s="142"/>
      <c r="PIJ22" s="142"/>
      <c r="PIK22" s="142"/>
      <c r="PIL22" s="142"/>
      <c r="PIM22" s="142"/>
      <c r="PIN22" s="142"/>
      <c r="PIO22" s="142"/>
      <c r="PIP22" s="142"/>
      <c r="PIQ22" s="142"/>
      <c r="PIR22" s="142"/>
      <c r="PIS22" s="142"/>
      <c r="PIT22" s="142"/>
      <c r="PIU22" s="142"/>
      <c r="PIV22" s="142"/>
      <c r="PIW22" s="142"/>
      <c r="PIX22" s="142"/>
      <c r="PIY22" s="142"/>
      <c r="PIZ22" s="142"/>
      <c r="PJA22" s="142"/>
      <c r="PJB22" s="142"/>
      <c r="PJC22" s="142"/>
      <c r="PJD22" s="142"/>
      <c r="PJE22" s="142"/>
      <c r="PJF22" s="142"/>
      <c r="PJG22" s="142"/>
      <c r="PJH22" s="142"/>
      <c r="PJI22" s="142"/>
      <c r="PJJ22" s="142"/>
      <c r="PJK22" s="142"/>
      <c r="PJL22" s="142"/>
      <c r="PJM22" s="142"/>
      <c r="PJN22" s="142"/>
      <c r="PJO22" s="142"/>
      <c r="PJP22" s="142"/>
      <c r="PJQ22" s="142"/>
      <c r="PJR22" s="142"/>
      <c r="PJS22" s="142"/>
      <c r="PJT22" s="142"/>
      <c r="PJU22" s="142"/>
      <c r="PJV22" s="142"/>
      <c r="PJW22" s="142"/>
      <c r="PJX22" s="142"/>
      <c r="PJY22" s="142"/>
      <c r="PJZ22" s="142"/>
      <c r="PKA22" s="142"/>
      <c r="PKB22" s="142"/>
      <c r="PKC22" s="142"/>
      <c r="PKD22" s="142"/>
      <c r="PKE22" s="142"/>
      <c r="PKF22" s="142"/>
      <c r="PKG22" s="142"/>
      <c r="PKH22" s="142"/>
      <c r="PKI22" s="142"/>
      <c r="PKJ22" s="142"/>
      <c r="PKK22" s="142"/>
      <c r="PKL22" s="142"/>
      <c r="PKM22" s="142"/>
      <c r="PKN22" s="142"/>
      <c r="PKO22" s="142"/>
      <c r="PKP22" s="142"/>
      <c r="PKQ22" s="142"/>
      <c r="PKR22" s="142"/>
      <c r="PKS22" s="142"/>
      <c r="PKT22" s="142"/>
      <c r="PKU22" s="142"/>
      <c r="PKV22" s="142"/>
      <c r="PKW22" s="142"/>
      <c r="PKX22" s="142"/>
      <c r="PKY22" s="142"/>
      <c r="PKZ22" s="142"/>
      <c r="PLA22" s="142"/>
      <c r="PLB22" s="142"/>
      <c r="PLC22" s="142"/>
      <c r="PLD22" s="142"/>
      <c r="PLE22" s="142"/>
      <c r="PLF22" s="142"/>
      <c r="PLG22" s="142"/>
      <c r="PLH22" s="142"/>
      <c r="PLI22" s="142"/>
      <c r="PLJ22" s="142"/>
      <c r="PLK22" s="142"/>
      <c r="PLL22" s="142"/>
      <c r="PLM22" s="142"/>
      <c r="PLN22" s="142"/>
      <c r="PLO22" s="142"/>
      <c r="PLP22" s="142"/>
      <c r="PLQ22" s="142"/>
      <c r="PLR22" s="142"/>
      <c r="PLS22" s="142"/>
      <c r="PLT22" s="142"/>
      <c r="PLU22" s="142"/>
      <c r="PLV22" s="142"/>
      <c r="PLW22" s="142"/>
      <c r="PLX22" s="142"/>
      <c r="PLY22" s="142"/>
      <c r="PLZ22" s="142"/>
      <c r="PMA22" s="142"/>
      <c r="PMB22" s="142"/>
      <c r="PMC22" s="142"/>
      <c r="PMD22" s="142"/>
      <c r="PME22" s="142"/>
      <c r="PMF22" s="142"/>
      <c r="PMG22" s="142"/>
      <c r="PMH22" s="142"/>
      <c r="PMI22" s="142"/>
      <c r="PMJ22" s="142"/>
      <c r="PMK22" s="142"/>
      <c r="PML22" s="142"/>
      <c r="PMM22" s="142"/>
      <c r="PMN22" s="142"/>
      <c r="PMO22" s="142"/>
      <c r="PMP22" s="142"/>
      <c r="PMQ22" s="142"/>
      <c r="PMR22" s="142"/>
      <c r="PMS22" s="142"/>
      <c r="PMT22" s="142"/>
      <c r="PMU22" s="142"/>
      <c r="PMV22" s="142"/>
      <c r="PMW22" s="142"/>
      <c r="PMX22" s="142"/>
      <c r="PMY22" s="142"/>
      <c r="PMZ22" s="142"/>
      <c r="PNA22" s="142"/>
      <c r="PNB22" s="142"/>
      <c r="PNC22" s="142"/>
      <c r="PND22" s="142"/>
      <c r="PNE22" s="142"/>
      <c r="PNF22" s="142"/>
      <c r="PNG22" s="142"/>
      <c r="PNH22" s="142"/>
      <c r="PNI22" s="142"/>
      <c r="PNJ22" s="142"/>
      <c r="PNK22" s="142"/>
      <c r="PNL22" s="142"/>
      <c r="PNM22" s="142"/>
      <c r="PNN22" s="142"/>
      <c r="PNO22" s="142"/>
      <c r="PNP22" s="142"/>
      <c r="PNQ22" s="142"/>
      <c r="PNR22" s="142"/>
      <c r="PNS22" s="142"/>
      <c r="PNT22" s="142"/>
      <c r="PNU22" s="142"/>
      <c r="PNV22" s="142"/>
      <c r="PNW22" s="142"/>
      <c r="PNX22" s="142"/>
      <c r="PNY22" s="142"/>
      <c r="PNZ22" s="142"/>
      <c r="POA22" s="142"/>
      <c r="POB22" s="142"/>
      <c r="POC22" s="142"/>
      <c r="POD22" s="142"/>
      <c r="POE22" s="142"/>
      <c r="POF22" s="142"/>
      <c r="POG22" s="142"/>
      <c r="POH22" s="142"/>
      <c r="POI22" s="142"/>
      <c r="POJ22" s="142"/>
      <c r="POK22" s="142"/>
      <c r="POL22" s="142"/>
      <c r="POM22" s="142"/>
      <c r="PON22" s="142"/>
      <c r="POO22" s="142"/>
      <c r="POP22" s="142"/>
      <c r="POQ22" s="142"/>
      <c r="POR22" s="142"/>
      <c r="POS22" s="142"/>
      <c r="POT22" s="142"/>
      <c r="POU22" s="142"/>
      <c r="POV22" s="142"/>
      <c r="POW22" s="142"/>
      <c r="POX22" s="142"/>
      <c r="POY22" s="142"/>
      <c r="POZ22" s="142"/>
      <c r="PPA22" s="142"/>
      <c r="PPB22" s="142"/>
      <c r="PPC22" s="142"/>
      <c r="PPD22" s="142"/>
      <c r="PPE22" s="142"/>
      <c r="PPF22" s="142"/>
      <c r="PPG22" s="142"/>
      <c r="PPH22" s="142"/>
      <c r="PPI22" s="142"/>
      <c r="PPJ22" s="142"/>
      <c r="PPK22" s="142"/>
      <c r="PPL22" s="142"/>
      <c r="PPM22" s="142"/>
      <c r="PPN22" s="142"/>
      <c r="PPO22" s="142"/>
      <c r="PPP22" s="142"/>
      <c r="PPQ22" s="142"/>
      <c r="PPR22" s="142"/>
      <c r="PPS22" s="142"/>
      <c r="PPT22" s="142"/>
      <c r="PPU22" s="142"/>
      <c r="PPV22" s="142"/>
      <c r="PPW22" s="142"/>
      <c r="PPX22" s="142"/>
      <c r="PPY22" s="142"/>
      <c r="PPZ22" s="142"/>
      <c r="PQA22" s="142"/>
      <c r="PQB22" s="142"/>
      <c r="PQC22" s="142"/>
      <c r="PQD22" s="142"/>
      <c r="PQE22" s="142"/>
      <c r="PQF22" s="142"/>
      <c r="PQG22" s="142"/>
      <c r="PQH22" s="142"/>
      <c r="PQI22" s="142"/>
      <c r="PQJ22" s="142"/>
      <c r="PQK22" s="142"/>
      <c r="PQL22" s="142"/>
      <c r="PQM22" s="142"/>
      <c r="PQN22" s="142"/>
      <c r="PQO22" s="142"/>
      <c r="PQP22" s="142"/>
      <c r="PQQ22" s="142"/>
      <c r="PQR22" s="142"/>
      <c r="PQS22" s="142"/>
      <c r="PQT22" s="142"/>
      <c r="PQU22" s="142"/>
      <c r="PQV22" s="142"/>
      <c r="PQW22" s="142"/>
      <c r="PQX22" s="142"/>
      <c r="PQY22" s="142"/>
      <c r="PQZ22" s="142"/>
      <c r="PRA22" s="142"/>
      <c r="PRB22" s="142"/>
      <c r="PRC22" s="142"/>
      <c r="PRD22" s="142"/>
      <c r="PRE22" s="142"/>
      <c r="PRF22" s="142"/>
      <c r="PRG22" s="142"/>
      <c r="PRH22" s="142"/>
      <c r="PRI22" s="142"/>
      <c r="PRJ22" s="142"/>
      <c r="PRK22" s="142"/>
      <c r="PRL22" s="142"/>
      <c r="PRM22" s="142"/>
      <c r="PRN22" s="142"/>
      <c r="PRO22" s="142"/>
      <c r="PRP22" s="142"/>
      <c r="PRQ22" s="142"/>
      <c r="PRR22" s="142"/>
      <c r="PRS22" s="142"/>
      <c r="PRT22" s="142"/>
      <c r="PRU22" s="142"/>
      <c r="PRV22" s="142"/>
      <c r="PRW22" s="142"/>
      <c r="PRX22" s="142"/>
      <c r="PRY22" s="142"/>
      <c r="PRZ22" s="142"/>
      <c r="PSA22" s="142"/>
      <c r="PSB22" s="142"/>
      <c r="PSC22" s="142"/>
      <c r="PSD22" s="142"/>
      <c r="PSE22" s="142"/>
      <c r="PSF22" s="142"/>
      <c r="PSG22" s="142"/>
      <c r="PSH22" s="142"/>
      <c r="PSI22" s="142"/>
      <c r="PSJ22" s="142"/>
      <c r="PSK22" s="142"/>
      <c r="PSL22" s="142"/>
      <c r="PSM22" s="142"/>
      <c r="PSN22" s="142"/>
      <c r="PSO22" s="142"/>
      <c r="PSP22" s="142"/>
      <c r="PSQ22" s="142"/>
      <c r="PSR22" s="142"/>
      <c r="PSS22" s="142"/>
      <c r="PST22" s="142"/>
      <c r="PSU22" s="142"/>
      <c r="PSV22" s="142"/>
      <c r="PSW22" s="142"/>
      <c r="PSX22" s="142"/>
      <c r="PSY22" s="142"/>
      <c r="PSZ22" s="142"/>
      <c r="PTA22" s="142"/>
      <c r="PTB22" s="142"/>
      <c r="PTC22" s="142"/>
      <c r="PTD22" s="142"/>
      <c r="PTE22" s="142"/>
      <c r="PTF22" s="142"/>
      <c r="PTG22" s="142"/>
      <c r="PTH22" s="142"/>
      <c r="PTI22" s="142"/>
      <c r="PTJ22" s="142"/>
      <c r="PTK22" s="142"/>
      <c r="PTL22" s="142"/>
      <c r="PTM22" s="142"/>
      <c r="PTN22" s="142"/>
      <c r="PTO22" s="142"/>
      <c r="PTP22" s="142"/>
      <c r="PTQ22" s="142"/>
      <c r="PTR22" s="142"/>
      <c r="PTS22" s="142"/>
      <c r="PTT22" s="142"/>
      <c r="PTU22" s="142"/>
      <c r="PTV22" s="142"/>
      <c r="PTW22" s="142"/>
      <c r="PTX22" s="142"/>
      <c r="PTY22" s="142"/>
      <c r="PTZ22" s="142"/>
      <c r="PUA22" s="142"/>
      <c r="PUB22" s="142"/>
      <c r="PUC22" s="142"/>
      <c r="PUD22" s="142"/>
      <c r="PUE22" s="142"/>
      <c r="PUF22" s="142"/>
      <c r="PUG22" s="142"/>
      <c r="PUH22" s="142"/>
      <c r="PUI22" s="142"/>
      <c r="PUJ22" s="142"/>
      <c r="PUK22" s="142"/>
      <c r="PUL22" s="142"/>
      <c r="PUM22" s="142"/>
      <c r="PUN22" s="142"/>
      <c r="PUO22" s="142"/>
      <c r="PUP22" s="142"/>
      <c r="PUQ22" s="142"/>
      <c r="PUR22" s="142"/>
      <c r="PUS22" s="142"/>
      <c r="PUT22" s="142"/>
      <c r="PUU22" s="142"/>
      <c r="PUV22" s="142"/>
      <c r="PUW22" s="142"/>
      <c r="PUX22" s="142"/>
      <c r="PUY22" s="142"/>
      <c r="PUZ22" s="142"/>
      <c r="PVA22" s="142"/>
      <c r="PVB22" s="142"/>
      <c r="PVC22" s="142"/>
      <c r="PVD22" s="142"/>
      <c r="PVE22" s="142"/>
      <c r="PVF22" s="142"/>
      <c r="PVG22" s="142"/>
      <c r="PVH22" s="142"/>
      <c r="PVI22" s="142"/>
      <c r="PVJ22" s="142"/>
      <c r="PVK22" s="142"/>
      <c r="PVL22" s="142"/>
      <c r="PVM22" s="142"/>
      <c r="PVN22" s="142"/>
      <c r="PVO22" s="142"/>
      <c r="PVP22" s="142"/>
      <c r="PVQ22" s="142"/>
      <c r="PVR22" s="142"/>
      <c r="PVS22" s="142"/>
      <c r="PVT22" s="142"/>
      <c r="PVU22" s="142"/>
      <c r="PVV22" s="142"/>
      <c r="PVW22" s="142"/>
      <c r="PVX22" s="142"/>
      <c r="PVY22" s="142"/>
      <c r="PVZ22" s="142"/>
      <c r="PWA22" s="142"/>
      <c r="PWB22" s="142"/>
      <c r="PWC22" s="142"/>
      <c r="PWD22" s="142"/>
      <c r="PWE22" s="142"/>
      <c r="PWF22" s="142"/>
      <c r="PWG22" s="142"/>
      <c r="PWH22" s="142"/>
      <c r="PWI22" s="142"/>
      <c r="PWJ22" s="142"/>
      <c r="PWK22" s="142"/>
      <c r="PWL22" s="142"/>
      <c r="PWM22" s="142"/>
      <c r="PWN22" s="142"/>
      <c r="PWO22" s="142"/>
      <c r="PWP22" s="142"/>
      <c r="PWQ22" s="142"/>
      <c r="PWR22" s="142"/>
      <c r="PWS22" s="142"/>
      <c r="PWT22" s="142"/>
      <c r="PWU22" s="142"/>
      <c r="PWV22" s="142"/>
      <c r="PWW22" s="142"/>
      <c r="PWX22" s="142"/>
      <c r="PWY22" s="142"/>
      <c r="PWZ22" s="142"/>
      <c r="PXA22" s="142"/>
      <c r="PXB22" s="142"/>
      <c r="PXC22" s="142"/>
      <c r="PXD22" s="142"/>
      <c r="PXE22" s="142"/>
      <c r="PXF22" s="142"/>
      <c r="PXG22" s="142"/>
      <c r="PXH22" s="142"/>
      <c r="PXI22" s="142"/>
      <c r="PXJ22" s="142"/>
      <c r="PXK22" s="142"/>
      <c r="PXL22" s="142"/>
      <c r="PXM22" s="142"/>
      <c r="PXN22" s="142"/>
      <c r="PXO22" s="142"/>
      <c r="PXP22" s="142"/>
      <c r="PXQ22" s="142"/>
      <c r="PXR22" s="142"/>
      <c r="PXS22" s="142"/>
      <c r="PXT22" s="142"/>
      <c r="PXU22" s="142"/>
      <c r="PXV22" s="142"/>
      <c r="PXW22" s="142"/>
      <c r="PXX22" s="142"/>
      <c r="PXY22" s="142"/>
      <c r="PXZ22" s="142"/>
      <c r="PYA22" s="142"/>
      <c r="PYB22" s="142"/>
      <c r="PYC22" s="142"/>
      <c r="PYD22" s="142"/>
      <c r="PYE22" s="142"/>
      <c r="PYF22" s="142"/>
      <c r="PYG22" s="142"/>
      <c r="PYH22" s="142"/>
      <c r="PYI22" s="142"/>
      <c r="PYJ22" s="142"/>
      <c r="PYK22" s="142"/>
      <c r="PYL22" s="142"/>
      <c r="PYM22" s="142"/>
      <c r="PYN22" s="142"/>
      <c r="PYO22" s="142"/>
      <c r="PYP22" s="142"/>
      <c r="PYQ22" s="142"/>
      <c r="PYR22" s="142"/>
      <c r="PYS22" s="142"/>
      <c r="PYT22" s="142"/>
      <c r="PYU22" s="142"/>
      <c r="PYV22" s="142"/>
      <c r="PYW22" s="142"/>
      <c r="PYX22" s="142"/>
      <c r="PYY22" s="142"/>
      <c r="PYZ22" s="142"/>
      <c r="PZA22" s="142"/>
      <c r="PZB22" s="142"/>
      <c r="PZC22" s="142"/>
      <c r="PZD22" s="142"/>
      <c r="PZE22" s="142"/>
      <c r="PZF22" s="142"/>
      <c r="PZG22" s="142"/>
      <c r="PZH22" s="142"/>
      <c r="PZI22" s="142"/>
      <c r="PZJ22" s="142"/>
      <c r="PZK22" s="142"/>
      <c r="PZL22" s="142"/>
      <c r="PZM22" s="142"/>
      <c r="PZN22" s="142"/>
      <c r="PZO22" s="142"/>
      <c r="PZP22" s="142"/>
      <c r="PZQ22" s="142"/>
      <c r="PZR22" s="142"/>
      <c r="PZS22" s="142"/>
      <c r="PZT22" s="142"/>
      <c r="PZU22" s="142"/>
      <c r="PZV22" s="142"/>
      <c r="PZW22" s="142"/>
      <c r="PZX22" s="142"/>
      <c r="PZY22" s="142"/>
      <c r="PZZ22" s="142"/>
      <c r="QAA22" s="142"/>
      <c r="QAB22" s="142"/>
      <c r="QAC22" s="142"/>
      <c r="QAD22" s="142"/>
      <c r="QAE22" s="142"/>
      <c r="QAF22" s="142"/>
      <c r="QAG22" s="142"/>
      <c r="QAH22" s="142"/>
      <c r="QAI22" s="142"/>
      <c r="QAJ22" s="142"/>
      <c r="QAK22" s="142"/>
      <c r="QAL22" s="142"/>
      <c r="QAM22" s="142"/>
      <c r="QAN22" s="142"/>
      <c r="QAO22" s="142"/>
      <c r="QAP22" s="142"/>
      <c r="QAQ22" s="142"/>
      <c r="QAR22" s="142"/>
      <c r="QAS22" s="142"/>
      <c r="QAT22" s="142"/>
      <c r="QAU22" s="142"/>
      <c r="QAV22" s="142"/>
      <c r="QAW22" s="142"/>
      <c r="QAX22" s="142"/>
      <c r="QAY22" s="142"/>
      <c r="QAZ22" s="142"/>
      <c r="QBA22" s="142"/>
      <c r="QBB22" s="142"/>
      <c r="QBC22" s="142"/>
      <c r="QBD22" s="142"/>
      <c r="QBE22" s="142"/>
      <c r="QBF22" s="142"/>
      <c r="QBG22" s="142"/>
      <c r="QBH22" s="142"/>
      <c r="QBI22" s="142"/>
      <c r="QBJ22" s="142"/>
      <c r="QBK22" s="142"/>
      <c r="QBL22" s="142"/>
      <c r="QBM22" s="142"/>
      <c r="QBN22" s="142"/>
      <c r="QBO22" s="142"/>
      <c r="QBP22" s="142"/>
      <c r="QBQ22" s="142"/>
      <c r="QBR22" s="142"/>
      <c r="QBS22" s="142"/>
      <c r="QBT22" s="142"/>
      <c r="QBU22" s="142"/>
      <c r="QBV22" s="142"/>
      <c r="QBW22" s="142"/>
      <c r="QBX22" s="142"/>
      <c r="QBY22" s="142"/>
      <c r="QBZ22" s="142"/>
      <c r="QCA22" s="142"/>
      <c r="QCB22" s="142"/>
      <c r="QCC22" s="142"/>
      <c r="QCD22" s="142"/>
      <c r="QCE22" s="142"/>
      <c r="QCF22" s="142"/>
      <c r="QCG22" s="142"/>
      <c r="QCH22" s="142"/>
      <c r="QCI22" s="142"/>
      <c r="QCJ22" s="142"/>
      <c r="QCK22" s="142"/>
      <c r="QCL22" s="142"/>
      <c r="QCM22" s="142"/>
      <c r="QCN22" s="142"/>
      <c r="QCO22" s="142"/>
      <c r="QCP22" s="142"/>
      <c r="QCQ22" s="142"/>
      <c r="QCR22" s="142"/>
      <c r="QCS22" s="142"/>
      <c r="QCT22" s="142"/>
      <c r="QCU22" s="142"/>
      <c r="QCV22" s="142"/>
      <c r="QCW22" s="142"/>
      <c r="QCX22" s="142"/>
      <c r="QCY22" s="142"/>
      <c r="QCZ22" s="142"/>
      <c r="QDA22" s="142"/>
      <c r="QDB22" s="142"/>
      <c r="QDC22" s="142"/>
      <c r="QDD22" s="142"/>
      <c r="QDE22" s="142"/>
      <c r="QDF22" s="142"/>
      <c r="QDG22" s="142"/>
      <c r="QDH22" s="142"/>
      <c r="QDI22" s="142"/>
      <c r="QDJ22" s="142"/>
      <c r="QDK22" s="142"/>
      <c r="QDL22" s="142"/>
      <c r="QDM22" s="142"/>
      <c r="QDN22" s="142"/>
      <c r="QDO22" s="142"/>
      <c r="QDP22" s="142"/>
      <c r="QDQ22" s="142"/>
      <c r="QDR22" s="142"/>
      <c r="QDS22" s="142"/>
      <c r="QDT22" s="142"/>
      <c r="QDU22" s="142"/>
      <c r="QDV22" s="142"/>
      <c r="QDW22" s="142"/>
      <c r="QDX22" s="142"/>
      <c r="QDY22" s="142"/>
      <c r="QDZ22" s="142"/>
      <c r="QEA22" s="142"/>
      <c r="QEB22" s="142"/>
      <c r="QEC22" s="142"/>
      <c r="QED22" s="142"/>
      <c r="QEE22" s="142"/>
      <c r="QEF22" s="142"/>
      <c r="QEG22" s="142"/>
      <c r="QEH22" s="142"/>
      <c r="QEI22" s="142"/>
      <c r="QEJ22" s="142"/>
      <c r="QEK22" s="142"/>
      <c r="QEL22" s="142"/>
      <c r="QEM22" s="142"/>
      <c r="QEN22" s="142"/>
      <c r="QEO22" s="142"/>
      <c r="QEP22" s="142"/>
      <c r="QEQ22" s="142"/>
      <c r="QER22" s="142"/>
      <c r="QES22" s="142"/>
      <c r="QET22" s="142"/>
      <c r="QEU22" s="142"/>
      <c r="QEV22" s="142"/>
      <c r="QEW22" s="142"/>
      <c r="QEX22" s="142"/>
      <c r="QEY22" s="142"/>
      <c r="QEZ22" s="142"/>
      <c r="QFA22" s="142"/>
      <c r="QFB22" s="142"/>
      <c r="QFC22" s="142"/>
      <c r="QFD22" s="142"/>
      <c r="QFE22" s="142"/>
      <c r="QFF22" s="142"/>
      <c r="QFG22" s="142"/>
      <c r="QFH22" s="142"/>
      <c r="QFI22" s="142"/>
      <c r="QFJ22" s="142"/>
      <c r="QFK22" s="142"/>
      <c r="QFL22" s="142"/>
      <c r="QFM22" s="142"/>
      <c r="QFN22" s="142"/>
      <c r="QFO22" s="142"/>
      <c r="QFP22" s="142"/>
      <c r="QFQ22" s="142"/>
      <c r="QFR22" s="142"/>
      <c r="QFS22" s="142"/>
      <c r="QFT22" s="142"/>
      <c r="QFU22" s="142"/>
      <c r="QFV22" s="142"/>
      <c r="QFW22" s="142"/>
      <c r="QFX22" s="142"/>
      <c r="QFY22" s="142"/>
      <c r="QFZ22" s="142"/>
      <c r="QGA22" s="142"/>
      <c r="QGB22" s="142"/>
      <c r="QGC22" s="142"/>
      <c r="QGD22" s="142"/>
      <c r="QGE22" s="142"/>
      <c r="QGF22" s="142"/>
      <c r="QGG22" s="142"/>
      <c r="QGH22" s="142"/>
      <c r="QGI22" s="142"/>
      <c r="QGJ22" s="142"/>
      <c r="QGK22" s="142"/>
      <c r="QGL22" s="142"/>
      <c r="QGM22" s="142"/>
      <c r="QGN22" s="142"/>
      <c r="QGO22" s="142"/>
      <c r="QGP22" s="142"/>
      <c r="QGQ22" s="142"/>
      <c r="QGR22" s="142"/>
      <c r="QGS22" s="142"/>
      <c r="QGT22" s="142"/>
      <c r="QGU22" s="142"/>
      <c r="QGV22" s="142"/>
      <c r="QGW22" s="142"/>
      <c r="QGX22" s="142"/>
      <c r="QGY22" s="142"/>
      <c r="QGZ22" s="142"/>
      <c r="QHA22" s="142"/>
      <c r="QHB22" s="142"/>
      <c r="QHC22" s="142"/>
      <c r="QHD22" s="142"/>
      <c r="QHE22" s="142"/>
      <c r="QHF22" s="142"/>
      <c r="QHG22" s="142"/>
      <c r="QHH22" s="142"/>
      <c r="QHI22" s="142"/>
      <c r="QHJ22" s="142"/>
      <c r="QHK22" s="142"/>
      <c r="QHL22" s="142"/>
      <c r="QHM22" s="142"/>
      <c r="QHN22" s="142"/>
      <c r="QHO22" s="142"/>
      <c r="QHP22" s="142"/>
      <c r="QHQ22" s="142"/>
      <c r="QHR22" s="142"/>
      <c r="QHS22" s="142"/>
      <c r="QHT22" s="142"/>
      <c r="QHU22" s="142"/>
      <c r="QHV22" s="142"/>
      <c r="QHW22" s="142"/>
      <c r="QHX22" s="142"/>
      <c r="QHY22" s="142"/>
      <c r="QHZ22" s="142"/>
      <c r="QIA22" s="142"/>
      <c r="QIB22" s="142"/>
      <c r="QIC22" s="142"/>
      <c r="QID22" s="142"/>
      <c r="QIE22" s="142"/>
      <c r="QIF22" s="142"/>
      <c r="QIG22" s="142"/>
      <c r="QIH22" s="142"/>
      <c r="QII22" s="142"/>
      <c r="QIJ22" s="142"/>
      <c r="QIK22" s="142"/>
      <c r="QIL22" s="142"/>
      <c r="QIM22" s="142"/>
      <c r="QIN22" s="142"/>
      <c r="QIO22" s="142"/>
      <c r="QIP22" s="142"/>
      <c r="QIQ22" s="142"/>
      <c r="QIR22" s="142"/>
      <c r="QIS22" s="142"/>
      <c r="QIT22" s="142"/>
      <c r="QIU22" s="142"/>
      <c r="QIV22" s="142"/>
      <c r="QIW22" s="142"/>
      <c r="QIX22" s="142"/>
      <c r="QIY22" s="142"/>
      <c r="QIZ22" s="142"/>
      <c r="QJA22" s="142"/>
      <c r="QJB22" s="142"/>
      <c r="QJC22" s="142"/>
      <c r="QJD22" s="142"/>
      <c r="QJE22" s="142"/>
      <c r="QJF22" s="142"/>
      <c r="QJG22" s="142"/>
      <c r="QJH22" s="142"/>
      <c r="QJI22" s="142"/>
      <c r="QJJ22" s="142"/>
      <c r="QJK22" s="142"/>
      <c r="QJL22" s="142"/>
      <c r="QJM22" s="142"/>
      <c r="QJN22" s="142"/>
      <c r="QJO22" s="142"/>
      <c r="QJP22" s="142"/>
      <c r="QJQ22" s="142"/>
      <c r="QJR22" s="142"/>
      <c r="QJS22" s="142"/>
      <c r="QJT22" s="142"/>
      <c r="QJU22" s="142"/>
      <c r="QJV22" s="142"/>
      <c r="QJW22" s="142"/>
      <c r="QJX22" s="142"/>
      <c r="QJY22" s="142"/>
      <c r="QJZ22" s="142"/>
      <c r="QKA22" s="142"/>
      <c r="QKB22" s="142"/>
      <c r="QKC22" s="142"/>
      <c r="QKD22" s="142"/>
      <c r="QKE22" s="142"/>
      <c r="QKF22" s="142"/>
      <c r="QKG22" s="142"/>
      <c r="QKH22" s="142"/>
      <c r="QKI22" s="142"/>
      <c r="QKJ22" s="142"/>
      <c r="QKK22" s="142"/>
      <c r="QKL22" s="142"/>
      <c r="QKM22" s="142"/>
      <c r="QKN22" s="142"/>
      <c r="QKO22" s="142"/>
      <c r="QKP22" s="142"/>
      <c r="QKQ22" s="142"/>
      <c r="QKR22" s="142"/>
      <c r="QKS22" s="142"/>
      <c r="QKT22" s="142"/>
      <c r="QKU22" s="142"/>
      <c r="QKV22" s="142"/>
      <c r="QKW22" s="142"/>
      <c r="QKX22" s="142"/>
      <c r="QKY22" s="142"/>
      <c r="QKZ22" s="142"/>
      <c r="QLA22" s="142"/>
      <c r="QLB22" s="142"/>
      <c r="QLC22" s="142"/>
      <c r="QLD22" s="142"/>
      <c r="QLE22" s="142"/>
      <c r="QLF22" s="142"/>
      <c r="QLG22" s="142"/>
      <c r="QLH22" s="142"/>
      <c r="QLI22" s="142"/>
      <c r="QLJ22" s="142"/>
      <c r="QLK22" s="142"/>
      <c r="QLL22" s="142"/>
      <c r="QLM22" s="142"/>
      <c r="QLN22" s="142"/>
      <c r="QLO22" s="142"/>
      <c r="QLP22" s="142"/>
      <c r="QLQ22" s="142"/>
      <c r="QLR22" s="142"/>
      <c r="QLS22" s="142"/>
      <c r="QLT22" s="142"/>
      <c r="QLU22" s="142"/>
      <c r="QLV22" s="142"/>
      <c r="QLW22" s="142"/>
      <c r="QLX22" s="142"/>
      <c r="QLY22" s="142"/>
      <c r="QLZ22" s="142"/>
      <c r="QMA22" s="142"/>
      <c r="QMB22" s="142"/>
      <c r="QMC22" s="142"/>
      <c r="QMD22" s="142"/>
      <c r="QME22" s="142"/>
      <c r="QMF22" s="142"/>
      <c r="QMG22" s="142"/>
      <c r="QMH22" s="142"/>
      <c r="QMI22" s="142"/>
      <c r="QMJ22" s="142"/>
      <c r="QMK22" s="142"/>
      <c r="QML22" s="142"/>
      <c r="QMM22" s="142"/>
      <c r="QMN22" s="142"/>
      <c r="QMO22" s="142"/>
      <c r="QMP22" s="142"/>
      <c r="QMQ22" s="142"/>
      <c r="QMR22" s="142"/>
      <c r="QMS22" s="142"/>
      <c r="QMT22" s="142"/>
      <c r="QMU22" s="142"/>
      <c r="QMV22" s="142"/>
      <c r="QMW22" s="142"/>
      <c r="QMX22" s="142"/>
      <c r="QMY22" s="142"/>
      <c r="QMZ22" s="142"/>
      <c r="QNA22" s="142"/>
      <c r="QNB22" s="142"/>
      <c r="QNC22" s="142"/>
      <c r="QND22" s="142"/>
      <c r="QNE22" s="142"/>
      <c r="QNF22" s="142"/>
      <c r="QNG22" s="142"/>
      <c r="QNH22" s="142"/>
      <c r="QNI22" s="142"/>
      <c r="QNJ22" s="142"/>
      <c r="QNK22" s="142"/>
      <c r="QNL22" s="142"/>
      <c r="QNM22" s="142"/>
      <c r="QNN22" s="142"/>
      <c r="QNO22" s="142"/>
      <c r="QNP22" s="142"/>
      <c r="QNQ22" s="142"/>
      <c r="QNR22" s="142"/>
      <c r="QNS22" s="142"/>
      <c r="QNT22" s="142"/>
      <c r="QNU22" s="142"/>
      <c r="QNV22" s="142"/>
      <c r="QNW22" s="142"/>
      <c r="QNX22" s="142"/>
      <c r="QNY22" s="142"/>
      <c r="QNZ22" s="142"/>
      <c r="QOA22" s="142"/>
      <c r="QOB22" s="142"/>
      <c r="QOC22" s="142"/>
      <c r="QOD22" s="142"/>
      <c r="QOE22" s="142"/>
      <c r="QOF22" s="142"/>
      <c r="QOG22" s="142"/>
      <c r="QOH22" s="142"/>
      <c r="QOI22" s="142"/>
      <c r="QOJ22" s="142"/>
      <c r="QOK22" s="142"/>
      <c r="QOL22" s="142"/>
      <c r="QOM22" s="142"/>
      <c r="QON22" s="142"/>
      <c r="QOO22" s="142"/>
      <c r="QOP22" s="142"/>
      <c r="QOQ22" s="142"/>
      <c r="QOR22" s="142"/>
      <c r="QOS22" s="142"/>
      <c r="QOT22" s="142"/>
      <c r="QOU22" s="142"/>
      <c r="QOV22" s="142"/>
      <c r="QOW22" s="142"/>
      <c r="QOX22" s="142"/>
      <c r="QOY22" s="142"/>
      <c r="QOZ22" s="142"/>
      <c r="QPA22" s="142"/>
      <c r="QPB22" s="142"/>
      <c r="QPC22" s="142"/>
      <c r="QPD22" s="142"/>
      <c r="QPE22" s="142"/>
      <c r="QPF22" s="142"/>
      <c r="QPG22" s="142"/>
      <c r="QPH22" s="142"/>
      <c r="QPI22" s="142"/>
      <c r="QPJ22" s="142"/>
      <c r="QPK22" s="142"/>
      <c r="QPL22" s="142"/>
      <c r="QPM22" s="142"/>
      <c r="QPN22" s="142"/>
      <c r="QPO22" s="142"/>
      <c r="QPP22" s="142"/>
      <c r="QPQ22" s="142"/>
      <c r="QPR22" s="142"/>
      <c r="QPS22" s="142"/>
      <c r="QPT22" s="142"/>
      <c r="QPU22" s="142"/>
      <c r="QPV22" s="142"/>
      <c r="QPW22" s="142"/>
      <c r="QPX22" s="142"/>
      <c r="QPY22" s="142"/>
      <c r="QPZ22" s="142"/>
      <c r="QQA22" s="142"/>
      <c r="QQB22" s="142"/>
      <c r="QQC22" s="142"/>
      <c r="QQD22" s="142"/>
      <c r="QQE22" s="142"/>
      <c r="QQF22" s="142"/>
      <c r="QQG22" s="142"/>
      <c r="QQH22" s="142"/>
      <c r="QQI22" s="142"/>
      <c r="QQJ22" s="142"/>
      <c r="QQK22" s="142"/>
      <c r="QQL22" s="142"/>
      <c r="QQM22" s="142"/>
      <c r="QQN22" s="142"/>
      <c r="QQO22" s="142"/>
      <c r="QQP22" s="142"/>
      <c r="QQQ22" s="142"/>
      <c r="QQR22" s="142"/>
      <c r="QQS22" s="142"/>
      <c r="QQT22" s="142"/>
      <c r="QQU22" s="142"/>
      <c r="QQV22" s="142"/>
      <c r="QQW22" s="142"/>
      <c r="QQX22" s="142"/>
      <c r="QQY22" s="142"/>
      <c r="QQZ22" s="142"/>
      <c r="QRA22" s="142"/>
      <c r="QRB22" s="142"/>
      <c r="QRC22" s="142"/>
      <c r="QRD22" s="142"/>
      <c r="QRE22" s="142"/>
      <c r="QRF22" s="142"/>
      <c r="QRG22" s="142"/>
      <c r="QRH22" s="142"/>
      <c r="QRI22" s="142"/>
      <c r="QRJ22" s="142"/>
      <c r="QRK22" s="142"/>
      <c r="QRL22" s="142"/>
      <c r="QRM22" s="142"/>
      <c r="QRN22" s="142"/>
      <c r="QRO22" s="142"/>
      <c r="QRP22" s="142"/>
      <c r="QRQ22" s="142"/>
      <c r="QRR22" s="142"/>
      <c r="QRS22" s="142"/>
      <c r="QRT22" s="142"/>
      <c r="QRU22" s="142"/>
      <c r="QRV22" s="142"/>
      <c r="QRW22" s="142"/>
      <c r="QRX22" s="142"/>
      <c r="QRY22" s="142"/>
      <c r="QRZ22" s="142"/>
      <c r="QSA22" s="142"/>
      <c r="QSB22" s="142"/>
      <c r="QSC22" s="142"/>
      <c r="QSD22" s="142"/>
      <c r="QSE22" s="142"/>
      <c r="QSF22" s="142"/>
      <c r="QSG22" s="142"/>
      <c r="QSH22" s="142"/>
      <c r="QSI22" s="142"/>
      <c r="QSJ22" s="142"/>
      <c r="QSK22" s="142"/>
      <c r="QSL22" s="142"/>
      <c r="QSM22" s="142"/>
      <c r="QSN22" s="142"/>
      <c r="QSO22" s="142"/>
      <c r="QSP22" s="142"/>
      <c r="QSQ22" s="142"/>
      <c r="QSR22" s="142"/>
      <c r="QSS22" s="142"/>
      <c r="QST22" s="142"/>
      <c r="QSU22" s="142"/>
      <c r="QSV22" s="142"/>
      <c r="QSW22" s="142"/>
      <c r="QSX22" s="142"/>
      <c r="QSY22" s="142"/>
      <c r="QSZ22" s="142"/>
      <c r="QTA22" s="142"/>
      <c r="QTB22" s="142"/>
      <c r="QTC22" s="142"/>
      <c r="QTD22" s="142"/>
      <c r="QTE22" s="142"/>
      <c r="QTF22" s="142"/>
      <c r="QTG22" s="142"/>
      <c r="QTH22" s="142"/>
      <c r="QTI22" s="142"/>
      <c r="QTJ22" s="142"/>
      <c r="QTK22" s="142"/>
      <c r="QTL22" s="142"/>
      <c r="QTM22" s="142"/>
      <c r="QTN22" s="142"/>
      <c r="QTO22" s="142"/>
      <c r="QTP22" s="142"/>
      <c r="QTQ22" s="142"/>
      <c r="QTR22" s="142"/>
      <c r="QTS22" s="142"/>
      <c r="QTT22" s="142"/>
      <c r="QTU22" s="142"/>
      <c r="QTV22" s="142"/>
      <c r="QTW22" s="142"/>
      <c r="QTX22" s="142"/>
      <c r="QTY22" s="142"/>
      <c r="QTZ22" s="142"/>
      <c r="QUA22" s="142"/>
      <c r="QUB22" s="142"/>
      <c r="QUC22" s="142"/>
      <c r="QUD22" s="142"/>
      <c r="QUE22" s="142"/>
      <c r="QUF22" s="142"/>
      <c r="QUG22" s="142"/>
      <c r="QUH22" s="142"/>
      <c r="QUI22" s="142"/>
      <c r="QUJ22" s="142"/>
      <c r="QUK22" s="142"/>
      <c r="QUL22" s="142"/>
      <c r="QUM22" s="142"/>
      <c r="QUN22" s="142"/>
      <c r="QUO22" s="142"/>
      <c r="QUP22" s="142"/>
      <c r="QUQ22" s="142"/>
      <c r="QUR22" s="142"/>
      <c r="QUS22" s="142"/>
      <c r="QUT22" s="142"/>
      <c r="QUU22" s="142"/>
      <c r="QUV22" s="142"/>
      <c r="QUW22" s="142"/>
      <c r="QUX22" s="142"/>
      <c r="QUY22" s="142"/>
      <c r="QUZ22" s="142"/>
      <c r="QVA22" s="142"/>
      <c r="QVB22" s="142"/>
      <c r="QVC22" s="142"/>
      <c r="QVD22" s="142"/>
      <c r="QVE22" s="142"/>
      <c r="QVF22" s="142"/>
      <c r="QVG22" s="142"/>
      <c r="QVH22" s="142"/>
      <c r="QVI22" s="142"/>
      <c r="QVJ22" s="142"/>
      <c r="QVK22" s="142"/>
      <c r="QVL22" s="142"/>
      <c r="QVM22" s="142"/>
      <c r="QVN22" s="142"/>
      <c r="QVO22" s="142"/>
      <c r="QVP22" s="142"/>
      <c r="QVQ22" s="142"/>
      <c r="QVR22" s="142"/>
      <c r="QVS22" s="142"/>
      <c r="QVT22" s="142"/>
      <c r="QVU22" s="142"/>
      <c r="QVV22" s="142"/>
      <c r="QVW22" s="142"/>
      <c r="QVX22" s="142"/>
      <c r="QVY22" s="142"/>
      <c r="QVZ22" s="142"/>
      <c r="QWA22" s="142"/>
      <c r="QWB22" s="142"/>
      <c r="QWC22" s="142"/>
      <c r="QWD22" s="142"/>
      <c r="QWE22" s="142"/>
      <c r="QWF22" s="142"/>
      <c r="QWG22" s="142"/>
      <c r="QWH22" s="142"/>
      <c r="QWI22" s="142"/>
      <c r="QWJ22" s="142"/>
      <c r="QWK22" s="142"/>
      <c r="QWL22" s="142"/>
      <c r="QWM22" s="142"/>
      <c r="QWN22" s="142"/>
      <c r="QWO22" s="142"/>
      <c r="QWP22" s="142"/>
      <c r="QWQ22" s="142"/>
      <c r="QWR22" s="142"/>
      <c r="QWS22" s="142"/>
      <c r="QWT22" s="142"/>
      <c r="QWU22" s="142"/>
      <c r="QWV22" s="142"/>
      <c r="QWW22" s="142"/>
      <c r="QWX22" s="142"/>
      <c r="QWY22" s="142"/>
      <c r="QWZ22" s="142"/>
      <c r="QXA22" s="142"/>
      <c r="QXB22" s="142"/>
      <c r="QXC22" s="142"/>
      <c r="QXD22" s="142"/>
      <c r="QXE22" s="142"/>
      <c r="QXF22" s="142"/>
      <c r="QXG22" s="142"/>
      <c r="QXH22" s="142"/>
      <c r="QXI22" s="142"/>
      <c r="QXJ22" s="142"/>
      <c r="QXK22" s="142"/>
      <c r="QXL22" s="142"/>
      <c r="QXM22" s="142"/>
      <c r="QXN22" s="142"/>
      <c r="QXO22" s="142"/>
      <c r="QXP22" s="142"/>
      <c r="QXQ22" s="142"/>
      <c r="QXR22" s="142"/>
      <c r="QXS22" s="142"/>
      <c r="QXT22" s="142"/>
      <c r="QXU22" s="142"/>
      <c r="QXV22" s="142"/>
      <c r="QXW22" s="142"/>
      <c r="QXX22" s="142"/>
      <c r="QXY22" s="142"/>
      <c r="QXZ22" s="142"/>
      <c r="QYA22" s="142"/>
      <c r="QYB22" s="142"/>
      <c r="QYC22" s="142"/>
      <c r="QYD22" s="142"/>
      <c r="QYE22" s="142"/>
      <c r="QYF22" s="142"/>
      <c r="QYG22" s="142"/>
      <c r="QYH22" s="142"/>
      <c r="QYI22" s="142"/>
      <c r="QYJ22" s="142"/>
      <c r="QYK22" s="142"/>
      <c r="QYL22" s="142"/>
      <c r="QYM22" s="142"/>
      <c r="QYN22" s="142"/>
      <c r="QYO22" s="142"/>
      <c r="QYP22" s="142"/>
      <c r="QYQ22" s="142"/>
      <c r="QYR22" s="142"/>
      <c r="QYS22" s="142"/>
      <c r="QYT22" s="142"/>
      <c r="QYU22" s="142"/>
      <c r="QYV22" s="142"/>
      <c r="QYW22" s="142"/>
      <c r="QYX22" s="142"/>
      <c r="QYY22" s="142"/>
      <c r="QYZ22" s="142"/>
      <c r="QZA22" s="142"/>
      <c r="QZB22" s="142"/>
      <c r="QZC22" s="142"/>
      <c r="QZD22" s="142"/>
      <c r="QZE22" s="142"/>
      <c r="QZF22" s="142"/>
      <c r="QZG22" s="142"/>
      <c r="QZH22" s="142"/>
      <c r="QZI22" s="142"/>
      <c r="QZJ22" s="142"/>
      <c r="QZK22" s="142"/>
      <c r="QZL22" s="142"/>
      <c r="QZM22" s="142"/>
      <c r="QZN22" s="142"/>
      <c r="QZO22" s="142"/>
      <c r="QZP22" s="142"/>
      <c r="QZQ22" s="142"/>
      <c r="QZR22" s="142"/>
      <c r="QZS22" s="142"/>
      <c r="QZT22" s="142"/>
      <c r="QZU22" s="142"/>
      <c r="QZV22" s="142"/>
      <c r="QZW22" s="142"/>
      <c r="QZX22" s="142"/>
      <c r="QZY22" s="142"/>
      <c r="QZZ22" s="142"/>
      <c r="RAA22" s="142"/>
      <c r="RAB22" s="142"/>
      <c r="RAC22" s="142"/>
      <c r="RAD22" s="142"/>
      <c r="RAE22" s="142"/>
      <c r="RAF22" s="142"/>
      <c r="RAG22" s="142"/>
      <c r="RAH22" s="142"/>
      <c r="RAI22" s="142"/>
      <c r="RAJ22" s="142"/>
      <c r="RAK22" s="142"/>
      <c r="RAL22" s="142"/>
      <c r="RAM22" s="142"/>
      <c r="RAN22" s="142"/>
      <c r="RAO22" s="142"/>
      <c r="RAP22" s="142"/>
      <c r="RAQ22" s="142"/>
      <c r="RAR22" s="142"/>
      <c r="RAS22" s="142"/>
      <c r="RAT22" s="142"/>
      <c r="RAU22" s="142"/>
      <c r="RAV22" s="142"/>
      <c r="RAW22" s="142"/>
      <c r="RAX22" s="142"/>
      <c r="RAY22" s="142"/>
      <c r="RAZ22" s="142"/>
      <c r="RBA22" s="142"/>
      <c r="RBB22" s="142"/>
      <c r="RBC22" s="142"/>
      <c r="RBD22" s="142"/>
      <c r="RBE22" s="142"/>
      <c r="RBF22" s="142"/>
      <c r="RBG22" s="142"/>
      <c r="RBH22" s="142"/>
      <c r="RBI22" s="142"/>
      <c r="RBJ22" s="142"/>
      <c r="RBK22" s="142"/>
      <c r="RBL22" s="142"/>
      <c r="RBM22" s="142"/>
      <c r="RBN22" s="142"/>
      <c r="RBO22" s="142"/>
      <c r="RBP22" s="142"/>
      <c r="RBQ22" s="142"/>
      <c r="RBR22" s="142"/>
      <c r="RBS22" s="142"/>
      <c r="RBT22" s="142"/>
      <c r="RBU22" s="142"/>
      <c r="RBV22" s="142"/>
      <c r="RBW22" s="142"/>
      <c r="RBX22" s="142"/>
      <c r="RBY22" s="142"/>
      <c r="RBZ22" s="142"/>
      <c r="RCA22" s="142"/>
      <c r="RCB22" s="142"/>
      <c r="RCC22" s="142"/>
      <c r="RCD22" s="142"/>
      <c r="RCE22" s="142"/>
      <c r="RCF22" s="142"/>
      <c r="RCG22" s="142"/>
      <c r="RCH22" s="142"/>
      <c r="RCI22" s="142"/>
      <c r="RCJ22" s="142"/>
      <c r="RCK22" s="142"/>
      <c r="RCL22" s="142"/>
      <c r="RCM22" s="142"/>
      <c r="RCN22" s="142"/>
      <c r="RCO22" s="142"/>
      <c r="RCP22" s="142"/>
      <c r="RCQ22" s="142"/>
      <c r="RCR22" s="142"/>
      <c r="RCS22" s="142"/>
      <c r="RCT22" s="142"/>
      <c r="RCU22" s="142"/>
      <c r="RCV22" s="142"/>
      <c r="RCW22" s="142"/>
      <c r="RCX22" s="142"/>
      <c r="RCY22" s="142"/>
      <c r="RCZ22" s="142"/>
      <c r="RDA22" s="142"/>
      <c r="RDB22" s="142"/>
      <c r="RDC22" s="142"/>
      <c r="RDD22" s="142"/>
      <c r="RDE22" s="142"/>
      <c r="RDF22" s="142"/>
      <c r="RDG22" s="142"/>
      <c r="RDH22" s="142"/>
      <c r="RDI22" s="142"/>
      <c r="RDJ22" s="142"/>
      <c r="RDK22" s="142"/>
      <c r="RDL22" s="142"/>
      <c r="RDM22" s="142"/>
      <c r="RDN22" s="142"/>
      <c r="RDO22" s="142"/>
      <c r="RDP22" s="142"/>
      <c r="RDQ22" s="142"/>
      <c r="RDR22" s="142"/>
      <c r="RDS22" s="142"/>
      <c r="RDT22" s="142"/>
      <c r="RDU22" s="142"/>
      <c r="RDV22" s="142"/>
      <c r="RDW22" s="142"/>
      <c r="RDX22" s="142"/>
      <c r="RDY22" s="142"/>
      <c r="RDZ22" s="142"/>
      <c r="REA22" s="142"/>
      <c r="REB22" s="142"/>
      <c r="REC22" s="142"/>
      <c r="RED22" s="142"/>
      <c r="REE22" s="142"/>
      <c r="REF22" s="142"/>
      <c r="REG22" s="142"/>
      <c r="REH22" s="142"/>
      <c r="REI22" s="142"/>
      <c r="REJ22" s="142"/>
      <c r="REK22" s="142"/>
      <c r="REL22" s="142"/>
      <c r="REM22" s="142"/>
      <c r="REN22" s="142"/>
      <c r="REO22" s="142"/>
      <c r="REP22" s="142"/>
      <c r="REQ22" s="142"/>
      <c r="RER22" s="142"/>
      <c r="RES22" s="142"/>
      <c r="RET22" s="142"/>
      <c r="REU22" s="142"/>
      <c r="REV22" s="142"/>
      <c r="REW22" s="142"/>
      <c r="REX22" s="142"/>
      <c r="REY22" s="142"/>
      <c r="REZ22" s="142"/>
      <c r="RFA22" s="142"/>
      <c r="RFB22" s="142"/>
      <c r="RFC22" s="142"/>
      <c r="RFD22" s="142"/>
      <c r="RFE22" s="142"/>
      <c r="RFF22" s="142"/>
      <c r="RFG22" s="142"/>
      <c r="RFH22" s="142"/>
      <c r="RFI22" s="142"/>
      <c r="RFJ22" s="142"/>
      <c r="RFK22" s="142"/>
      <c r="RFL22" s="142"/>
      <c r="RFM22" s="142"/>
      <c r="RFN22" s="142"/>
      <c r="RFO22" s="142"/>
      <c r="RFP22" s="142"/>
      <c r="RFQ22" s="142"/>
      <c r="RFR22" s="142"/>
      <c r="RFS22" s="142"/>
      <c r="RFT22" s="142"/>
      <c r="RFU22" s="142"/>
      <c r="RFV22" s="142"/>
      <c r="RFW22" s="142"/>
      <c r="RFX22" s="142"/>
      <c r="RFY22" s="142"/>
      <c r="RFZ22" s="142"/>
      <c r="RGA22" s="142"/>
      <c r="RGB22" s="142"/>
      <c r="RGC22" s="142"/>
      <c r="RGD22" s="142"/>
      <c r="RGE22" s="142"/>
      <c r="RGF22" s="142"/>
      <c r="RGG22" s="142"/>
      <c r="RGH22" s="142"/>
      <c r="RGI22" s="142"/>
      <c r="RGJ22" s="142"/>
      <c r="RGK22" s="142"/>
      <c r="RGL22" s="142"/>
      <c r="RGM22" s="142"/>
      <c r="RGN22" s="142"/>
      <c r="RGO22" s="142"/>
      <c r="RGP22" s="142"/>
      <c r="RGQ22" s="142"/>
      <c r="RGR22" s="142"/>
      <c r="RGS22" s="142"/>
      <c r="RGT22" s="142"/>
      <c r="RGU22" s="142"/>
      <c r="RGV22" s="142"/>
      <c r="RGW22" s="142"/>
      <c r="RGX22" s="142"/>
      <c r="RGY22" s="142"/>
      <c r="RGZ22" s="142"/>
      <c r="RHA22" s="142"/>
      <c r="RHB22" s="142"/>
      <c r="RHC22" s="142"/>
      <c r="RHD22" s="142"/>
      <c r="RHE22" s="142"/>
      <c r="RHF22" s="142"/>
      <c r="RHG22" s="142"/>
      <c r="RHH22" s="142"/>
      <c r="RHI22" s="142"/>
      <c r="RHJ22" s="142"/>
      <c r="RHK22" s="142"/>
      <c r="RHL22" s="142"/>
      <c r="RHM22" s="142"/>
      <c r="RHN22" s="142"/>
      <c r="RHO22" s="142"/>
      <c r="RHP22" s="142"/>
      <c r="RHQ22" s="142"/>
      <c r="RHR22" s="142"/>
      <c r="RHS22" s="142"/>
      <c r="RHT22" s="142"/>
      <c r="RHU22" s="142"/>
      <c r="RHV22" s="142"/>
      <c r="RHW22" s="142"/>
      <c r="RHX22" s="142"/>
      <c r="RHY22" s="142"/>
      <c r="RHZ22" s="142"/>
      <c r="RIA22" s="142"/>
      <c r="RIB22" s="142"/>
      <c r="RIC22" s="142"/>
      <c r="RID22" s="142"/>
      <c r="RIE22" s="142"/>
      <c r="RIF22" s="142"/>
      <c r="RIG22" s="142"/>
      <c r="RIH22" s="142"/>
      <c r="RII22" s="142"/>
      <c r="RIJ22" s="142"/>
      <c r="RIK22" s="142"/>
      <c r="RIL22" s="142"/>
      <c r="RIM22" s="142"/>
      <c r="RIN22" s="142"/>
      <c r="RIO22" s="142"/>
      <c r="RIP22" s="142"/>
      <c r="RIQ22" s="142"/>
      <c r="RIR22" s="142"/>
      <c r="RIS22" s="142"/>
      <c r="RIT22" s="142"/>
      <c r="RIU22" s="142"/>
      <c r="RIV22" s="142"/>
      <c r="RIW22" s="142"/>
      <c r="RIX22" s="142"/>
      <c r="RIY22" s="142"/>
      <c r="RIZ22" s="142"/>
      <c r="RJA22" s="142"/>
      <c r="RJB22" s="142"/>
      <c r="RJC22" s="142"/>
      <c r="RJD22" s="142"/>
      <c r="RJE22" s="142"/>
      <c r="RJF22" s="142"/>
      <c r="RJG22" s="142"/>
      <c r="RJH22" s="142"/>
      <c r="RJI22" s="142"/>
      <c r="RJJ22" s="142"/>
      <c r="RJK22" s="142"/>
      <c r="RJL22" s="142"/>
      <c r="RJM22" s="142"/>
      <c r="RJN22" s="142"/>
      <c r="RJO22" s="142"/>
      <c r="RJP22" s="142"/>
      <c r="RJQ22" s="142"/>
      <c r="RJR22" s="142"/>
      <c r="RJS22" s="142"/>
      <c r="RJT22" s="142"/>
      <c r="RJU22" s="142"/>
      <c r="RJV22" s="142"/>
      <c r="RJW22" s="142"/>
      <c r="RJX22" s="142"/>
      <c r="RJY22" s="142"/>
      <c r="RJZ22" s="142"/>
      <c r="RKA22" s="142"/>
      <c r="RKB22" s="142"/>
      <c r="RKC22" s="142"/>
      <c r="RKD22" s="142"/>
      <c r="RKE22" s="142"/>
      <c r="RKF22" s="142"/>
      <c r="RKG22" s="142"/>
      <c r="RKH22" s="142"/>
      <c r="RKI22" s="142"/>
      <c r="RKJ22" s="142"/>
      <c r="RKK22" s="142"/>
      <c r="RKL22" s="142"/>
      <c r="RKM22" s="142"/>
      <c r="RKN22" s="142"/>
      <c r="RKO22" s="142"/>
      <c r="RKP22" s="142"/>
      <c r="RKQ22" s="142"/>
      <c r="RKR22" s="142"/>
      <c r="RKS22" s="142"/>
      <c r="RKT22" s="142"/>
      <c r="RKU22" s="142"/>
      <c r="RKV22" s="142"/>
      <c r="RKW22" s="142"/>
      <c r="RKX22" s="142"/>
      <c r="RKY22" s="142"/>
      <c r="RKZ22" s="142"/>
      <c r="RLA22" s="142"/>
      <c r="RLB22" s="142"/>
      <c r="RLC22" s="142"/>
      <c r="RLD22" s="142"/>
      <c r="RLE22" s="142"/>
      <c r="RLF22" s="142"/>
      <c r="RLG22" s="142"/>
      <c r="RLH22" s="142"/>
      <c r="RLI22" s="142"/>
      <c r="RLJ22" s="142"/>
      <c r="RLK22" s="142"/>
      <c r="RLL22" s="142"/>
      <c r="RLM22" s="142"/>
      <c r="RLN22" s="142"/>
      <c r="RLO22" s="142"/>
      <c r="RLP22" s="142"/>
      <c r="RLQ22" s="142"/>
      <c r="RLR22" s="142"/>
      <c r="RLS22" s="142"/>
      <c r="RLT22" s="142"/>
      <c r="RLU22" s="142"/>
      <c r="RLV22" s="142"/>
      <c r="RLW22" s="142"/>
      <c r="RLX22" s="142"/>
      <c r="RLY22" s="142"/>
      <c r="RLZ22" s="142"/>
      <c r="RMA22" s="142"/>
      <c r="RMB22" s="142"/>
      <c r="RMC22" s="142"/>
      <c r="RMD22" s="142"/>
      <c r="RME22" s="142"/>
      <c r="RMF22" s="142"/>
      <c r="RMG22" s="142"/>
      <c r="RMH22" s="142"/>
      <c r="RMI22" s="142"/>
      <c r="RMJ22" s="142"/>
      <c r="RMK22" s="142"/>
      <c r="RML22" s="142"/>
      <c r="RMM22" s="142"/>
      <c r="RMN22" s="142"/>
      <c r="RMO22" s="142"/>
      <c r="RMP22" s="142"/>
      <c r="RMQ22" s="142"/>
      <c r="RMR22" s="142"/>
      <c r="RMS22" s="142"/>
      <c r="RMT22" s="142"/>
      <c r="RMU22" s="142"/>
      <c r="RMV22" s="142"/>
      <c r="RMW22" s="142"/>
      <c r="RMX22" s="142"/>
      <c r="RMY22" s="142"/>
      <c r="RMZ22" s="142"/>
      <c r="RNA22" s="142"/>
      <c r="RNB22" s="142"/>
      <c r="RNC22" s="142"/>
      <c r="RND22" s="142"/>
      <c r="RNE22" s="142"/>
      <c r="RNF22" s="142"/>
      <c r="RNG22" s="142"/>
      <c r="RNH22" s="142"/>
      <c r="RNI22" s="142"/>
      <c r="RNJ22" s="142"/>
      <c r="RNK22" s="142"/>
      <c r="RNL22" s="142"/>
      <c r="RNM22" s="142"/>
      <c r="RNN22" s="142"/>
      <c r="RNO22" s="142"/>
      <c r="RNP22" s="142"/>
      <c r="RNQ22" s="142"/>
      <c r="RNR22" s="142"/>
      <c r="RNS22" s="142"/>
      <c r="RNT22" s="142"/>
      <c r="RNU22" s="142"/>
      <c r="RNV22" s="142"/>
      <c r="RNW22" s="142"/>
      <c r="RNX22" s="142"/>
      <c r="RNY22" s="142"/>
      <c r="RNZ22" s="142"/>
      <c r="ROA22" s="142"/>
      <c r="ROB22" s="142"/>
      <c r="ROC22" s="142"/>
      <c r="ROD22" s="142"/>
      <c r="ROE22" s="142"/>
      <c r="ROF22" s="142"/>
      <c r="ROG22" s="142"/>
      <c r="ROH22" s="142"/>
      <c r="ROI22" s="142"/>
      <c r="ROJ22" s="142"/>
      <c r="ROK22" s="142"/>
      <c r="ROL22" s="142"/>
      <c r="ROM22" s="142"/>
      <c r="RON22" s="142"/>
      <c r="ROO22" s="142"/>
      <c r="ROP22" s="142"/>
      <c r="ROQ22" s="142"/>
      <c r="ROR22" s="142"/>
      <c r="ROS22" s="142"/>
      <c r="ROT22" s="142"/>
      <c r="ROU22" s="142"/>
      <c r="ROV22" s="142"/>
      <c r="ROW22" s="142"/>
      <c r="ROX22" s="142"/>
      <c r="ROY22" s="142"/>
      <c r="ROZ22" s="142"/>
      <c r="RPA22" s="142"/>
      <c r="RPB22" s="142"/>
      <c r="RPC22" s="142"/>
      <c r="RPD22" s="142"/>
      <c r="RPE22" s="142"/>
      <c r="RPF22" s="142"/>
      <c r="RPG22" s="142"/>
      <c r="RPH22" s="142"/>
      <c r="RPI22" s="142"/>
      <c r="RPJ22" s="142"/>
      <c r="RPK22" s="142"/>
      <c r="RPL22" s="142"/>
      <c r="RPM22" s="142"/>
      <c r="RPN22" s="142"/>
      <c r="RPO22" s="142"/>
      <c r="RPP22" s="142"/>
      <c r="RPQ22" s="142"/>
      <c r="RPR22" s="142"/>
      <c r="RPS22" s="142"/>
      <c r="RPT22" s="142"/>
      <c r="RPU22" s="142"/>
      <c r="RPV22" s="142"/>
      <c r="RPW22" s="142"/>
      <c r="RPX22" s="142"/>
      <c r="RPY22" s="142"/>
      <c r="RPZ22" s="142"/>
      <c r="RQA22" s="142"/>
      <c r="RQB22" s="142"/>
      <c r="RQC22" s="142"/>
      <c r="RQD22" s="142"/>
      <c r="RQE22" s="142"/>
      <c r="RQF22" s="142"/>
      <c r="RQG22" s="142"/>
      <c r="RQH22" s="142"/>
      <c r="RQI22" s="142"/>
      <c r="RQJ22" s="142"/>
      <c r="RQK22" s="142"/>
      <c r="RQL22" s="142"/>
      <c r="RQM22" s="142"/>
      <c r="RQN22" s="142"/>
      <c r="RQO22" s="142"/>
      <c r="RQP22" s="142"/>
      <c r="RQQ22" s="142"/>
      <c r="RQR22" s="142"/>
      <c r="RQS22" s="142"/>
      <c r="RQT22" s="142"/>
      <c r="RQU22" s="142"/>
      <c r="RQV22" s="142"/>
      <c r="RQW22" s="142"/>
      <c r="RQX22" s="142"/>
      <c r="RQY22" s="142"/>
      <c r="RQZ22" s="142"/>
      <c r="RRA22" s="142"/>
      <c r="RRB22" s="142"/>
      <c r="RRC22" s="142"/>
      <c r="RRD22" s="142"/>
      <c r="RRE22" s="142"/>
      <c r="RRF22" s="142"/>
      <c r="RRG22" s="142"/>
      <c r="RRH22" s="142"/>
      <c r="RRI22" s="142"/>
      <c r="RRJ22" s="142"/>
      <c r="RRK22" s="142"/>
      <c r="RRL22" s="142"/>
      <c r="RRM22" s="142"/>
      <c r="RRN22" s="142"/>
      <c r="RRO22" s="142"/>
      <c r="RRP22" s="142"/>
      <c r="RRQ22" s="142"/>
      <c r="RRR22" s="142"/>
      <c r="RRS22" s="142"/>
      <c r="RRT22" s="142"/>
      <c r="RRU22" s="142"/>
      <c r="RRV22" s="142"/>
      <c r="RRW22" s="142"/>
      <c r="RRX22" s="142"/>
      <c r="RRY22" s="142"/>
      <c r="RRZ22" s="142"/>
      <c r="RSA22" s="142"/>
      <c r="RSB22" s="142"/>
      <c r="RSC22" s="142"/>
      <c r="RSD22" s="142"/>
      <c r="RSE22" s="142"/>
      <c r="RSF22" s="142"/>
      <c r="RSG22" s="142"/>
      <c r="RSH22" s="142"/>
      <c r="RSI22" s="142"/>
      <c r="RSJ22" s="142"/>
      <c r="RSK22" s="142"/>
      <c r="RSL22" s="142"/>
      <c r="RSM22" s="142"/>
      <c r="RSN22" s="142"/>
      <c r="RSO22" s="142"/>
      <c r="RSP22" s="142"/>
      <c r="RSQ22" s="142"/>
      <c r="RSR22" s="142"/>
      <c r="RSS22" s="142"/>
      <c r="RST22" s="142"/>
      <c r="RSU22" s="142"/>
      <c r="RSV22" s="142"/>
      <c r="RSW22" s="142"/>
      <c r="RSX22" s="142"/>
      <c r="RSY22" s="142"/>
      <c r="RSZ22" s="142"/>
      <c r="RTA22" s="142"/>
      <c r="RTB22" s="142"/>
      <c r="RTC22" s="142"/>
      <c r="RTD22" s="142"/>
      <c r="RTE22" s="142"/>
      <c r="RTF22" s="142"/>
      <c r="RTG22" s="142"/>
      <c r="RTH22" s="142"/>
      <c r="RTI22" s="142"/>
      <c r="RTJ22" s="142"/>
      <c r="RTK22" s="142"/>
      <c r="RTL22" s="142"/>
      <c r="RTM22" s="142"/>
      <c r="RTN22" s="142"/>
      <c r="RTO22" s="142"/>
      <c r="RTP22" s="142"/>
      <c r="RTQ22" s="142"/>
      <c r="RTR22" s="142"/>
      <c r="RTS22" s="142"/>
      <c r="RTT22" s="142"/>
      <c r="RTU22" s="142"/>
      <c r="RTV22" s="142"/>
      <c r="RTW22" s="142"/>
      <c r="RTX22" s="142"/>
      <c r="RTY22" s="142"/>
      <c r="RTZ22" s="142"/>
      <c r="RUA22" s="142"/>
      <c r="RUB22" s="142"/>
      <c r="RUC22" s="142"/>
      <c r="RUD22" s="142"/>
      <c r="RUE22" s="142"/>
      <c r="RUF22" s="142"/>
      <c r="RUG22" s="142"/>
      <c r="RUH22" s="142"/>
      <c r="RUI22" s="142"/>
      <c r="RUJ22" s="142"/>
      <c r="RUK22" s="142"/>
      <c r="RUL22" s="142"/>
      <c r="RUM22" s="142"/>
      <c r="RUN22" s="142"/>
      <c r="RUO22" s="142"/>
      <c r="RUP22" s="142"/>
      <c r="RUQ22" s="142"/>
      <c r="RUR22" s="142"/>
      <c r="RUS22" s="142"/>
      <c r="RUT22" s="142"/>
      <c r="RUU22" s="142"/>
      <c r="RUV22" s="142"/>
      <c r="RUW22" s="142"/>
      <c r="RUX22" s="142"/>
      <c r="RUY22" s="142"/>
      <c r="RUZ22" s="142"/>
      <c r="RVA22" s="142"/>
      <c r="RVB22" s="142"/>
      <c r="RVC22" s="142"/>
      <c r="RVD22" s="142"/>
      <c r="RVE22" s="142"/>
      <c r="RVF22" s="142"/>
      <c r="RVG22" s="142"/>
      <c r="RVH22" s="142"/>
      <c r="RVI22" s="142"/>
      <c r="RVJ22" s="142"/>
      <c r="RVK22" s="142"/>
      <c r="RVL22" s="142"/>
      <c r="RVM22" s="142"/>
      <c r="RVN22" s="142"/>
      <c r="RVO22" s="142"/>
      <c r="RVP22" s="142"/>
      <c r="RVQ22" s="142"/>
      <c r="RVR22" s="142"/>
      <c r="RVS22" s="142"/>
      <c r="RVT22" s="142"/>
      <c r="RVU22" s="142"/>
      <c r="RVV22" s="142"/>
      <c r="RVW22" s="142"/>
      <c r="RVX22" s="142"/>
      <c r="RVY22" s="142"/>
      <c r="RVZ22" s="142"/>
      <c r="RWA22" s="142"/>
      <c r="RWB22" s="142"/>
      <c r="RWC22" s="142"/>
      <c r="RWD22" s="142"/>
      <c r="RWE22" s="142"/>
      <c r="RWF22" s="142"/>
      <c r="RWG22" s="142"/>
      <c r="RWH22" s="142"/>
      <c r="RWI22" s="142"/>
      <c r="RWJ22" s="142"/>
      <c r="RWK22" s="142"/>
      <c r="RWL22" s="142"/>
      <c r="RWM22" s="142"/>
      <c r="RWN22" s="142"/>
      <c r="RWO22" s="142"/>
      <c r="RWP22" s="142"/>
      <c r="RWQ22" s="142"/>
      <c r="RWR22" s="142"/>
      <c r="RWS22" s="142"/>
      <c r="RWT22" s="142"/>
      <c r="RWU22" s="142"/>
      <c r="RWV22" s="142"/>
      <c r="RWW22" s="142"/>
      <c r="RWX22" s="142"/>
      <c r="RWY22" s="142"/>
      <c r="RWZ22" s="142"/>
      <c r="RXA22" s="142"/>
      <c r="RXB22" s="142"/>
      <c r="RXC22" s="142"/>
      <c r="RXD22" s="142"/>
      <c r="RXE22" s="142"/>
      <c r="RXF22" s="142"/>
      <c r="RXG22" s="142"/>
      <c r="RXH22" s="142"/>
      <c r="RXI22" s="142"/>
      <c r="RXJ22" s="142"/>
      <c r="RXK22" s="142"/>
      <c r="RXL22" s="142"/>
      <c r="RXM22" s="142"/>
      <c r="RXN22" s="142"/>
      <c r="RXO22" s="142"/>
      <c r="RXP22" s="142"/>
      <c r="RXQ22" s="142"/>
      <c r="RXR22" s="142"/>
      <c r="RXS22" s="142"/>
      <c r="RXT22" s="142"/>
      <c r="RXU22" s="142"/>
      <c r="RXV22" s="142"/>
      <c r="RXW22" s="142"/>
      <c r="RXX22" s="142"/>
      <c r="RXY22" s="142"/>
      <c r="RXZ22" s="142"/>
      <c r="RYA22" s="142"/>
      <c r="RYB22" s="142"/>
      <c r="RYC22" s="142"/>
      <c r="RYD22" s="142"/>
      <c r="RYE22" s="142"/>
      <c r="RYF22" s="142"/>
      <c r="RYG22" s="142"/>
      <c r="RYH22" s="142"/>
      <c r="RYI22" s="142"/>
      <c r="RYJ22" s="142"/>
      <c r="RYK22" s="142"/>
      <c r="RYL22" s="142"/>
      <c r="RYM22" s="142"/>
      <c r="RYN22" s="142"/>
      <c r="RYO22" s="142"/>
      <c r="RYP22" s="142"/>
      <c r="RYQ22" s="142"/>
      <c r="RYR22" s="142"/>
      <c r="RYS22" s="142"/>
      <c r="RYT22" s="142"/>
      <c r="RYU22" s="142"/>
      <c r="RYV22" s="142"/>
      <c r="RYW22" s="142"/>
      <c r="RYX22" s="142"/>
      <c r="RYY22" s="142"/>
      <c r="RYZ22" s="142"/>
      <c r="RZA22" s="142"/>
      <c r="RZB22" s="142"/>
      <c r="RZC22" s="142"/>
      <c r="RZD22" s="142"/>
      <c r="RZE22" s="142"/>
      <c r="RZF22" s="142"/>
      <c r="RZG22" s="142"/>
      <c r="RZH22" s="142"/>
      <c r="RZI22" s="142"/>
      <c r="RZJ22" s="142"/>
      <c r="RZK22" s="142"/>
      <c r="RZL22" s="142"/>
      <c r="RZM22" s="142"/>
      <c r="RZN22" s="142"/>
      <c r="RZO22" s="142"/>
      <c r="RZP22" s="142"/>
      <c r="RZQ22" s="142"/>
      <c r="RZR22" s="142"/>
      <c r="RZS22" s="142"/>
      <c r="RZT22" s="142"/>
      <c r="RZU22" s="142"/>
      <c r="RZV22" s="142"/>
      <c r="RZW22" s="142"/>
      <c r="RZX22" s="142"/>
      <c r="RZY22" s="142"/>
      <c r="RZZ22" s="142"/>
      <c r="SAA22" s="142"/>
      <c r="SAB22" s="142"/>
      <c r="SAC22" s="142"/>
      <c r="SAD22" s="142"/>
      <c r="SAE22" s="142"/>
      <c r="SAF22" s="142"/>
      <c r="SAG22" s="142"/>
      <c r="SAH22" s="142"/>
      <c r="SAI22" s="142"/>
      <c r="SAJ22" s="142"/>
      <c r="SAK22" s="142"/>
      <c r="SAL22" s="142"/>
      <c r="SAM22" s="142"/>
      <c r="SAN22" s="142"/>
      <c r="SAO22" s="142"/>
      <c r="SAP22" s="142"/>
      <c r="SAQ22" s="142"/>
      <c r="SAR22" s="142"/>
      <c r="SAS22" s="142"/>
      <c r="SAT22" s="142"/>
      <c r="SAU22" s="142"/>
      <c r="SAV22" s="142"/>
      <c r="SAW22" s="142"/>
      <c r="SAX22" s="142"/>
      <c r="SAY22" s="142"/>
      <c r="SAZ22" s="142"/>
      <c r="SBA22" s="142"/>
      <c r="SBB22" s="142"/>
      <c r="SBC22" s="142"/>
      <c r="SBD22" s="142"/>
      <c r="SBE22" s="142"/>
      <c r="SBF22" s="142"/>
      <c r="SBG22" s="142"/>
      <c r="SBH22" s="142"/>
      <c r="SBI22" s="142"/>
      <c r="SBJ22" s="142"/>
      <c r="SBK22" s="142"/>
      <c r="SBL22" s="142"/>
      <c r="SBM22" s="142"/>
      <c r="SBN22" s="142"/>
      <c r="SBO22" s="142"/>
      <c r="SBP22" s="142"/>
      <c r="SBQ22" s="142"/>
      <c r="SBR22" s="142"/>
      <c r="SBS22" s="142"/>
      <c r="SBT22" s="142"/>
      <c r="SBU22" s="142"/>
      <c r="SBV22" s="142"/>
      <c r="SBW22" s="142"/>
      <c r="SBX22" s="142"/>
      <c r="SBY22" s="142"/>
      <c r="SBZ22" s="142"/>
      <c r="SCA22" s="142"/>
      <c r="SCB22" s="142"/>
      <c r="SCC22" s="142"/>
      <c r="SCD22" s="142"/>
      <c r="SCE22" s="142"/>
      <c r="SCF22" s="142"/>
      <c r="SCG22" s="142"/>
      <c r="SCH22" s="142"/>
      <c r="SCI22" s="142"/>
      <c r="SCJ22" s="142"/>
      <c r="SCK22" s="142"/>
      <c r="SCL22" s="142"/>
      <c r="SCM22" s="142"/>
      <c r="SCN22" s="142"/>
      <c r="SCO22" s="142"/>
      <c r="SCP22" s="142"/>
      <c r="SCQ22" s="142"/>
      <c r="SCR22" s="142"/>
      <c r="SCS22" s="142"/>
      <c r="SCT22" s="142"/>
      <c r="SCU22" s="142"/>
      <c r="SCV22" s="142"/>
      <c r="SCW22" s="142"/>
      <c r="SCX22" s="142"/>
      <c r="SCY22" s="142"/>
      <c r="SCZ22" s="142"/>
      <c r="SDA22" s="142"/>
      <c r="SDB22" s="142"/>
      <c r="SDC22" s="142"/>
      <c r="SDD22" s="142"/>
      <c r="SDE22" s="142"/>
      <c r="SDF22" s="142"/>
      <c r="SDG22" s="142"/>
      <c r="SDH22" s="142"/>
      <c r="SDI22" s="142"/>
      <c r="SDJ22" s="142"/>
      <c r="SDK22" s="142"/>
      <c r="SDL22" s="142"/>
      <c r="SDM22" s="142"/>
      <c r="SDN22" s="142"/>
      <c r="SDO22" s="142"/>
      <c r="SDP22" s="142"/>
      <c r="SDQ22" s="142"/>
      <c r="SDR22" s="142"/>
      <c r="SDS22" s="142"/>
      <c r="SDT22" s="142"/>
      <c r="SDU22" s="142"/>
      <c r="SDV22" s="142"/>
      <c r="SDW22" s="142"/>
      <c r="SDX22" s="142"/>
      <c r="SDY22" s="142"/>
      <c r="SDZ22" s="142"/>
      <c r="SEA22" s="142"/>
      <c r="SEB22" s="142"/>
      <c r="SEC22" s="142"/>
      <c r="SED22" s="142"/>
      <c r="SEE22" s="142"/>
      <c r="SEF22" s="142"/>
      <c r="SEG22" s="142"/>
      <c r="SEH22" s="142"/>
      <c r="SEI22" s="142"/>
      <c r="SEJ22" s="142"/>
      <c r="SEK22" s="142"/>
      <c r="SEL22" s="142"/>
      <c r="SEM22" s="142"/>
      <c r="SEN22" s="142"/>
      <c r="SEO22" s="142"/>
      <c r="SEP22" s="142"/>
      <c r="SEQ22" s="142"/>
      <c r="SER22" s="142"/>
      <c r="SES22" s="142"/>
      <c r="SET22" s="142"/>
      <c r="SEU22" s="142"/>
      <c r="SEV22" s="142"/>
      <c r="SEW22" s="142"/>
      <c r="SEX22" s="142"/>
      <c r="SEY22" s="142"/>
      <c r="SEZ22" s="142"/>
      <c r="SFA22" s="142"/>
      <c r="SFB22" s="142"/>
      <c r="SFC22" s="142"/>
      <c r="SFD22" s="142"/>
      <c r="SFE22" s="142"/>
      <c r="SFF22" s="142"/>
      <c r="SFG22" s="142"/>
      <c r="SFH22" s="142"/>
      <c r="SFI22" s="142"/>
      <c r="SFJ22" s="142"/>
      <c r="SFK22" s="142"/>
      <c r="SFL22" s="142"/>
      <c r="SFM22" s="142"/>
      <c r="SFN22" s="142"/>
      <c r="SFO22" s="142"/>
      <c r="SFP22" s="142"/>
      <c r="SFQ22" s="142"/>
      <c r="SFR22" s="142"/>
      <c r="SFS22" s="142"/>
      <c r="SFT22" s="142"/>
      <c r="SFU22" s="142"/>
      <c r="SFV22" s="142"/>
      <c r="SFW22" s="142"/>
      <c r="SFX22" s="142"/>
      <c r="SFY22" s="142"/>
      <c r="SFZ22" s="142"/>
      <c r="SGA22" s="142"/>
      <c r="SGB22" s="142"/>
      <c r="SGC22" s="142"/>
      <c r="SGD22" s="142"/>
      <c r="SGE22" s="142"/>
      <c r="SGF22" s="142"/>
      <c r="SGG22" s="142"/>
      <c r="SGH22" s="142"/>
      <c r="SGI22" s="142"/>
      <c r="SGJ22" s="142"/>
      <c r="SGK22" s="142"/>
      <c r="SGL22" s="142"/>
      <c r="SGM22" s="142"/>
      <c r="SGN22" s="142"/>
      <c r="SGO22" s="142"/>
      <c r="SGP22" s="142"/>
      <c r="SGQ22" s="142"/>
      <c r="SGR22" s="142"/>
      <c r="SGS22" s="142"/>
      <c r="SGT22" s="142"/>
      <c r="SGU22" s="142"/>
      <c r="SGV22" s="142"/>
      <c r="SGW22" s="142"/>
      <c r="SGX22" s="142"/>
      <c r="SGY22" s="142"/>
      <c r="SGZ22" s="142"/>
      <c r="SHA22" s="142"/>
      <c r="SHB22" s="142"/>
      <c r="SHC22" s="142"/>
      <c r="SHD22" s="142"/>
      <c r="SHE22" s="142"/>
      <c r="SHF22" s="142"/>
      <c r="SHG22" s="142"/>
      <c r="SHH22" s="142"/>
      <c r="SHI22" s="142"/>
      <c r="SHJ22" s="142"/>
      <c r="SHK22" s="142"/>
      <c r="SHL22" s="142"/>
      <c r="SHM22" s="142"/>
      <c r="SHN22" s="142"/>
      <c r="SHO22" s="142"/>
      <c r="SHP22" s="142"/>
      <c r="SHQ22" s="142"/>
      <c r="SHR22" s="142"/>
      <c r="SHS22" s="142"/>
      <c r="SHT22" s="142"/>
      <c r="SHU22" s="142"/>
      <c r="SHV22" s="142"/>
      <c r="SHW22" s="142"/>
      <c r="SHX22" s="142"/>
      <c r="SHY22" s="142"/>
      <c r="SHZ22" s="142"/>
      <c r="SIA22" s="142"/>
      <c r="SIB22" s="142"/>
      <c r="SIC22" s="142"/>
      <c r="SID22" s="142"/>
      <c r="SIE22" s="142"/>
      <c r="SIF22" s="142"/>
      <c r="SIG22" s="142"/>
      <c r="SIH22" s="142"/>
      <c r="SII22" s="142"/>
      <c r="SIJ22" s="142"/>
      <c r="SIK22" s="142"/>
      <c r="SIL22" s="142"/>
      <c r="SIM22" s="142"/>
      <c r="SIN22" s="142"/>
      <c r="SIO22" s="142"/>
      <c r="SIP22" s="142"/>
      <c r="SIQ22" s="142"/>
      <c r="SIR22" s="142"/>
      <c r="SIS22" s="142"/>
      <c r="SIT22" s="142"/>
      <c r="SIU22" s="142"/>
      <c r="SIV22" s="142"/>
      <c r="SIW22" s="142"/>
      <c r="SIX22" s="142"/>
      <c r="SIY22" s="142"/>
      <c r="SIZ22" s="142"/>
      <c r="SJA22" s="142"/>
      <c r="SJB22" s="142"/>
      <c r="SJC22" s="142"/>
      <c r="SJD22" s="142"/>
      <c r="SJE22" s="142"/>
      <c r="SJF22" s="142"/>
      <c r="SJG22" s="142"/>
      <c r="SJH22" s="142"/>
      <c r="SJI22" s="142"/>
      <c r="SJJ22" s="142"/>
      <c r="SJK22" s="142"/>
      <c r="SJL22" s="142"/>
      <c r="SJM22" s="142"/>
      <c r="SJN22" s="142"/>
      <c r="SJO22" s="142"/>
      <c r="SJP22" s="142"/>
      <c r="SJQ22" s="142"/>
      <c r="SJR22" s="142"/>
      <c r="SJS22" s="142"/>
      <c r="SJT22" s="142"/>
      <c r="SJU22" s="142"/>
      <c r="SJV22" s="142"/>
      <c r="SJW22" s="142"/>
      <c r="SJX22" s="142"/>
      <c r="SJY22" s="142"/>
      <c r="SJZ22" s="142"/>
      <c r="SKA22" s="142"/>
      <c r="SKB22" s="142"/>
      <c r="SKC22" s="142"/>
      <c r="SKD22" s="142"/>
      <c r="SKE22" s="142"/>
      <c r="SKF22" s="142"/>
      <c r="SKG22" s="142"/>
      <c r="SKH22" s="142"/>
      <c r="SKI22" s="142"/>
      <c r="SKJ22" s="142"/>
      <c r="SKK22" s="142"/>
      <c r="SKL22" s="142"/>
      <c r="SKM22" s="142"/>
      <c r="SKN22" s="142"/>
      <c r="SKO22" s="142"/>
      <c r="SKP22" s="142"/>
      <c r="SKQ22" s="142"/>
      <c r="SKR22" s="142"/>
      <c r="SKS22" s="142"/>
      <c r="SKT22" s="142"/>
      <c r="SKU22" s="142"/>
      <c r="SKV22" s="142"/>
      <c r="SKW22" s="142"/>
      <c r="SKX22" s="142"/>
      <c r="SKY22" s="142"/>
      <c r="SKZ22" s="142"/>
      <c r="SLA22" s="142"/>
      <c r="SLB22" s="142"/>
      <c r="SLC22" s="142"/>
      <c r="SLD22" s="142"/>
      <c r="SLE22" s="142"/>
      <c r="SLF22" s="142"/>
      <c r="SLG22" s="142"/>
      <c r="SLH22" s="142"/>
      <c r="SLI22" s="142"/>
      <c r="SLJ22" s="142"/>
      <c r="SLK22" s="142"/>
      <c r="SLL22" s="142"/>
      <c r="SLM22" s="142"/>
      <c r="SLN22" s="142"/>
      <c r="SLO22" s="142"/>
      <c r="SLP22" s="142"/>
      <c r="SLQ22" s="142"/>
      <c r="SLR22" s="142"/>
      <c r="SLS22" s="142"/>
      <c r="SLT22" s="142"/>
      <c r="SLU22" s="142"/>
      <c r="SLV22" s="142"/>
      <c r="SLW22" s="142"/>
      <c r="SLX22" s="142"/>
      <c r="SLY22" s="142"/>
      <c r="SLZ22" s="142"/>
      <c r="SMA22" s="142"/>
      <c r="SMB22" s="142"/>
      <c r="SMC22" s="142"/>
      <c r="SMD22" s="142"/>
      <c r="SME22" s="142"/>
      <c r="SMF22" s="142"/>
      <c r="SMG22" s="142"/>
      <c r="SMH22" s="142"/>
      <c r="SMI22" s="142"/>
      <c r="SMJ22" s="142"/>
      <c r="SMK22" s="142"/>
      <c r="SML22" s="142"/>
      <c r="SMM22" s="142"/>
      <c r="SMN22" s="142"/>
      <c r="SMO22" s="142"/>
      <c r="SMP22" s="142"/>
      <c r="SMQ22" s="142"/>
      <c r="SMR22" s="142"/>
      <c r="SMS22" s="142"/>
      <c r="SMT22" s="142"/>
      <c r="SMU22" s="142"/>
      <c r="SMV22" s="142"/>
      <c r="SMW22" s="142"/>
      <c r="SMX22" s="142"/>
      <c r="SMY22" s="142"/>
      <c r="SMZ22" s="142"/>
      <c r="SNA22" s="142"/>
      <c r="SNB22" s="142"/>
      <c r="SNC22" s="142"/>
      <c r="SND22" s="142"/>
      <c r="SNE22" s="142"/>
      <c r="SNF22" s="142"/>
      <c r="SNG22" s="142"/>
      <c r="SNH22" s="142"/>
      <c r="SNI22" s="142"/>
      <c r="SNJ22" s="142"/>
      <c r="SNK22" s="142"/>
      <c r="SNL22" s="142"/>
      <c r="SNM22" s="142"/>
      <c r="SNN22" s="142"/>
      <c r="SNO22" s="142"/>
      <c r="SNP22" s="142"/>
      <c r="SNQ22" s="142"/>
      <c r="SNR22" s="142"/>
      <c r="SNS22" s="142"/>
      <c r="SNT22" s="142"/>
      <c r="SNU22" s="142"/>
      <c r="SNV22" s="142"/>
      <c r="SNW22" s="142"/>
      <c r="SNX22" s="142"/>
      <c r="SNY22" s="142"/>
      <c r="SNZ22" s="142"/>
      <c r="SOA22" s="142"/>
      <c r="SOB22" s="142"/>
      <c r="SOC22" s="142"/>
      <c r="SOD22" s="142"/>
      <c r="SOE22" s="142"/>
      <c r="SOF22" s="142"/>
      <c r="SOG22" s="142"/>
      <c r="SOH22" s="142"/>
      <c r="SOI22" s="142"/>
      <c r="SOJ22" s="142"/>
      <c r="SOK22" s="142"/>
      <c r="SOL22" s="142"/>
      <c r="SOM22" s="142"/>
      <c r="SON22" s="142"/>
      <c r="SOO22" s="142"/>
      <c r="SOP22" s="142"/>
      <c r="SOQ22" s="142"/>
      <c r="SOR22" s="142"/>
      <c r="SOS22" s="142"/>
      <c r="SOT22" s="142"/>
      <c r="SOU22" s="142"/>
      <c r="SOV22" s="142"/>
      <c r="SOW22" s="142"/>
      <c r="SOX22" s="142"/>
      <c r="SOY22" s="142"/>
      <c r="SOZ22" s="142"/>
      <c r="SPA22" s="142"/>
      <c r="SPB22" s="142"/>
      <c r="SPC22" s="142"/>
      <c r="SPD22" s="142"/>
      <c r="SPE22" s="142"/>
      <c r="SPF22" s="142"/>
      <c r="SPG22" s="142"/>
      <c r="SPH22" s="142"/>
      <c r="SPI22" s="142"/>
      <c r="SPJ22" s="142"/>
      <c r="SPK22" s="142"/>
      <c r="SPL22" s="142"/>
      <c r="SPM22" s="142"/>
      <c r="SPN22" s="142"/>
      <c r="SPO22" s="142"/>
      <c r="SPP22" s="142"/>
      <c r="SPQ22" s="142"/>
      <c r="SPR22" s="142"/>
      <c r="SPS22" s="142"/>
      <c r="SPT22" s="142"/>
      <c r="SPU22" s="142"/>
      <c r="SPV22" s="142"/>
      <c r="SPW22" s="142"/>
      <c r="SPX22" s="142"/>
      <c r="SPY22" s="142"/>
      <c r="SPZ22" s="142"/>
      <c r="SQA22" s="142"/>
      <c r="SQB22" s="142"/>
      <c r="SQC22" s="142"/>
      <c r="SQD22" s="142"/>
      <c r="SQE22" s="142"/>
      <c r="SQF22" s="142"/>
      <c r="SQG22" s="142"/>
      <c r="SQH22" s="142"/>
      <c r="SQI22" s="142"/>
      <c r="SQJ22" s="142"/>
      <c r="SQK22" s="142"/>
      <c r="SQL22" s="142"/>
      <c r="SQM22" s="142"/>
      <c r="SQN22" s="142"/>
      <c r="SQO22" s="142"/>
      <c r="SQP22" s="142"/>
      <c r="SQQ22" s="142"/>
      <c r="SQR22" s="142"/>
      <c r="SQS22" s="142"/>
      <c r="SQT22" s="142"/>
      <c r="SQU22" s="142"/>
      <c r="SQV22" s="142"/>
      <c r="SQW22" s="142"/>
      <c r="SQX22" s="142"/>
      <c r="SQY22" s="142"/>
      <c r="SQZ22" s="142"/>
      <c r="SRA22" s="142"/>
      <c r="SRB22" s="142"/>
      <c r="SRC22" s="142"/>
      <c r="SRD22" s="142"/>
      <c r="SRE22" s="142"/>
      <c r="SRF22" s="142"/>
      <c r="SRG22" s="142"/>
      <c r="SRH22" s="142"/>
      <c r="SRI22" s="142"/>
      <c r="SRJ22" s="142"/>
      <c r="SRK22" s="142"/>
      <c r="SRL22" s="142"/>
      <c r="SRM22" s="142"/>
      <c r="SRN22" s="142"/>
      <c r="SRO22" s="142"/>
      <c r="SRP22" s="142"/>
      <c r="SRQ22" s="142"/>
      <c r="SRR22" s="142"/>
      <c r="SRS22" s="142"/>
      <c r="SRT22" s="142"/>
      <c r="SRU22" s="142"/>
      <c r="SRV22" s="142"/>
      <c r="SRW22" s="142"/>
      <c r="SRX22" s="142"/>
      <c r="SRY22" s="142"/>
      <c r="SRZ22" s="142"/>
      <c r="SSA22" s="142"/>
      <c r="SSB22" s="142"/>
      <c r="SSC22" s="142"/>
      <c r="SSD22" s="142"/>
      <c r="SSE22" s="142"/>
      <c r="SSF22" s="142"/>
      <c r="SSG22" s="142"/>
      <c r="SSH22" s="142"/>
      <c r="SSI22" s="142"/>
      <c r="SSJ22" s="142"/>
      <c r="SSK22" s="142"/>
      <c r="SSL22" s="142"/>
      <c r="SSM22" s="142"/>
      <c r="SSN22" s="142"/>
      <c r="SSO22" s="142"/>
      <c r="SSP22" s="142"/>
      <c r="SSQ22" s="142"/>
      <c r="SSR22" s="142"/>
      <c r="SSS22" s="142"/>
      <c r="SST22" s="142"/>
      <c r="SSU22" s="142"/>
      <c r="SSV22" s="142"/>
      <c r="SSW22" s="142"/>
      <c r="SSX22" s="142"/>
      <c r="SSY22" s="142"/>
      <c r="SSZ22" s="142"/>
      <c r="STA22" s="142"/>
      <c r="STB22" s="142"/>
      <c r="STC22" s="142"/>
      <c r="STD22" s="142"/>
      <c r="STE22" s="142"/>
      <c r="STF22" s="142"/>
      <c r="STG22" s="142"/>
      <c r="STH22" s="142"/>
      <c r="STI22" s="142"/>
      <c r="STJ22" s="142"/>
      <c r="STK22" s="142"/>
      <c r="STL22" s="142"/>
      <c r="STM22" s="142"/>
      <c r="STN22" s="142"/>
      <c r="STO22" s="142"/>
      <c r="STP22" s="142"/>
      <c r="STQ22" s="142"/>
      <c r="STR22" s="142"/>
      <c r="STS22" s="142"/>
      <c r="STT22" s="142"/>
      <c r="STU22" s="142"/>
      <c r="STV22" s="142"/>
      <c r="STW22" s="142"/>
      <c r="STX22" s="142"/>
      <c r="STY22" s="142"/>
      <c r="STZ22" s="142"/>
      <c r="SUA22" s="142"/>
      <c r="SUB22" s="142"/>
      <c r="SUC22" s="142"/>
      <c r="SUD22" s="142"/>
      <c r="SUE22" s="142"/>
      <c r="SUF22" s="142"/>
      <c r="SUG22" s="142"/>
      <c r="SUH22" s="142"/>
      <c r="SUI22" s="142"/>
      <c r="SUJ22" s="142"/>
      <c r="SUK22" s="142"/>
      <c r="SUL22" s="142"/>
      <c r="SUM22" s="142"/>
      <c r="SUN22" s="142"/>
      <c r="SUO22" s="142"/>
      <c r="SUP22" s="142"/>
      <c r="SUQ22" s="142"/>
      <c r="SUR22" s="142"/>
      <c r="SUS22" s="142"/>
      <c r="SUT22" s="142"/>
      <c r="SUU22" s="142"/>
      <c r="SUV22" s="142"/>
      <c r="SUW22" s="142"/>
      <c r="SUX22" s="142"/>
      <c r="SUY22" s="142"/>
      <c r="SUZ22" s="142"/>
      <c r="SVA22" s="142"/>
      <c r="SVB22" s="142"/>
      <c r="SVC22" s="142"/>
      <c r="SVD22" s="142"/>
      <c r="SVE22" s="142"/>
      <c r="SVF22" s="142"/>
      <c r="SVG22" s="142"/>
      <c r="SVH22" s="142"/>
      <c r="SVI22" s="142"/>
      <c r="SVJ22" s="142"/>
      <c r="SVK22" s="142"/>
      <c r="SVL22" s="142"/>
      <c r="SVM22" s="142"/>
      <c r="SVN22" s="142"/>
      <c r="SVO22" s="142"/>
      <c r="SVP22" s="142"/>
      <c r="SVQ22" s="142"/>
      <c r="SVR22" s="142"/>
      <c r="SVS22" s="142"/>
      <c r="SVT22" s="142"/>
      <c r="SVU22" s="142"/>
      <c r="SVV22" s="142"/>
      <c r="SVW22" s="142"/>
      <c r="SVX22" s="142"/>
      <c r="SVY22" s="142"/>
      <c r="SVZ22" s="142"/>
      <c r="SWA22" s="142"/>
      <c r="SWB22" s="142"/>
      <c r="SWC22" s="142"/>
      <c r="SWD22" s="142"/>
      <c r="SWE22" s="142"/>
      <c r="SWF22" s="142"/>
      <c r="SWG22" s="142"/>
      <c r="SWH22" s="142"/>
      <c r="SWI22" s="142"/>
      <c r="SWJ22" s="142"/>
      <c r="SWK22" s="142"/>
      <c r="SWL22" s="142"/>
      <c r="SWM22" s="142"/>
      <c r="SWN22" s="142"/>
      <c r="SWO22" s="142"/>
      <c r="SWP22" s="142"/>
      <c r="SWQ22" s="142"/>
      <c r="SWR22" s="142"/>
      <c r="SWS22" s="142"/>
      <c r="SWT22" s="142"/>
      <c r="SWU22" s="142"/>
      <c r="SWV22" s="142"/>
      <c r="SWW22" s="142"/>
      <c r="SWX22" s="142"/>
      <c r="SWY22" s="142"/>
      <c r="SWZ22" s="142"/>
      <c r="SXA22" s="142"/>
      <c r="SXB22" s="142"/>
      <c r="SXC22" s="142"/>
      <c r="SXD22" s="142"/>
      <c r="SXE22" s="142"/>
      <c r="SXF22" s="142"/>
      <c r="SXG22" s="142"/>
      <c r="SXH22" s="142"/>
      <c r="SXI22" s="142"/>
      <c r="SXJ22" s="142"/>
      <c r="SXK22" s="142"/>
      <c r="SXL22" s="142"/>
      <c r="SXM22" s="142"/>
      <c r="SXN22" s="142"/>
      <c r="SXO22" s="142"/>
      <c r="SXP22" s="142"/>
      <c r="SXQ22" s="142"/>
      <c r="SXR22" s="142"/>
      <c r="SXS22" s="142"/>
      <c r="SXT22" s="142"/>
      <c r="SXU22" s="142"/>
      <c r="SXV22" s="142"/>
      <c r="SXW22" s="142"/>
      <c r="SXX22" s="142"/>
      <c r="SXY22" s="142"/>
      <c r="SXZ22" s="142"/>
      <c r="SYA22" s="142"/>
      <c r="SYB22" s="142"/>
      <c r="SYC22" s="142"/>
      <c r="SYD22" s="142"/>
      <c r="SYE22" s="142"/>
      <c r="SYF22" s="142"/>
      <c r="SYG22" s="142"/>
      <c r="SYH22" s="142"/>
      <c r="SYI22" s="142"/>
      <c r="SYJ22" s="142"/>
      <c r="SYK22" s="142"/>
      <c r="SYL22" s="142"/>
      <c r="SYM22" s="142"/>
      <c r="SYN22" s="142"/>
      <c r="SYO22" s="142"/>
      <c r="SYP22" s="142"/>
      <c r="SYQ22" s="142"/>
      <c r="SYR22" s="142"/>
      <c r="SYS22" s="142"/>
      <c r="SYT22" s="142"/>
      <c r="SYU22" s="142"/>
      <c r="SYV22" s="142"/>
      <c r="SYW22" s="142"/>
      <c r="SYX22" s="142"/>
      <c r="SYY22" s="142"/>
      <c r="SYZ22" s="142"/>
      <c r="SZA22" s="142"/>
      <c r="SZB22" s="142"/>
      <c r="SZC22" s="142"/>
      <c r="SZD22" s="142"/>
      <c r="SZE22" s="142"/>
      <c r="SZF22" s="142"/>
      <c r="SZG22" s="142"/>
      <c r="SZH22" s="142"/>
      <c r="SZI22" s="142"/>
      <c r="SZJ22" s="142"/>
      <c r="SZK22" s="142"/>
      <c r="SZL22" s="142"/>
      <c r="SZM22" s="142"/>
      <c r="SZN22" s="142"/>
      <c r="SZO22" s="142"/>
      <c r="SZP22" s="142"/>
      <c r="SZQ22" s="142"/>
      <c r="SZR22" s="142"/>
      <c r="SZS22" s="142"/>
      <c r="SZT22" s="142"/>
      <c r="SZU22" s="142"/>
      <c r="SZV22" s="142"/>
      <c r="SZW22" s="142"/>
      <c r="SZX22" s="142"/>
      <c r="SZY22" s="142"/>
      <c r="SZZ22" s="142"/>
      <c r="TAA22" s="142"/>
      <c r="TAB22" s="142"/>
      <c r="TAC22" s="142"/>
      <c r="TAD22" s="142"/>
      <c r="TAE22" s="142"/>
      <c r="TAF22" s="142"/>
      <c r="TAG22" s="142"/>
      <c r="TAH22" s="142"/>
      <c r="TAI22" s="142"/>
      <c r="TAJ22" s="142"/>
      <c r="TAK22" s="142"/>
      <c r="TAL22" s="142"/>
      <c r="TAM22" s="142"/>
      <c r="TAN22" s="142"/>
      <c r="TAO22" s="142"/>
      <c r="TAP22" s="142"/>
      <c r="TAQ22" s="142"/>
      <c r="TAR22" s="142"/>
      <c r="TAS22" s="142"/>
      <c r="TAT22" s="142"/>
      <c r="TAU22" s="142"/>
      <c r="TAV22" s="142"/>
      <c r="TAW22" s="142"/>
      <c r="TAX22" s="142"/>
      <c r="TAY22" s="142"/>
      <c r="TAZ22" s="142"/>
      <c r="TBA22" s="142"/>
      <c r="TBB22" s="142"/>
      <c r="TBC22" s="142"/>
      <c r="TBD22" s="142"/>
      <c r="TBE22" s="142"/>
      <c r="TBF22" s="142"/>
      <c r="TBG22" s="142"/>
      <c r="TBH22" s="142"/>
      <c r="TBI22" s="142"/>
      <c r="TBJ22" s="142"/>
      <c r="TBK22" s="142"/>
      <c r="TBL22" s="142"/>
      <c r="TBM22" s="142"/>
      <c r="TBN22" s="142"/>
      <c r="TBO22" s="142"/>
      <c r="TBP22" s="142"/>
      <c r="TBQ22" s="142"/>
      <c r="TBR22" s="142"/>
      <c r="TBS22" s="142"/>
      <c r="TBT22" s="142"/>
      <c r="TBU22" s="142"/>
      <c r="TBV22" s="142"/>
      <c r="TBW22" s="142"/>
      <c r="TBX22" s="142"/>
      <c r="TBY22" s="142"/>
      <c r="TBZ22" s="142"/>
      <c r="TCA22" s="142"/>
      <c r="TCB22" s="142"/>
      <c r="TCC22" s="142"/>
      <c r="TCD22" s="142"/>
      <c r="TCE22" s="142"/>
      <c r="TCF22" s="142"/>
      <c r="TCG22" s="142"/>
      <c r="TCH22" s="142"/>
      <c r="TCI22" s="142"/>
      <c r="TCJ22" s="142"/>
      <c r="TCK22" s="142"/>
      <c r="TCL22" s="142"/>
      <c r="TCM22" s="142"/>
      <c r="TCN22" s="142"/>
      <c r="TCO22" s="142"/>
      <c r="TCP22" s="142"/>
      <c r="TCQ22" s="142"/>
      <c r="TCR22" s="142"/>
      <c r="TCS22" s="142"/>
      <c r="TCT22" s="142"/>
      <c r="TCU22" s="142"/>
      <c r="TCV22" s="142"/>
      <c r="TCW22" s="142"/>
      <c r="TCX22" s="142"/>
      <c r="TCY22" s="142"/>
      <c r="TCZ22" s="142"/>
      <c r="TDA22" s="142"/>
      <c r="TDB22" s="142"/>
      <c r="TDC22" s="142"/>
      <c r="TDD22" s="142"/>
      <c r="TDE22" s="142"/>
      <c r="TDF22" s="142"/>
      <c r="TDG22" s="142"/>
      <c r="TDH22" s="142"/>
      <c r="TDI22" s="142"/>
      <c r="TDJ22" s="142"/>
      <c r="TDK22" s="142"/>
      <c r="TDL22" s="142"/>
      <c r="TDM22" s="142"/>
      <c r="TDN22" s="142"/>
      <c r="TDO22" s="142"/>
      <c r="TDP22" s="142"/>
      <c r="TDQ22" s="142"/>
      <c r="TDR22" s="142"/>
      <c r="TDS22" s="142"/>
      <c r="TDT22" s="142"/>
      <c r="TDU22" s="142"/>
      <c r="TDV22" s="142"/>
      <c r="TDW22" s="142"/>
      <c r="TDX22" s="142"/>
      <c r="TDY22" s="142"/>
      <c r="TDZ22" s="142"/>
      <c r="TEA22" s="142"/>
      <c r="TEB22" s="142"/>
      <c r="TEC22" s="142"/>
      <c r="TED22" s="142"/>
      <c r="TEE22" s="142"/>
      <c r="TEF22" s="142"/>
      <c r="TEG22" s="142"/>
      <c r="TEH22" s="142"/>
      <c r="TEI22" s="142"/>
      <c r="TEJ22" s="142"/>
      <c r="TEK22" s="142"/>
      <c r="TEL22" s="142"/>
      <c r="TEM22" s="142"/>
      <c r="TEN22" s="142"/>
      <c r="TEO22" s="142"/>
      <c r="TEP22" s="142"/>
      <c r="TEQ22" s="142"/>
      <c r="TER22" s="142"/>
      <c r="TES22" s="142"/>
      <c r="TET22" s="142"/>
      <c r="TEU22" s="142"/>
      <c r="TEV22" s="142"/>
      <c r="TEW22" s="142"/>
      <c r="TEX22" s="142"/>
      <c r="TEY22" s="142"/>
      <c r="TEZ22" s="142"/>
      <c r="TFA22" s="142"/>
      <c r="TFB22" s="142"/>
      <c r="TFC22" s="142"/>
      <c r="TFD22" s="142"/>
      <c r="TFE22" s="142"/>
      <c r="TFF22" s="142"/>
      <c r="TFG22" s="142"/>
      <c r="TFH22" s="142"/>
      <c r="TFI22" s="142"/>
      <c r="TFJ22" s="142"/>
      <c r="TFK22" s="142"/>
      <c r="TFL22" s="142"/>
      <c r="TFM22" s="142"/>
      <c r="TFN22" s="142"/>
      <c r="TFO22" s="142"/>
      <c r="TFP22" s="142"/>
      <c r="TFQ22" s="142"/>
      <c r="TFR22" s="142"/>
      <c r="TFS22" s="142"/>
      <c r="TFT22" s="142"/>
      <c r="TFU22" s="142"/>
      <c r="TFV22" s="142"/>
      <c r="TFW22" s="142"/>
      <c r="TFX22" s="142"/>
      <c r="TFY22" s="142"/>
      <c r="TFZ22" s="142"/>
      <c r="TGA22" s="142"/>
      <c r="TGB22" s="142"/>
      <c r="TGC22" s="142"/>
      <c r="TGD22" s="142"/>
      <c r="TGE22" s="142"/>
      <c r="TGF22" s="142"/>
      <c r="TGG22" s="142"/>
      <c r="TGH22" s="142"/>
      <c r="TGI22" s="142"/>
      <c r="TGJ22" s="142"/>
      <c r="TGK22" s="142"/>
      <c r="TGL22" s="142"/>
      <c r="TGM22" s="142"/>
      <c r="TGN22" s="142"/>
      <c r="TGO22" s="142"/>
      <c r="TGP22" s="142"/>
      <c r="TGQ22" s="142"/>
      <c r="TGR22" s="142"/>
      <c r="TGS22" s="142"/>
      <c r="TGT22" s="142"/>
      <c r="TGU22" s="142"/>
      <c r="TGV22" s="142"/>
      <c r="TGW22" s="142"/>
      <c r="TGX22" s="142"/>
      <c r="TGY22" s="142"/>
      <c r="TGZ22" s="142"/>
      <c r="THA22" s="142"/>
      <c r="THB22" s="142"/>
      <c r="THC22" s="142"/>
      <c r="THD22" s="142"/>
      <c r="THE22" s="142"/>
      <c r="THF22" s="142"/>
      <c r="THG22" s="142"/>
      <c r="THH22" s="142"/>
      <c r="THI22" s="142"/>
      <c r="THJ22" s="142"/>
      <c r="THK22" s="142"/>
      <c r="THL22" s="142"/>
      <c r="THM22" s="142"/>
      <c r="THN22" s="142"/>
      <c r="THO22" s="142"/>
      <c r="THP22" s="142"/>
      <c r="THQ22" s="142"/>
      <c r="THR22" s="142"/>
      <c r="THS22" s="142"/>
      <c r="THT22" s="142"/>
      <c r="THU22" s="142"/>
      <c r="THV22" s="142"/>
      <c r="THW22" s="142"/>
      <c r="THX22" s="142"/>
      <c r="THY22" s="142"/>
      <c r="THZ22" s="142"/>
      <c r="TIA22" s="142"/>
      <c r="TIB22" s="142"/>
      <c r="TIC22" s="142"/>
      <c r="TID22" s="142"/>
      <c r="TIE22" s="142"/>
      <c r="TIF22" s="142"/>
      <c r="TIG22" s="142"/>
      <c r="TIH22" s="142"/>
      <c r="TII22" s="142"/>
      <c r="TIJ22" s="142"/>
      <c r="TIK22" s="142"/>
      <c r="TIL22" s="142"/>
      <c r="TIM22" s="142"/>
      <c r="TIN22" s="142"/>
      <c r="TIO22" s="142"/>
      <c r="TIP22" s="142"/>
      <c r="TIQ22" s="142"/>
      <c r="TIR22" s="142"/>
      <c r="TIS22" s="142"/>
      <c r="TIT22" s="142"/>
      <c r="TIU22" s="142"/>
      <c r="TIV22" s="142"/>
      <c r="TIW22" s="142"/>
      <c r="TIX22" s="142"/>
      <c r="TIY22" s="142"/>
      <c r="TIZ22" s="142"/>
      <c r="TJA22" s="142"/>
      <c r="TJB22" s="142"/>
      <c r="TJC22" s="142"/>
      <c r="TJD22" s="142"/>
      <c r="TJE22" s="142"/>
      <c r="TJF22" s="142"/>
      <c r="TJG22" s="142"/>
      <c r="TJH22" s="142"/>
      <c r="TJI22" s="142"/>
      <c r="TJJ22" s="142"/>
      <c r="TJK22" s="142"/>
      <c r="TJL22" s="142"/>
      <c r="TJM22" s="142"/>
      <c r="TJN22" s="142"/>
      <c r="TJO22" s="142"/>
      <c r="TJP22" s="142"/>
      <c r="TJQ22" s="142"/>
      <c r="TJR22" s="142"/>
      <c r="TJS22" s="142"/>
      <c r="TJT22" s="142"/>
      <c r="TJU22" s="142"/>
      <c r="TJV22" s="142"/>
      <c r="TJW22" s="142"/>
      <c r="TJX22" s="142"/>
      <c r="TJY22" s="142"/>
      <c r="TJZ22" s="142"/>
      <c r="TKA22" s="142"/>
      <c r="TKB22" s="142"/>
      <c r="TKC22" s="142"/>
      <c r="TKD22" s="142"/>
      <c r="TKE22" s="142"/>
      <c r="TKF22" s="142"/>
      <c r="TKG22" s="142"/>
      <c r="TKH22" s="142"/>
      <c r="TKI22" s="142"/>
      <c r="TKJ22" s="142"/>
      <c r="TKK22" s="142"/>
      <c r="TKL22" s="142"/>
      <c r="TKM22" s="142"/>
      <c r="TKN22" s="142"/>
      <c r="TKO22" s="142"/>
      <c r="TKP22" s="142"/>
      <c r="TKQ22" s="142"/>
      <c r="TKR22" s="142"/>
      <c r="TKS22" s="142"/>
      <c r="TKT22" s="142"/>
      <c r="TKU22" s="142"/>
      <c r="TKV22" s="142"/>
      <c r="TKW22" s="142"/>
      <c r="TKX22" s="142"/>
      <c r="TKY22" s="142"/>
      <c r="TKZ22" s="142"/>
      <c r="TLA22" s="142"/>
      <c r="TLB22" s="142"/>
      <c r="TLC22" s="142"/>
      <c r="TLD22" s="142"/>
      <c r="TLE22" s="142"/>
      <c r="TLF22" s="142"/>
      <c r="TLG22" s="142"/>
      <c r="TLH22" s="142"/>
      <c r="TLI22" s="142"/>
      <c r="TLJ22" s="142"/>
      <c r="TLK22" s="142"/>
      <c r="TLL22" s="142"/>
      <c r="TLM22" s="142"/>
      <c r="TLN22" s="142"/>
      <c r="TLO22" s="142"/>
      <c r="TLP22" s="142"/>
      <c r="TLQ22" s="142"/>
      <c r="TLR22" s="142"/>
      <c r="TLS22" s="142"/>
      <c r="TLT22" s="142"/>
      <c r="TLU22" s="142"/>
      <c r="TLV22" s="142"/>
      <c r="TLW22" s="142"/>
      <c r="TLX22" s="142"/>
      <c r="TLY22" s="142"/>
      <c r="TLZ22" s="142"/>
      <c r="TMA22" s="142"/>
      <c r="TMB22" s="142"/>
      <c r="TMC22" s="142"/>
      <c r="TMD22" s="142"/>
      <c r="TME22" s="142"/>
      <c r="TMF22" s="142"/>
      <c r="TMG22" s="142"/>
      <c r="TMH22" s="142"/>
      <c r="TMI22" s="142"/>
      <c r="TMJ22" s="142"/>
      <c r="TMK22" s="142"/>
      <c r="TML22" s="142"/>
      <c r="TMM22" s="142"/>
      <c r="TMN22" s="142"/>
      <c r="TMO22" s="142"/>
      <c r="TMP22" s="142"/>
      <c r="TMQ22" s="142"/>
      <c r="TMR22" s="142"/>
      <c r="TMS22" s="142"/>
      <c r="TMT22" s="142"/>
      <c r="TMU22" s="142"/>
      <c r="TMV22" s="142"/>
      <c r="TMW22" s="142"/>
      <c r="TMX22" s="142"/>
      <c r="TMY22" s="142"/>
      <c r="TMZ22" s="142"/>
      <c r="TNA22" s="142"/>
      <c r="TNB22" s="142"/>
      <c r="TNC22" s="142"/>
      <c r="TND22" s="142"/>
      <c r="TNE22" s="142"/>
      <c r="TNF22" s="142"/>
      <c r="TNG22" s="142"/>
      <c r="TNH22" s="142"/>
      <c r="TNI22" s="142"/>
      <c r="TNJ22" s="142"/>
      <c r="TNK22" s="142"/>
      <c r="TNL22" s="142"/>
      <c r="TNM22" s="142"/>
      <c r="TNN22" s="142"/>
      <c r="TNO22" s="142"/>
      <c r="TNP22" s="142"/>
      <c r="TNQ22" s="142"/>
      <c r="TNR22" s="142"/>
      <c r="TNS22" s="142"/>
      <c r="TNT22" s="142"/>
      <c r="TNU22" s="142"/>
      <c r="TNV22" s="142"/>
      <c r="TNW22" s="142"/>
      <c r="TNX22" s="142"/>
      <c r="TNY22" s="142"/>
      <c r="TNZ22" s="142"/>
      <c r="TOA22" s="142"/>
      <c r="TOB22" s="142"/>
      <c r="TOC22" s="142"/>
      <c r="TOD22" s="142"/>
      <c r="TOE22" s="142"/>
      <c r="TOF22" s="142"/>
      <c r="TOG22" s="142"/>
      <c r="TOH22" s="142"/>
      <c r="TOI22" s="142"/>
      <c r="TOJ22" s="142"/>
      <c r="TOK22" s="142"/>
      <c r="TOL22" s="142"/>
      <c r="TOM22" s="142"/>
      <c r="TON22" s="142"/>
      <c r="TOO22" s="142"/>
      <c r="TOP22" s="142"/>
      <c r="TOQ22" s="142"/>
      <c r="TOR22" s="142"/>
      <c r="TOS22" s="142"/>
      <c r="TOT22" s="142"/>
      <c r="TOU22" s="142"/>
      <c r="TOV22" s="142"/>
      <c r="TOW22" s="142"/>
      <c r="TOX22" s="142"/>
      <c r="TOY22" s="142"/>
      <c r="TOZ22" s="142"/>
      <c r="TPA22" s="142"/>
      <c r="TPB22" s="142"/>
      <c r="TPC22" s="142"/>
      <c r="TPD22" s="142"/>
      <c r="TPE22" s="142"/>
      <c r="TPF22" s="142"/>
      <c r="TPG22" s="142"/>
      <c r="TPH22" s="142"/>
      <c r="TPI22" s="142"/>
      <c r="TPJ22" s="142"/>
      <c r="TPK22" s="142"/>
      <c r="TPL22" s="142"/>
      <c r="TPM22" s="142"/>
      <c r="TPN22" s="142"/>
      <c r="TPO22" s="142"/>
      <c r="TPP22" s="142"/>
      <c r="TPQ22" s="142"/>
      <c r="TPR22" s="142"/>
      <c r="TPS22" s="142"/>
      <c r="TPT22" s="142"/>
      <c r="TPU22" s="142"/>
      <c r="TPV22" s="142"/>
      <c r="TPW22" s="142"/>
      <c r="TPX22" s="142"/>
      <c r="TPY22" s="142"/>
      <c r="TPZ22" s="142"/>
      <c r="TQA22" s="142"/>
      <c r="TQB22" s="142"/>
      <c r="TQC22" s="142"/>
      <c r="TQD22" s="142"/>
      <c r="TQE22" s="142"/>
      <c r="TQF22" s="142"/>
      <c r="TQG22" s="142"/>
      <c r="TQH22" s="142"/>
      <c r="TQI22" s="142"/>
      <c r="TQJ22" s="142"/>
      <c r="TQK22" s="142"/>
      <c r="TQL22" s="142"/>
      <c r="TQM22" s="142"/>
      <c r="TQN22" s="142"/>
      <c r="TQO22" s="142"/>
      <c r="TQP22" s="142"/>
      <c r="TQQ22" s="142"/>
      <c r="TQR22" s="142"/>
      <c r="TQS22" s="142"/>
      <c r="TQT22" s="142"/>
      <c r="TQU22" s="142"/>
      <c r="TQV22" s="142"/>
      <c r="TQW22" s="142"/>
      <c r="TQX22" s="142"/>
      <c r="TQY22" s="142"/>
      <c r="TQZ22" s="142"/>
      <c r="TRA22" s="142"/>
      <c r="TRB22" s="142"/>
      <c r="TRC22" s="142"/>
      <c r="TRD22" s="142"/>
      <c r="TRE22" s="142"/>
      <c r="TRF22" s="142"/>
      <c r="TRG22" s="142"/>
      <c r="TRH22" s="142"/>
      <c r="TRI22" s="142"/>
      <c r="TRJ22" s="142"/>
      <c r="TRK22" s="142"/>
      <c r="TRL22" s="142"/>
      <c r="TRM22" s="142"/>
      <c r="TRN22" s="142"/>
      <c r="TRO22" s="142"/>
      <c r="TRP22" s="142"/>
      <c r="TRQ22" s="142"/>
      <c r="TRR22" s="142"/>
      <c r="TRS22" s="142"/>
      <c r="TRT22" s="142"/>
      <c r="TRU22" s="142"/>
      <c r="TRV22" s="142"/>
      <c r="TRW22" s="142"/>
      <c r="TRX22" s="142"/>
      <c r="TRY22" s="142"/>
      <c r="TRZ22" s="142"/>
      <c r="TSA22" s="142"/>
      <c r="TSB22" s="142"/>
      <c r="TSC22" s="142"/>
      <c r="TSD22" s="142"/>
      <c r="TSE22" s="142"/>
      <c r="TSF22" s="142"/>
      <c r="TSG22" s="142"/>
      <c r="TSH22" s="142"/>
      <c r="TSI22" s="142"/>
      <c r="TSJ22" s="142"/>
      <c r="TSK22" s="142"/>
      <c r="TSL22" s="142"/>
      <c r="TSM22" s="142"/>
      <c r="TSN22" s="142"/>
      <c r="TSO22" s="142"/>
      <c r="TSP22" s="142"/>
      <c r="TSQ22" s="142"/>
      <c r="TSR22" s="142"/>
      <c r="TSS22" s="142"/>
      <c r="TST22" s="142"/>
      <c r="TSU22" s="142"/>
      <c r="TSV22" s="142"/>
      <c r="TSW22" s="142"/>
      <c r="TSX22" s="142"/>
      <c r="TSY22" s="142"/>
      <c r="TSZ22" s="142"/>
      <c r="TTA22" s="142"/>
      <c r="TTB22" s="142"/>
      <c r="TTC22" s="142"/>
      <c r="TTD22" s="142"/>
      <c r="TTE22" s="142"/>
      <c r="TTF22" s="142"/>
      <c r="TTG22" s="142"/>
      <c r="TTH22" s="142"/>
      <c r="TTI22" s="142"/>
      <c r="TTJ22" s="142"/>
      <c r="TTK22" s="142"/>
      <c r="TTL22" s="142"/>
      <c r="TTM22" s="142"/>
      <c r="TTN22" s="142"/>
      <c r="TTO22" s="142"/>
      <c r="TTP22" s="142"/>
      <c r="TTQ22" s="142"/>
      <c r="TTR22" s="142"/>
      <c r="TTS22" s="142"/>
      <c r="TTT22" s="142"/>
      <c r="TTU22" s="142"/>
      <c r="TTV22" s="142"/>
      <c r="TTW22" s="142"/>
      <c r="TTX22" s="142"/>
      <c r="TTY22" s="142"/>
      <c r="TTZ22" s="142"/>
      <c r="TUA22" s="142"/>
      <c r="TUB22" s="142"/>
      <c r="TUC22" s="142"/>
      <c r="TUD22" s="142"/>
      <c r="TUE22" s="142"/>
      <c r="TUF22" s="142"/>
      <c r="TUG22" s="142"/>
      <c r="TUH22" s="142"/>
      <c r="TUI22" s="142"/>
      <c r="TUJ22" s="142"/>
      <c r="TUK22" s="142"/>
      <c r="TUL22" s="142"/>
      <c r="TUM22" s="142"/>
      <c r="TUN22" s="142"/>
      <c r="TUO22" s="142"/>
      <c r="TUP22" s="142"/>
      <c r="TUQ22" s="142"/>
      <c r="TUR22" s="142"/>
      <c r="TUS22" s="142"/>
      <c r="TUT22" s="142"/>
      <c r="TUU22" s="142"/>
      <c r="TUV22" s="142"/>
      <c r="TUW22" s="142"/>
      <c r="TUX22" s="142"/>
      <c r="TUY22" s="142"/>
      <c r="TUZ22" s="142"/>
      <c r="TVA22" s="142"/>
      <c r="TVB22" s="142"/>
      <c r="TVC22" s="142"/>
      <c r="TVD22" s="142"/>
      <c r="TVE22" s="142"/>
      <c r="TVF22" s="142"/>
      <c r="TVG22" s="142"/>
      <c r="TVH22" s="142"/>
      <c r="TVI22" s="142"/>
      <c r="TVJ22" s="142"/>
      <c r="TVK22" s="142"/>
      <c r="TVL22" s="142"/>
      <c r="TVM22" s="142"/>
      <c r="TVN22" s="142"/>
      <c r="TVO22" s="142"/>
      <c r="TVP22" s="142"/>
      <c r="TVQ22" s="142"/>
      <c r="TVR22" s="142"/>
      <c r="TVS22" s="142"/>
      <c r="TVT22" s="142"/>
      <c r="TVU22" s="142"/>
      <c r="TVV22" s="142"/>
      <c r="TVW22" s="142"/>
      <c r="TVX22" s="142"/>
      <c r="TVY22" s="142"/>
      <c r="TVZ22" s="142"/>
      <c r="TWA22" s="142"/>
      <c r="TWB22" s="142"/>
      <c r="TWC22" s="142"/>
      <c r="TWD22" s="142"/>
      <c r="TWE22" s="142"/>
      <c r="TWF22" s="142"/>
      <c r="TWG22" s="142"/>
      <c r="TWH22" s="142"/>
      <c r="TWI22" s="142"/>
      <c r="TWJ22" s="142"/>
      <c r="TWK22" s="142"/>
      <c r="TWL22" s="142"/>
      <c r="TWM22" s="142"/>
      <c r="TWN22" s="142"/>
      <c r="TWO22" s="142"/>
      <c r="TWP22" s="142"/>
      <c r="TWQ22" s="142"/>
      <c r="TWR22" s="142"/>
      <c r="TWS22" s="142"/>
      <c r="TWT22" s="142"/>
      <c r="TWU22" s="142"/>
      <c r="TWV22" s="142"/>
      <c r="TWW22" s="142"/>
      <c r="TWX22" s="142"/>
      <c r="TWY22" s="142"/>
      <c r="TWZ22" s="142"/>
      <c r="TXA22" s="142"/>
      <c r="TXB22" s="142"/>
      <c r="TXC22" s="142"/>
      <c r="TXD22" s="142"/>
      <c r="TXE22" s="142"/>
      <c r="TXF22" s="142"/>
      <c r="TXG22" s="142"/>
      <c r="TXH22" s="142"/>
      <c r="TXI22" s="142"/>
      <c r="TXJ22" s="142"/>
      <c r="TXK22" s="142"/>
      <c r="TXL22" s="142"/>
      <c r="TXM22" s="142"/>
      <c r="TXN22" s="142"/>
      <c r="TXO22" s="142"/>
      <c r="TXP22" s="142"/>
      <c r="TXQ22" s="142"/>
      <c r="TXR22" s="142"/>
      <c r="TXS22" s="142"/>
      <c r="TXT22" s="142"/>
      <c r="TXU22" s="142"/>
      <c r="TXV22" s="142"/>
      <c r="TXW22" s="142"/>
      <c r="TXX22" s="142"/>
      <c r="TXY22" s="142"/>
      <c r="TXZ22" s="142"/>
      <c r="TYA22" s="142"/>
      <c r="TYB22" s="142"/>
      <c r="TYC22" s="142"/>
      <c r="TYD22" s="142"/>
      <c r="TYE22" s="142"/>
      <c r="TYF22" s="142"/>
      <c r="TYG22" s="142"/>
      <c r="TYH22" s="142"/>
      <c r="TYI22" s="142"/>
      <c r="TYJ22" s="142"/>
      <c r="TYK22" s="142"/>
      <c r="TYL22" s="142"/>
      <c r="TYM22" s="142"/>
      <c r="TYN22" s="142"/>
      <c r="TYO22" s="142"/>
      <c r="TYP22" s="142"/>
      <c r="TYQ22" s="142"/>
      <c r="TYR22" s="142"/>
      <c r="TYS22" s="142"/>
      <c r="TYT22" s="142"/>
      <c r="TYU22" s="142"/>
      <c r="TYV22" s="142"/>
      <c r="TYW22" s="142"/>
      <c r="TYX22" s="142"/>
      <c r="TYY22" s="142"/>
      <c r="TYZ22" s="142"/>
      <c r="TZA22" s="142"/>
      <c r="TZB22" s="142"/>
      <c r="TZC22" s="142"/>
      <c r="TZD22" s="142"/>
      <c r="TZE22" s="142"/>
      <c r="TZF22" s="142"/>
      <c r="TZG22" s="142"/>
      <c r="TZH22" s="142"/>
      <c r="TZI22" s="142"/>
      <c r="TZJ22" s="142"/>
      <c r="TZK22" s="142"/>
      <c r="TZL22" s="142"/>
      <c r="TZM22" s="142"/>
      <c r="TZN22" s="142"/>
      <c r="TZO22" s="142"/>
      <c r="TZP22" s="142"/>
      <c r="TZQ22" s="142"/>
      <c r="TZR22" s="142"/>
      <c r="TZS22" s="142"/>
      <c r="TZT22" s="142"/>
      <c r="TZU22" s="142"/>
      <c r="TZV22" s="142"/>
      <c r="TZW22" s="142"/>
      <c r="TZX22" s="142"/>
      <c r="TZY22" s="142"/>
      <c r="TZZ22" s="142"/>
      <c r="UAA22" s="142"/>
      <c r="UAB22" s="142"/>
      <c r="UAC22" s="142"/>
      <c r="UAD22" s="142"/>
      <c r="UAE22" s="142"/>
      <c r="UAF22" s="142"/>
      <c r="UAG22" s="142"/>
      <c r="UAH22" s="142"/>
      <c r="UAI22" s="142"/>
      <c r="UAJ22" s="142"/>
      <c r="UAK22" s="142"/>
      <c r="UAL22" s="142"/>
      <c r="UAM22" s="142"/>
      <c r="UAN22" s="142"/>
      <c r="UAO22" s="142"/>
      <c r="UAP22" s="142"/>
      <c r="UAQ22" s="142"/>
      <c r="UAR22" s="142"/>
      <c r="UAS22" s="142"/>
      <c r="UAT22" s="142"/>
      <c r="UAU22" s="142"/>
      <c r="UAV22" s="142"/>
      <c r="UAW22" s="142"/>
      <c r="UAX22" s="142"/>
      <c r="UAY22" s="142"/>
      <c r="UAZ22" s="142"/>
      <c r="UBA22" s="142"/>
      <c r="UBB22" s="142"/>
      <c r="UBC22" s="142"/>
      <c r="UBD22" s="142"/>
      <c r="UBE22" s="142"/>
      <c r="UBF22" s="142"/>
      <c r="UBG22" s="142"/>
      <c r="UBH22" s="142"/>
      <c r="UBI22" s="142"/>
      <c r="UBJ22" s="142"/>
      <c r="UBK22" s="142"/>
      <c r="UBL22" s="142"/>
      <c r="UBM22" s="142"/>
      <c r="UBN22" s="142"/>
      <c r="UBO22" s="142"/>
      <c r="UBP22" s="142"/>
      <c r="UBQ22" s="142"/>
      <c r="UBR22" s="142"/>
      <c r="UBS22" s="142"/>
      <c r="UBT22" s="142"/>
      <c r="UBU22" s="142"/>
      <c r="UBV22" s="142"/>
      <c r="UBW22" s="142"/>
      <c r="UBX22" s="142"/>
      <c r="UBY22" s="142"/>
      <c r="UBZ22" s="142"/>
      <c r="UCA22" s="142"/>
      <c r="UCB22" s="142"/>
      <c r="UCC22" s="142"/>
      <c r="UCD22" s="142"/>
      <c r="UCE22" s="142"/>
      <c r="UCF22" s="142"/>
      <c r="UCG22" s="142"/>
      <c r="UCH22" s="142"/>
      <c r="UCI22" s="142"/>
      <c r="UCJ22" s="142"/>
      <c r="UCK22" s="142"/>
      <c r="UCL22" s="142"/>
      <c r="UCM22" s="142"/>
      <c r="UCN22" s="142"/>
      <c r="UCO22" s="142"/>
      <c r="UCP22" s="142"/>
      <c r="UCQ22" s="142"/>
      <c r="UCR22" s="142"/>
      <c r="UCS22" s="142"/>
      <c r="UCT22" s="142"/>
      <c r="UCU22" s="142"/>
      <c r="UCV22" s="142"/>
      <c r="UCW22" s="142"/>
      <c r="UCX22" s="142"/>
      <c r="UCY22" s="142"/>
      <c r="UCZ22" s="142"/>
      <c r="UDA22" s="142"/>
      <c r="UDB22" s="142"/>
      <c r="UDC22" s="142"/>
      <c r="UDD22" s="142"/>
      <c r="UDE22" s="142"/>
      <c r="UDF22" s="142"/>
      <c r="UDG22" s="142"/>
      <c r="UDH22" s="142"/>
      <c r="UDI22" s="142"/>
      <c r="UDJ22" s="142"/>
      <c r="UDK22" s="142"/>
      <c r="UDL22" s="142"/>
      <c r="UDM22" s="142"/>
      <c r="UDN22" s="142"/>
      <c r="UDO22" s="142"/>
      <c r="UDP22" s="142"/>
      <c r="UDQ22" s="142"/>
      <c r="UDR22" s="142"/>
      <c r="UDS22" s="142"/>
      <c r="UDT22" s="142"/>
      <c r="UDU22" s="142"/>
      <c r="UDV22" s="142"/>
      <c r="UDW22" s="142"/>
      <c r="UDX22" s="142"/>
      <c r="UDY22" s="142"/>
      <c r="UDZ22" s="142"/>
      <c r="UEA22" s="142"/>
      <c r="UEB22" s="142"/>
      <c r="UEC22" s="142"/>
      <c r="UED22" s="142"/>
      <c r="UEE22" s="142"/>
      <c r="UEF22" s="142"/>
      <c r="UEG22" s="142"/>
      <c r="UEH22" s="142"/>
      <c r="UEI22" s="142"/>
      <c r="UEJ22" s="142"/>
      <c r="UEK22" s="142"/>
      <c r="UEL22" s="142"/>
      <c r="UEM22" s="142"/>
      <c r="UEN22" s="142"/>
      <c r="UEO22" s="142"/>
      <c r="UEP22" s="142"/>
      <c r="UEQ22" s="142"/>
      <c r="UER22" s="142"/>
      <c r="UES22" s="142"/>
      <c r="UET22" s="142"/>
      <c r="UEU22" s="142"/>
      <c r="UEV22" s="142"/>
      <c r="UEW22" s="142"/>
      <c r="UEX22" s="142"/>
      <c r="UEY22" s="142"/>
      <c r="UEZ22" s="142"/>
      <c r="UFA22" s="142"/>
      <c r="UFB22" s="142"/>
      <c r="UFC22" s="142"/>
      <c r="UFD22" s="142"/>
      <c r="UFE22" s="142"/>
      <c r="UFF22" s="142"/>
      <c r="UFG22" s="142"/>
      <c r="UFH22" s="142"/>
      <c r="UFI22" s="142"/>
      <c r="UFJ22" s="142"/>
      <c r="UFK22" s="142"/>
      <c r="UFL22" s="142"/>
      <c r="UFM22" s="142"/>
      <c r="UFN22" s="142"/>
      <c r="UFO22" s="142"/>
      <c r="UFP22" s="142"/>
      <c r="UFQ22" s="142"/>
      <c r="UFR22" s="142"/>
      <c r="UFS22" s="142"/>
      <c r="UFT22" s="142"/>
      <c r="UFU22" s="142"/>
      <c r="UFV22" s="142"/>
      <c r="UFW22" s="142"/>
      <c r="UFX22" s="142"/>
      <c r="UFY22" s="142"/>
      <c r="UFZ22" s="142"/>
      <c r="UGA22" s="142"/>
      <c r="UGB22" s="142"/>
      <c r="UGC22" s="142"/>
      <c r="UGD22" s="142"/>
      <c r="UGE22" s="142"/>
      <c r="UGF22" s="142"/>
      <c r="UGG22" s="142"/>
      <c r="UGH22" s="142"/>
      <c r="UGI22" s="142"/>
      <c r="UGJ22" s="142"/>
      <c r="UGK22" s="142"/>
      <c r="UGL22" s="142"/>
      <c r="UGM22" s="142"/>
      <c r="UGN22" s="142"/>
      <c r="UGO22" s="142"/>
      <c r="UGP22" s="142"/>
      <c r="UGQ22" s="142"/>
      <c r="UGR22" s="142"/>
      <c r="UGS22" s="142"/>
      <c r="UGT22" s="142"/>
      <c r="UGU22" s="142"/>
      <c r="UGV22" s="142"/>
      <c r="UGW22" s="142"/>
      <c r="UGX22" s="142"/>
      <c r="UGY22" s="142"/>
      <c r="UGZ22" s="142"/>
      <c r="UHA22" s="142"/>
      <c r="UHB22" s="142"/>
      <c r="UHC22" s="142"/>
      <c r="UHD22" s="142"/>
      <c r="UHE22" s="142"/>
      <c r="UHF22" s="142"/>
      <c r="UHG22" s="142"/>
      <c r="UHH22" s="142"/>
      <c r="UHI22" s="142"/>
      <c r="UHJ22" s="142"/>
      <c r="UHK22" s="142"/>
      <c r="UHL22" s="142"/>
      <c r="UHM22" s="142"/>
      <c r="UHN22" s="142"/>
      <c r="UHO22" s="142"/>
      <c r="UHP22" s="142"/>
      <c r="UHQ22" s="142"/>
      <c r="UHR22" s="142"/>
      <c r="UHS22" s="142"/>
      <c r="UHT22" s="142"/>
      <c r="UHU22" s="142"/>
      <c r="UHV22" s="142"/>
      <c r="UHW22" s="142"/>
      <c r="UHX22" s="142"/>
      <c r="UHY22" s="142"/>
      <c r="UHZ22" s="142"/>
      <c r="UIA22" s="142"/>
      <c r="UIB22" s="142"/>
      <c r="UIC22" s="142"/>
      <c r="UID22" s="142"/>
      <c r="UIE22" s="142"/>
      <c r="UIF22" s="142"/>
      <c r="UIG22" s="142"/>
      <c r="UIH22" s="142"/>
      <c r="UII22" s="142"/>
      <c r="UIJ22" s="142"/>
      <c r="UIK22" s="142"/>
      <c r="UIL22" s="142"/>
      <c r="UIM22" s="142"/>
      <c r="UIN22" s="142"/>
      <c r="UIO22" s="142"/>
      <c r="UIP22" s="142"/>
      <c r="UIQ22" s="142"/>
      <c r="UIR22" s="142"/>
      <c r="UIS22" s="142"/>
      <c r="UIT22" s="142"/>
      <c r="UIU22" s="142"/>
      <c r="UIV22" s="142"/>
      <c r="UIW22" s="142"/>
      <c r="UIX22" s="142"/>
      <c r="UIY22" s="142"/>
      <c r="UIZ22" s="142"/>
      <c r="UJA22" s="142"/>
      <c r="UJB22" s="142"/>
      <c r="UJC22" s="142"/>
      <c r="UJD22" s="142"/>
      <c r="UJE22" s="142"/>
      <c r="UJF22" s="142"/>
      <c r="UJG22" s="142"/>
      <c r="UJH22" s="142"/>
      <c r="UJI22" s="142"/>
      <c r="UJJ22" s="142"/>
      <c r="UJK22" s="142"/>
      <c r="UJL22" s="142"/>
      <c r="UJM22" s="142"/>
      <c r="UJN22" s="142"/>
      <c r="UJO22" s="142"/>
      <c r="UJP22" s="142"/>
      <c r="UJQ22" s="142"/>
      <c r="UJR22" s="142"/>
      <c r="UJS22" s="142"/>
      <c r="UJT22" s="142"/>
      <c r="UJU22" s="142"/>
      <c r="UJV22" s="142"/>
      <c r="UJW22" s="142"/>
      <c r="UJX22" s="142"/>
      <c r="UJY22" s="142"/>
      <c r="UJZ22" s="142"/>
      <c r="UKA22" s="142"/>
      <c r="UKB22" s="142"/>
      <c r="UKC22" s="142"/>
      <c r="UKD22" s="142"/>
      <c r="UKE22" s="142"/>
      <c r="UKF22" s="142"/>
      <c r="UKG22" s="142"/>
      <c r="UKH22" s="142"/>
      <c r="UKI22" s="142"/>
      <c r="UKJ22" s="142"/>
      <c r="UKK22" s="142"/>
      <c r="UKL22" s="142"/>
      <c r="UKM22" s="142"/>
      <c r="UKN22" s="142"/>
      <c r="UKO22" s="142"/>
      <c r="UKP22" s="142"/>
      <c r="UKQ22" s="142"/>
      <c r="UKR22" s="142"/>
      <c r="UKS22" s="142"/>
      <c r="UKT22" s="142"/>
      <c r="UKU22" s="142"/>
      <c r="UKV22" s="142"/>
      <c r="UKW22" s="142"/>
      <c r="UKX22" s="142"/>
      <c r="UKY22" s="142"/>
      <c r="UKZ22" s="142"/>
      <c r="ULA22" s="142"/>
      <c r="ULB22" s="142"/>
      <c r="ULC22" s="142"/>
      <c r="ULD22" s="142"/>
      <c r="ULE22" s="142"/>
      <c r="ULF22" s="142"/>
      <c r="ULG22" s="142"/>
      <c r="ULH22" s="142"/>
      <c r="ULI22" s="142"/>
      <c r="ULJ22" s="142"/>
      <c r="ULK22" s="142"/>
      <c r="ULL22" s="142"/>
      <c r="ULM22" s="142"/>
      <c r="ULN22" s="142"/>
      <c r="ULO22" s="142"/>
      <c r="ULP22" s="142"/>
      <c r="ULQ22" s="142"/>
      <c r="ULR22" s="142"/>
      <c r="ULS22" s="142"/>
      <c r="ULT22" s="142"/>
      <c r="ULU22" s="142"/>
      <c r="ULV22" s="142"/>
      <c r="ULW22" s="142"/>
      <c r="ULX22" s="142"/>
      <c r="ULY22" s="142"/>
      <c r="ULZ22" s="142"/>
      <c r="UMA22" s="142"/>
      <c r="UMB22" s="142"/>
      <c r="UMC22" s="142"/>
      <c r="UMD22" s="142"/>
      <c r="UME22" s="142"/>
      <c r="UMF22" s="142"/>
      <c r="UMG22" s="142"/>
      <c r="UMH22" s="142"/>
      <c r="UMI22" s="142"/>
      <c r="UMJ22" s="142"/>
      <c r="UMK22" s="142"/>
      <c r="UML22" s="142"/>
      <c r="UMM22" s="142"/>
      <c r="UMN22" s="142"/>
      <c r="UMO22" s="142"/>
      <c r="UMP22" s="142"/>
      <c r="UMQ22" s="142"/>
      <c r="UMR22" s="142"/>
      <c r="UMS22" s="142"/>
      <c r="UMT22" s="142"/>
      <c r="UMU22" s="142"/>
      <c r="UMV22" s="142"/>
      <c r="UMW22" s="142"/>
      <c r="UMX22" s="142"/>
      <c r="UMY22" s="142"/>
      <c r="UMZ22" s="142"/>
      <c r="UNA22" s="142"/>
      <c r="UNB22" s="142"/>
      <c r="UNC22" s="142"/>
      <c r="UND22" s="142"/>
      <c r="UNE22" s="142"/>
      <c r="UNF22" s="142"/>
      <c r="UNG22" s="142"/>
      <c r="UNH22" s="142"/>
      <c r="UNI22" s="142"/>
      <c r="UNJ22" s="142"/>
      <c r="UNK22" s="142"/>
      <c r="UNL22" s="142"/>
      <c r="UNM22" s="142"/>
      <c r="UNN22" s="142"/>
      <c r="UNO22" s="142"/>
      <c r="UNP22" s="142"/>
      <c r="UNQ22" s="142"/>
      <c r="UNR22" s="142"/>
      <c r="UNS22" s="142"/>
      <c r="UNT22" s="142"/>
      <c r="UNU22" s="142"/>
      <c r="UNV22" s="142"/>
      <c r="UNW22" s="142"/>
      <c r="UNX22" s="142"/>
      <c r="UNY22" s="142"/>
      <c r="UNZ22" s="142"/>
      <c r="UOA22" s="142"/>
      <c r="UOB22" s="142"/>
      <c r="UOC22" s="142"/>
      <c r="UOD22" s="142"/>
      <c r="UOE22" s="142"/>
      <c r="UOF22" s="142"/>
      <c r="UOG22" s="142"/>
      <c r="UOH22" s="142"/>
      <c r="UOI22" s="142"/>
      <c r="UOJ22" s="142"/>
      <c r="UOK22" s="142"/>
      <c r="UOL22" s="142"/>
      <c r="UOM22" s="142"/>
      <c r="UON22" s="142"/>
      <c r="UOO22" s="142"/>
      <c r="UOP22" s="142"/>
      <c r="UOQ22" s="142"/>
      <c r="UOR22" s="142"/>
      <c r="UOS22" s="142"/>
      <c r="UOT22" s="142"/>
      <c r="UOU22" s="142"/>
      <c r="UOV22" s="142"/>
      <c r="UOW22" s="142"/>
      <c r="UOX22" s="142"/>
      <c r="UOY22" s="142"/>
      <c r="UOZ22" s="142"/>
      <c r="UPA22" s="142"/>
      <c r="UPB22" s="142"/>
      <c r="UPC22" s="142"/>
      <c r="UPD22" s="142"/>
      <c r="UPE22" s="142"/>
      <c r="UPF22" s="142"/>
      <c r="UPG22" s="142"/>
      <c r="UPH22" s="142"/>
      <c r="UPI22" s="142"/>
      <c r="UPJ22" s="142"/>
      <c r="UPK22" s="142"/>
      <c r="UPL22" s="142"/>
      <c r="UPM22" s="142"/>
      <c r="UPN22" s="142"/>
      <c r="UPO22" s="142"/>
      <c r="UPP22" s="142"/>
      <c r="UPQ22" s="142"/>
      <c r="UPR22" s="142"/>
      <c r="UPS22" s="142"/>
      <c r="UPT22" s="142"/>
      <c r="UPU22" s="142"/>
      <c r="UPV22" s="142"/>
      <c r="UPW22" s="142"/>
      <c r="UPX22" s="142"/>
      <c r="UPY22" s="142"/>
      <c r="UPZ22" s="142"/>
      <c r="UQA22" s="142"/>
      <c r="UQB22" s="142"/>
      <c r="UQC22" s="142"/>
      <c r="UQD22" s="142"/>
      <c r="UQE22" s="142"/>
      <c r="UQF22" s="142"/>
      <c r="UQG22" s="142"/>
      <c r="UQH22" s="142"/>
      <c r="UQI22" s="142"/>
      <c r="UQJ22" s="142"/>
      <c r="UQK22" s="142"/>
      <c r="UQL22" s="142"/>
      <c r="UQM22" s="142"/>
      <c r="UQN22" s="142"/>
      <c r="UQO22" s="142"/>
      <c r="UQP22" s="142"/>
      <c r="UQQ22" s="142"/>
      <c r="UQR22" s="142"/>
      <c r="UQS22" s="142"/>
      <c r="UQT22" s="142"/>
      <c r="UQU22" s="142"/>
      <c r="UQV22" s="142"/>
      <c r="UQW22" s="142"/>
      <c r="UQX22" s="142"/>
      <c r="UQY22" s="142"/>
      <c r="UQZ22" s="142"/>
      <c r="URA22" s="142"/>
      <c r="URB22" s="142"/>
      <c r="URC22" s="142"/>
      <c r="URD22" s="142"/>
      <c r="URE22" s="142"/>
      <c r="URF22" s="142"/>
      <c r="URG22" s="142"/>
      <c r="URH22" s="142"/>
      <c r="URI22" s="142"/>
      <c r="URJ22" s="142"/>
      <c r="URK22" s="142"/>
      <c r="URL22" s="142"/>
      <c r="URM22" s="142"/>
      <c r="URN22" s="142"/>
      <c r="URO22" s="142"/>
      <c r="URP22" s="142"/>
      <c r="URQ22" s="142"/>
      <c r="URR22" s="142"/>
      <c r="URS22" s="142"/>
      <c r="URT22" s="142"/>
      <c r="URU22" s="142"/>
      <c r="URV22" s="142"/>
      <c r="URW22" s="142"/>
      <c r="URX22" s="142"/>
      <c r="URY22" s="142"/>
      <c r="URZ22" s="142"/>
      <c r="USA22" s="142"/>
      <c r="USB22" s="142"/>
      <c r="USC22" s="142"/>
      <c r="USD22" s="142"/>
      <c r="USE22" s="142"/>
      <c r="USF22" s="142"/>
      <c r="USG22" s="142"/>
      <c r="USH22" s="142"/>
      <c r="USI22" s="142"/>
      <c r="USJ22" s="142"/>
      <c r="USK22" s="142"/>
      <c r="USL22" s="142"/>
      <c r="USM22" s="142"/>
      <c r="USN22" s="142"/>
      <c r="USO22" s="142"/>
      <c r="USP22" s="142"/>
      <c r="USQ22" s="142"/>
      <c r="USR22" s="142"/>
      <c r="USS22" s="142"/>
      <c r="UST22" s="142"/>
      <c r="USU22" s="142"/>
      <c r="USV22" s="142"/>
      <c r="USW22" s="142"/>
      <c r="USX22" s="142"/>
      <c r="USY22" s="142"/>
      <c r="USZ22" s="142"/>
      <c r="UTA22" s="142"/>
      <c r="UTB22" s="142"/>
    </row>
    <row r="23" spans="1:14718" s="144" customFormat="1" ht="409.5" customHeight="1">
      <c r="A23" s="114">
        <v>8</v>
      </c>
      <c r="B23" s="114" t="s">
        <v>570</v>
      </c>
      <c r="C23" s="131" t="s">
        <v>555</v>
      </c>
      <c r="D23" s="130" t="s">
        <v>556</v>
      </c>
      <c r="E23" s="130" t="s">
        <v>555</v>
      </c>
      <c r="F23" s="114" t="s">
        <v>555</v>
      </c>
      <c r="G23" s="130" t="s">
        <v>555</v>
      </c>
      <c r="H23" s="131" t="s">
        <v>555</v>
      </c>
      <c r="I23" s="130" t="s">
        <v>555</v>
      </c>
      <c r="J23" s="114" t="s">
        <v>555</v>
      </c>
      <c r="K23" s="341" t="s">
        <v>555</v>
      </c>
      <c r="L23" s="341"/>
      <c r="M23" s="114" t="s">
        <v>555</v>
      </c>
      <c r="N23" s="114" t="s">
        <v>555</v>
      </c>
      <c r="O23" s="114" t="s">
        <v>555</v>
      </c>
      <c r="P23" s="131" t="s">
        <v>555</v>
      </c>
      <c r="Q23" s="131" t="s">
        <v>555</v>
      </c>
      <c r="R23" s="114" t="s">
        <v>555</v>
      </c>
      <c r="S23" s="135" t="s">
        <v>556</v>
      </c>
      <c r="T23" s="135" t="s">
        <v>571</v>
      </c>
      <c r="U23" s="114" t="s">
        <v>555</v>
      </c>
      <c r="V23" s="114" t="s">
        <v>556</v>
      </c>
      <c r="W23" s="114" t="s">
        <v>555</v>
      </c>
      <c r="X23" s="114" t="s">
        <v>555</v>
      </c>
      <c r="Y23" s="342" t="s">
        <v>555</v>
      </c>
      <c r="Z23" s="342"/>
      <c r="AA23" s="114" t="s">
        <v>555</v>
      </c>
      <c r="AB23" s="114" t="s">
        <v>555</v>
      </c>
      <c r="AC23" s="114" t="s">
        <v>555</v>
      </c>
      <c r="AD23" s="114" t="s">
        <v>555</v>
      </c>
      <c r="AE23" s="114" t="s">
        <v>555</v>
      </c>
      <c r="AF23" s="114" t="s">
        <v>555</v>
      </c>
      <c r="AG23" s="114" t="s">
        <v>555</v>
      </c>
      <c r="AH23" s="114" t="s">
        <v>555</v>
      </c>
      <c r="AI23" s="114" t="s">
        <v>555</v>
      </c>
      <c r="AJ23" s="114" t="s">
        <v>555</v>
      </c>
      <c r="AK23" s="114" t="s">
        <v>555</v>
      </c>
      <c r="AL23" s="114" t="s">
        <v>555</v>
      </c>
      <c r="AM23" s="114" t="s">
        <v>555</v>
      </c>
      <c r="AN23" s="130" t="s">
        <v>555</v>
      </c>
      <c r="AO23" s="130" t="s">
        <v>555</v>
      </c>
      <c r="AP23" s="114" t="s">
        <v>555</v>
      </c>
      <c r="AQ23" s="135" t="s">
        <v>555</v>
      </c>
      <c r="AR23" s="135" t="s">
        <v>555</v>
      </c>
      <c r="AS23" s="135" t="s">
        <v>555</v>
      </c>
      <c r="AT23" s="135" t="s">
        <v>555</v>
      </c>
      <c r="AU23" s="135" t="s">
        <v>555</v>
      </c>
      <c r="AV23" s="135" t="s">
        <v>555</v>
      </c>
      <c r="AW23" s="135" t="s">
        <v>555</v>
      </c>
      <c r="AX23" s="135" t="s">
        <v>556</v>
      </c>
      <c r="AY23" s="133" t="s">
        <v>555</v>
      </c>
      <c r="AZ23" s="135" t="s">
        <v>556</v>
      </c>
      <c r="BA23" s="139" t="s">
        <v>555</v>
      </c>
      <c r="BB23" s="135" t="s">
        <v>556</v>
      </c>
      <c r="BC23" s="135" t="s">
        <v>555</v>
      </c>
      <c r="BD23" s="174" t="s">
        <v>646</v>
      </c>
      <c r="BE23" s="135" t="s">
        <v>556</v>
      </c>
      <c r="BF23" s="135" t="s">
        <v>556</v>
      </c>
      <c r="BG23" s="135" t="s">
        <v>555</v>
      </c>
      <c r="BH23" s="135" t="s">
        <v>556</v>
      </c>
      <c r="BI23" s="135" t="s">
        <v>556</v>
      </c>
      <c r="BJ23" s="135" t="s">
        <v>555</v>
      </c>
      <c r="BK23" s="135" t="s">
        <v>555</v>
      </c>
      <c r="BL23" s="135" t="s">
        <v>555</v>
      </c>
      <c r="BM23" s="135" t="s">
        <v>555</v>
      </c>
      <c r="BN23" s="135" t="s">
        <v>555</v>
      </c>
      <c r="BO23" s="135" t="s">
        <v>555</v>
      </c>
      <c r="BP23" s="138" t="s">
        <v>555</v>
      </c>
      <c r="BQ23" s="135" t="s">
        <v>555</v>
      </c>
      <c r="BR23" s="174" t="s">
        <v>647</v>
      </c>
      <c r="BS23" s="132" t="s">
        <v>555</v>
      </c>
      <c r="BT23" s="135" t="s">
        <v>555</v>
      </c>
      <c r="BU23" s="135" t="s">
        <v>555</v>
      </c>
      <c r="BV23" s="135" t="s">
        <v>555</v>
      </c>
      <c r="BW23" s="135" t="s">
        <v>555</v>
      </c>
      <c r="BX23" s="135" t="s">
        <v>555</v>
      </c>
      <c r="BY23" s="139" t="s">
        <v>555</v>
      </c>
      <c r="BZ23" s="131" t="s">
        <v>555</v>
      </c>
      <c r="CA23" s="135" t="s">
        <v>555</v>
      </c>
      <c r="CB23" s="114" t="s">
        <v>555</v>
      </c>
      <c r="CC23" s="135" t="s">
        <v>555</v>
      </c>
      <c r="CD23" s="135" t="s">
        <v>555</v>
      </c>
      <c r="CE23" s="114" t="s">
        <v>555</v>
      </c>
      <c r="CF23" s="133" t="s">
        <v>555</v>
      </c>
      <c r="CG23" s="133" t="s">
        <v>555</v>
      </c>
      <c r="CH23" s="133" t="s">
        <v>555</v>
      </c>
      <c r="CI23" s="142" t="s">
        <v>555</v>
      </c>
      <c r="CJ23" s="142" t="s">
        <v>555</v>
      </c>
      <c r="CK23" s="133" t="s">
        <v>555</v>
      </c>
      <c r="CL23" s="133" t="s">
        <v>555</v>
      </c>
      <c r="CM23" s="133" t="s">
        <v>555</v>
      </c>
      <c r="CN23" s="108" t="s">
        <v>555</v>
      </c>
      <c r="CO23" s="133" t="s">
        <v>555</v>
      </c>
      <c r="CP23" s="136" t="s">
        <v>555</v>
      </c>
      <c r="CQ23" s="136" t="s">
        <v>555</v>
      </c>
      <c r="CR23" s="108" t="s">
        <v>555</v>
      </c>
      <c r="CS23" s="108" t="s">
        <v>555</v>
      </c>
      <c r="CT23" s="108" t="s">
        <v>555</v>
      </c>
      <c r="CU23" s="130" t="s">
        <v>555</v>
      </c>
      <c r="CV23" s="130" t="s">
        <v>555</v>
      </c>
      <c r="CW23" s="329" t="s">
        <v>555</v>
      </c>
      <c r="CX23" s="329"/>
      <c r="CY23" s="329"/>
      <c r="CZ23" s="135" t="s">
        <v>555</v>
      </c>
      <c r="DA23" s="135" t="s">
        <v>555</v>
      </c>
      <c r="DB23" s="135" t="s">
        <v>555</v>
      </c>
      <c r="DC23" s="135" t="s">
        <v>556</v>
      </c>
      <c r="DD23" s="174" t="s">
        <v>648</v>
      </c>
      <c r="DE23" s="139" t="s">
        <v>556</v>
      </c>
      <c r="DF23" s="135" t="s">
        <v>555</v>
      </c>
      <c r="DG23" s="135" t="s">
        <v>555</v>
      </c>
      <c r="DH23" s="135" t="s">
        <v>556</v>
      </c>
    </row>
    <row r="24" spans="1:14718" s="144" customFormat="1" ht="78.75">
      <c r="A24" s="114">
        <v>9</v>
      </c>
      <c r="B24" s="114" t="s">
        <v>572</v>
      </c>
      <c r="C24" s="114" t="s">
        <v>555</v>
      </c>
      <c r="D24" s="145" t="s">
        <v>556</v>
      </c>
      <c r="E24" s="145" t="s">
        <v>555</v>
      </c>
      <c r="F24" s="114" t="s">
        <v>555</v>
      </c>
      <c r="G24" s="114" t="s">
        <v>555</v>
      </c>
      <c r="H24" s="341" t="s">
        <v>555</v>
      </c>
      <c r="I24" s="341"/>
      <c r="J24" s="114" t="s">
        <v>555</v>
      </c>
      <c r="K24" s="341" t="s">
        <v>555</v>
      </c>
      <c r="L24" s="341"/>
      <c r="M24" s="114" t="s">
        <v>555</v>
      </c>
      <c r="N24" s="114" t="s">
        <v>555</v>
      </c>
      <c r="O24" s="114" t="s">
        <v>555</v>
      </c>
      <c r="P24" s="131" t="s">
        <v>555</v>
      </c>
      <c r="Q24" s="114" t="s">
        <v>555</v>
      </c>
      <c r="R24" s="114" t="s">
        <v>555</v>
      </c>
      <c r="S24" s="135" t="s">
        <v>556</v>
      </c>
      <c r="T24" s="135" t="s">
        <v>555</v>
      </c>
      <c r="U24" s="114" t="s">
        <v>555</v>
      </c>
      <c r="V24" s="114" t="s">
        <v>556</v>
      </c>
      <c r="W24" s="114" t="s">
        <v>555</v>
      </c>
      <c r="X24" s="114" t="s">
        <v>555</v>
      </c>
      <c r="Y24" s="341" t="s">
        <v>555</v>
      </c>
      <c r="Z24" s="341"/>
      <c r="AA24" s="114" t="s">
        <v>555</v>
      </c>
      <c r="AB24" s="114" t="s">
        <v>555</v>
      </c>
      <c r="AC24" s="114" t="s">
        <v>555</v>
      </c>
      <c r="AD24" s="114" t="s">
        <v>555</v>
      </c>
      <c r="AE24" s="114" t="s">
        <v>555</v>
      </c>
      <c r="AF24" s="114" t="s">
        <v>555</v>
      </c>
      <c r="AG24" s="114" t="s">
        <v>555</v>
      </c>
      <c r="AH24" s="114" t="s">
        <v>555</v>
      </c>
      <c r="AI24" s="114" t="s">
        <v>555</v>
      </c>
      <c r="AJ24" s="114" t="s">
        <v>555</v>
      </c>
      <c r="AK24" s="114" t="s">
        <v>555</v>
      </c>
      <c r="AL24" s="114" t="s">
        <v>555</v>
      </c>
      <c r="AM24" s="114" t="s">
        <v>555</v>
      </c>
      <c r="AN24" s="130" t="s">
        <v>555</v>
      </c>
      <c r="AO24" s="130" t="s">
        <v>555</v>
      </c>
      <c r="AP24" s="114" t="s">
        <v>555</v>
      </c>
      <c r="AQ24" s="135" t="s">
        <v>555</v>
      </c>
      <c r="AR24" s="135" t="s">
        <v>555</v>
      </c>
      <c r="AS24" s="135" t="s">
        <v>555</v>
      </c>
      <c r="AT24" s="135" t="s">
        <v>555</v>
      </c>
      <c r="AU24" s="135" t="s">
        <v>555</v>
      </c>
      <c r="AV24" s="135" t="s">
        <v>555</v>
      </c>
      <c r="AW24" s="135" t="s">
        <v>555</v>
      </c>
      <c r="AX24" s="135" t="s">
        <v>556</v>
      </c>
      <c r="AY24" s="135" t="s">
        <v>555</v>
      </c>
      <c r="AZ24" s="135" t="s">
        <v>556</v>
      </c>
      <c r="BA24" s="135" t="s">
        <v>555</v>
      </c>
      <c r="BB24" s="135" t="s">
        <v>556</v>
      </c>
      <c r="BC24" s="135" t="s">
        <v>555</v>
      </c>
      <c r="BD24" s="135" t="s">
        <v>556</v>
      </c>
      <c r="BE24" s="135" t="s">
        <v>556</v>
      </c>
      <c r="BF24" s="135" t="s">
        <v>556</v>
      </c>
      <c r="BG24" s="135" t="s">
        <v>556</v>
      </c>
      <c r="BH24" s="135" t="s">
        <v>556</v>
      </c>
      <c r="BI24" s="135" t="s">
        <v>556</v>
      </c>
      <c r="BJ24" s="135" t="s">
        <v>556</v>
      </c>
      <c r="BK24" s="135" t="s">
        <v>555</v>
      </c>
      <c r="BL24" s="135" t="s">
        <v>555</v>
      </c>
      <c r="BM24" s="135" t="s">
        <v>555</v>
      </c>
      <c r="BN24" s="135" t="s">
        <v>555</v>
      </c>
      <c r="BO24" s="135" t="s">
        <v>555</v>
      </c>
      <c r="BP24" s="135" t="s">
        <v>555</v>
      </c>
      <c r="BQ24" s="135" t="s">
        <v>555</v>
      </c>
      <c r="BR24" s="135" t="s">
        <v>555</v>
      </c>
      <c r="BS24" s="135" t="s">
        <v>555</v>
      </c>
      <c r="BT24" s="135" t="s">
        <v>555</v>
      </c>
      <c r="BU24" s="135" t="s">
        <v>555</v>
      </c>
      <c r="BV24" s="135" t="s">
        <v>555</v>
      </c>
      <c r="BW24" s="135" t="s">
        <v>555</v>
      </c>
      <c r="BX24" s="135" t="s">
        <v>555</v>
      </c>
      <c r="BY24" s="135" t="s">
        <v>555</v>
      </c>
      <c r="BZ24" s="135" t="s">
        <v>555</v>
      </c>
      <c r="CA24" s="135" t="s">
        <v>555</v>
      </c>
      <c r="CB24" s="114" t="s">
        <v>555</v>
      </c>
      <c r="CC24" s="135" t="s">
        <v>555</v>
      </c>
      <c r="CD24" s="135" t="s">
        <v>555</v>
      </c>
      <c r="CE24" s="114" t="s">
        <v>555</v>
      </c>
      <c r="CF24" s="133" t="s">
        <v>555</v>
      </c>
      <c r="CG24" s="133" t="s">
        <v>555</v>
      </c>
      <c r="CH24" s="133" t="s">
        <v>555</v>
      </c>
      <c r="CI24" s="142" t="s">
        <v>555</v>
      </c>
      <c r="CJ24" s="142" t="s">
        <v>555</v>
      </c>
      <c r="CK24" s="133" t="s">
        <v>555</v>
      </c>
      <c r="CL24" s="133" t="s">
        <v>555</v>
      </c>
      <c r="CM24" s="133" t="s">
        <v>555</v>
      </c>
      <c r="CN24" s="133" t="s">
        <v>555</v>
      </c>
      <c r="CO24" s="133" t="s">
        <v>555</v>
      </c>
      <c r="CP24" s="108" t="s">
        <v>555</v>
      </c>
      <c r="CQ24" s="108" t="s">
        <v>555</v>
      </c>
      <c r="CR24" s="108" t="s">
        <v>555</v>
      </c>
      <c r="CS24" s="108" t="s">
        <v>555</v>
      </c>
      <c r="CT24" s="108" t="s">
        <v>555</v>
      </c>
      <c r="CU24" s="130" t="s">
        <v>276</v>
      </c>
      <c r="CV24" s="114" t="s">
        <v>555</v>
      </c>
      <c r="CW24" s="329" t="s">
        <v>555</v>
      </c>
      <c r="CX24" s="329"/>
      <c r="CY24" s="329"/>
      <c r="CZ24" s="135" t="s">
        <v>555</v>
      </c>
      <c r="DA24" s="135" t="s">
        <v>555</v>
      </c>
      <c r="DB24" s="135" t="s">
        <v>555</v>
      </c>
      <c r="DC24" s="135" t="s">
        <v>556</v>
      </c>
      <c r="DD24" s="135" t="s">
        <v>555</v>
      </c>
      <c r="DE24" s="135" t="s">
        <v>556</v>
      </c>
      <c r="DF24" s="135" t="s">
        <v>555</v>
      </c>
      <c r="DG24" s="135" t="s">
        <v>555</v>
      </c>
      <c r="DH24" s="135" t="s">
        <v>556</v>
      </c>
    </row>
    <row r="25" spans="1:14718" s="149" customFormat="1" ht="78.75">
      <c r="A25" s="131">
        <v>10</v>
      </c>
      <c r="B25" s="125" t="s">
        <v>573</v>
      </c>
      <c r="C25" s="131" t="s">
        <v>555</v>
      </c>
      <c r="D25" s="136" t="s">
        <v>556</v>
      </c>
      <c r="E25" s="136" t="s">
        <v>555</v>
      </c>
      <c r="F25" s="131" t="s">
        <v>555</v>
      </c>
      <c r="G25" s="131" t="s">
        <v>555</v>
      </c>
      <c r="H25" s="131" t="s">
        <v>575</v>
      </c>
      <c r="I25" s="131" t="s">
        <v>555</v>
      </c>
      <c r="J25" s="136" t="s">
        <v>555</v>
      </c>
      <c r="K25" s="342" t="s">
        <v>555</v>
      </c>
      <c r="L25" s="342"/>
      <c r="M25" s="131" t="s">
        <v>555</v>
      </c>
      <c r="N25" s="271" t="s">
        <v>574</v>
      </c>
      <c r="O25" s="131" t="s">
        <v>555</v>
      </c>
      <c r="P25" s="131" t="s">
        <v>555</v>
      </c>
      <c r="Q25" s="131" t="s">
        <v>555</v>
      </c>
      <c r="R25" s="271" t="s">
        <v>574</v>
      </c>
      <c r="S25" s="271" t="s">
        <v>574</v>
      </c>
      <c r="T25" s="146" t="s">
        <v>555</v>
      </c>
      <c r="U25" s="131" t="s">
        <v>555</v>
      </c>
      <c r="V25" s="136" t="s">
        <v>556</v>
      </c>
      <c r="W25" s="131" t="s">
        <v>555</v>
      </c>
      <c r="X25" s="131" t="s">
        <v>555</v>
      </c>
      <c r="Y25" s="342" t="s">
        <v>555</v>
      </c>
      <c r="Z25" s="342"/>
      <c r="AA25" s="131" t="s">
        <v>555</v>
      </c>
      <c r="AB25" s="131" t="s">
        <v>555</v>
      </c>
      <c r="AC25" s="131" t="s">
        <v>555</v>
      </c>
      <c r="AD25" s="131" t="s">
        <v>555</v>
      </c>
      <c r="AE25" s="131" t="s">
        <v>556</v>
      </c>
      <c r="AF25" s="131" t="s">
        <v>555</v>
      </c>
      <c r="AG25" s="131" t="s">
        <v>555</v>
      </c>
      <c r="AH25" s="131" t="s">
        <v>555</v>
      </c>
      <c r="AI25" s="131" t="s">
        <v>555</v>
      </c>
      <c r="AJ25" s="131" t="s">
        <v>555</v>
      </c>
      <c r="AK25" s="131" t="s">
        <v>555</v>
      </c>
      <c r="AL25" s="131" t="s">
        <v>555</v>
      </c>
      <c r="AM25" s="131" t="s">
        <v>555</v>
      </c>
      <c r="AN25" s="136" t="s">
        <v>555</v>
      </c>
      <c r="AO25" s="136" t="s">
        <v>556</v>
      </c>
      <c r="AP25" s="131" t="s">
        <v>555</v>
      </c>
      <c r="AQ25" s="146" t="s">
        <v>555</v>
      </c>
      <c r="AR25" s="131" t="s">
        <v>555</v>
      </c>
      <c r="AS25" s="146" t="s">
        <v>555</v>
      </c>
      <c r="AT25" s="146" t="s">
        <v>555</v>
      </c>
      <c r="AU25" s="146" t="s">
        <v>555</v>
      </c>
      <c r="AV25" s="146" t="s">
        <v>555</v>
      </c>
      <c r="AW25" s="146" t="s">
        <v>555</v>
      </c>
      <c r="AX25" s="146" t="s">
        <v>556</v>
      </c>
      <c r="AY25" s="131" t="s">
        <v>555</v>
      </c>
      <c r="AZ25" s="146" t="s">
        <v>556</v>
      </c>
      <c r="BA25" s="146" t="s">
        <v>556</v>
      </c>
      <c r="BB25" s="146" t="s">
        <v>556</v>
      </c>
      <c r="BC25" s="146" t="s">
        <v>555</v>
      </c>
      <c r="BD25" s="146" t="s">
        <v>556</v>
      </c>
      <c r="BE25" s="146" t="s">
        <v>556</v>
      </c>
      <c r="BF25" s="146" t="s">
        <v>556</v>
      </c>
      <c r="BG25" s="146" t="s">
        <v>556</v>
      </c>
      <c r="BH25" s="146" t="s">
        <v>556</v>
      </c>
      <c r="BI25" s="141" t="s">
        <v>556</v>
      </c>
      <c r="BJ25" s="141" t="s">
        <v>555</v>
      </c>
      <c r="BK25" s="172" t="s">
        <v>555</v>
      </c>
      <c r="BL25" s="172" t="s">
        <v>555</v>
      </c>
      <c r="BM25" s="141" t="s">
        <v>555</v>
      </c>
      <c r="BN25" s="141" t="s">
        <v>555</v>
      </c>
      <c r="BO25" s="146" t="s">
        <v>555</v>
      </c>
      <c r="BP25" s="146" t="s">
        <v>555</v>
      </c>
      <c r="BQ25" s="146" t="s">
        <v>555</v>
      </c>
      <c r="BR25" s="146" t="s">
        <v>555</v>
      </c>
      <c r="BS25" s="146" t="s">
        <v>555</v>
      </c>
      <c r="BT25" s="146" t="s">
        <v>555</v>
      </c>
      <c r="BU25" s="146" t="s">
        <v>555</v>
      </c>
      <c r="BV25" s="146" t="s">
        <v>555</v>
      </c>
      <c r="BW25" s="146" t="s">
        <v>555</v>
      </c>
      <c r="BX25" s="141" t="s">
        <v>555</v>
      </c>
      <c r="BY25" s="141" t="s">
        <v>555</v>
      </c>
      <c r="BZ25" s="146" t="s">
        <v>555</v>
      </c>
      <c r="CA25" s="146" t="s">
        <v>555</v>
      </c>
      <c r="CB25" s="131" t="s">
        <v>555</v>
      </c>
      <c r="CC25" s="146" t="s">
        <v>555</v>
      </c>
      <c r="CD25" s="146" t="s">
        <v>555</v>
      </c>
      <c r="CE25" s="131" t="s">
        <v>555</v>
      </c>
      <c r="CF25" s="147" t="s">
        <v>555</v>
      </c>
      <c r="CG25" s="147" t="s">
        <v>555</v>
      </c>
      <c r="CH25" s="147" t="s">
        <v>555</v>
      </c>
      <c r="CI25" s="142" t="s">
        <v>555</v>
      </c>
      <c r="CJ25" s="142" t="s">
        <v>555</v>
      </c>
      <c r="CK25" s="147" t="s">
        <v>555</v>
      </c>
      <c r="CL25" s="147" t="s">
        <v>555</v>
      </c>
      <c r="CM25" s="141" t="s">
        <v>555</v>
      </c>
      <c r="CN25" s="141" t="s">
        <v>555</v>
      </c>
      <c r="CO25" s="141" t="s">
        <v>555</v>
      </c>
      <c r="CP25" s="142" t="s">
        <v>555</v>
      </c>
      <c r="CQ25" s="142" t="s">
        <v>555</v>
      </c>
      <c r="CR25" s="142" t="s">
        <v>555</v>
      </c>
      <c r="CS25" s="142" t="s">
        <v>555</v>
      </c>
      <c r="CT25" s="142" t="s">
        <v>555</v>
      </c>
      <c r="CU25" s="141" t="s">
        <v>555</v>
      </c>
      <c r="CV25" s="141" t="s">
        <v>555</v>
      </c>
      <c r="CW25" s="322" t="s">
        <v>555</v>
      </c>
      <c r="CX25" s="322"/>
      <c r="CY25" s="322"/>
      <c r="CZ25" s="146" t="s">
        <v>555</v>
      </c>
      <c r="DA25" s="146" t="s">
        <v>555</v>
      </c>
      <c r="DB25" s="146" t="s">
        <v>555</v>
      </c>
      <c r="DC25" s="141" t="s">
        <v>556</v>
      </c>
      <c r="DD25" s="141" t="s">
        <v>555</v>
      </c>
      <c r="DE25" s="146" t="s">
        <v>556</v>
      </c>
      <c r="DF25" s="146" t="s">
        <v>556</v>
      </c>
      <c r="DG25" s="146" t="s">
        <v>555</v>
      </c>
      <c r="DH25" s="146" t="s">
        <v>556</v>
      </c>
      <c r="DI25" s="148"/>
      <c r="DJ25" s="148"/>
      <c r="DK25" s="148"/>
      <c r="DL25" s="148"/>
      <c r="DM25" s="148"/>
      <c r="DN25" s="148"/>
      <c r="DO25" s="148"/>
      <c r="DP25" s="148"/>
      <c r="DQ25" s="148"/>
      <c r="DR25" s="148"/>
      <c r="DS25" s="148"/>
      <c r="DT25" s="148"/>
      <c r="DU25" s="148"/>
      <c r="DV25" s="148"/>
      <c r="DW25" s="148"/>
      <c r="DX25" s="148"/>
      <c r="DY25" s="148"/>
      <c r="DZ25" s="148"/>
      <c r="EA25" s="148"/>
      <c r="EB25" s="148"/>
      <c r="EC25" s="148"/>
      <c r="ED25" s="148"/>
      <c r="EE25" s="148"/>
      <c r="EF25" s="148"/>
      <c r="EG25" s="148"/>
      <c r="EH25" s="148"/>
      <c r="EI25" s="148"/>
      <c r="EJ25" s="148"/>
      <c r="EK25" s="148"/>
      <c r="EL25" s="148"/>
      <c r="EM25" s="148"/>
      <c r="EN25" s="148"/>
      <c r="EO25" s="148"/>
      <c r="EP25" s="148"/>
      <c r="EQ25" s="148"/>
      <c r="ER25" s="148"/>
      <c r="ES25" s="148"/>
      <c r="ET25" s="148"/>
      <c r="EU25" s="148"/>
      <c r="EV25" s="148"/>
      <c r="EW25" s="148"/>
      <c r="EX25" s="148"/>
      <c r="EY25" s="148"/>
      <c r="EZ25" s="148"/>
      <c r="FA25" s="148"/>
      <c r="FB25" s="148"/>
      <c r="FC25" s="148"/>
      <c r="FD25" s="148"/>
      <c r="FE25" s="148"/>
      <c r="FF25" s="148"/>
      <c r="FG25" s="148"/>
      <c r="FH25" s="148"/>
      <c r="FI25" s="148"/>
      <c r="FJ25" s="148"/>
      <c r="FK25" s="148"/>
      <c r="FL25" s="148"/>
      <c r="FM25" s="148"/>
      <c r="FN25" s="148"/>
      <c r="FO25" s="148"/>
      <c r="FP25" s="148"/>
      <c r="FQ25" s="148"/>
      <c r="FR25" s="148"/>
      <c r="FS25" s="148"/>
      <c r="FT25" s="148"/>
      <c r="FU25" s="148"/>
      <c r="FV25" s="148"/>
      <c r="FW25" s="148"/>
      <c r="FX25" s="148"/>
      <c r="FY25" s="148"/>
      <c r="FZ25" s="148"/>
      <c r="GA25" s="148"/>
      <c r="GB25" s="148"/>
      <c r="GC25" s="148"/>
      <c r="GD25" s="148"/>
      <c r="GE25" s="148"/>
      <c r="GF25" s="148"/>
      <c r="GG25" s="148"/>
      <c r="GH25" s="148"/>
      <c r="GI25" s="148"/>
      <c r="GJ25" s="148"/>
      <c r="GK25" s="148"/>
      <c r="GL25" s="148"/>
      <c r="GM25" s="148"/>
      <c r="GN25" s="148"/>
      <c r="GO25" s="148"/>
      <c r="GP25" s="148"/>
      <c r="GQ25" s="148"/>
      <c r="GR25" s="148"/>
      <c r="GS25" s="148"/>
      <c r="GT25" s="148"/>
      <c r="GU25" s="148"/>
      <c r="GV25" s="148"/>
      <c r="GW25" s="148"/>
      <c r="GX25" s="148"/>
      <c r="GY25" s="148"/>
      <c r="GZ25" s="148"/>
      <c r="HA25" s="148"/>
      <c r="HB25" s="148"/>
      <c r="HC25" s="148"/>
      <c r="HD25" s="148"/>
      <c r="HE25" s="148"/>
      <c r="HF25" s="148"/>
      <c r="HG25" s="148"/>
      <c r="HH25" s="148"/>
      <c r="HI25" s="148"/>
      <c r="HJ25" s="148"/>
      <c r="HK25" s="148"/>
      <c r="HL25" s="148"/>
      <c r="HM25" s="148"/>
      <c r="HN25" s="148"/>
      <c r="HO25" s="148"/>
      <c r="HP25" s="148"/>
      <c r="HQ25" s="148"/>
      <c r="HR25" s="148"/>
      <c r="HS25" s="148"/>
      <c r="HT25" s="148"/>
      <c r="HU25" s="148"/>
      <c r="HV25" s="148"/>
      <c r="HW25" s="148"/>
      <c r="HX25" s="148"/>
      <c r="HY25" s="148"/>
      <c r="HZ25" s="148"/>
      <c r="IA25" s="148"/>
      <c r="IB25" s="148"/>
      <c r="IC25" s="148"/>
      <c r="ID25" s="148"/>
      <c r="IE25" s="148"/>
      <c r="IF25" s="148"/>
      <c r="IG25" s="148"/>
      <c r="IH25" s="148"/>
      <c r="II25" s="148"/>
      <c r="IJ25" s="148"/>
      <c r="IK25" s="148"/>
      <c r="IL25" s="148"/>
      <c r="IM25" s="148"/>
      <c r="IN25" s="148"/>
      <c r="IO25" s="148"/>
      <c r="IP25" s="148"/>
      <c r="IQ25" s="148"/>
      <c r="IR25" s="148"/>
      <c r="IS25" s="148"/>
      <c r="IT25" s="148"/>
      <c r="IU25" s="148"/>
      <c r="IV25" s="148"/>
      <c r="IW25" s="148"/>
      <c r="IX25" s="148"/>
      <c r="IY25" s="148"/>
      <c r="IZ25" s="148"/>
      <c r="JA25" s="148"/>
      <c r="JB25" s="148"/>
      <c r="JC25" s="148"/>
      <c r="JD25" s="148"/>
      <c r="JE25" s="148"/>
      <c r="JF25" s="148"/>
      <c r="JG25" s="148"/>
      <c r="JH25" s="148"/>
      <c r="JI25" s="148"/>
      <c r="JJ25" s="148"/>
      <c r="JK25" s="148"/>
      <c r="JL25" s="148"/>
      <c r="JM25" s="148"/>
      <c r="JN25" s="148"/>
      <c r="JO25" s="148"/>
      <c r="JP25" s="148"/>
      <c r="JQ25" s="148"/>
      <c r="JR25" s="148"/>
      <c r="JS25" s="148"/>
      <c r="JT25" s="148"/>
      <c r="JU25" s="148"/>
      <c r="JV25" s="148"/>
      <c r="JW25" s="148"/>
      <c r="JX25" s="148"/>
      <c r="JY25" s="148"/>
      <c r="JZ25" s="148"/>
      <c r="KA25" s="148"/>
      <c r="KB25" s="148"/>
      <c r="KC25" s="148"/>
      <c r="KD25" s="148"/>
      <c r="KE25" s="148"/>
      <c r="KF25" s="148"/>
      <c r="KG25" s="148"/>
      <c r="KH25" s="148"/>
      <c r="KI25" s="148"/>
      <c r="KJ25" s="148"/>
      <c r="KK25" s="148"/>
      <c r="KL25" s="148"/>
      <c r="KM25" s="148"/>
      <c r="KN25" s="148"/>
      <c r="KO25" s="148"/>
      <c r="KP25" s="148"/>
      <c r="KQ25" s="148"/>
      <c r="KR25" s="148"/>
      <c r="KS25" s="148"/>
      <c r="KT25" s="148"/>
      <c r="KU25" s="148"/>
      <c r="KV25" s="148"/>
      <c r="KW25" s="148"/>
      <c r="KX25" s="148"/>
      <c r="KY25" s="148"/>
      <c r="KZ25" s="148"/>
      <c r="LA25" s="148"/>
      <c r="LB25" s="148"/>
      <c r="LC25" s="148"/>
      <c r="LD25" s="148"/>
      <c r="LE25" s="148"/>
      <c r="LF25" s="148"/>
      <c r="LG25" s="148"/>
      <c r="LH25" s="148"/>
      <c r="LI25" s="148"/>
      <c r="LJ25" s="148"/>
      <c r="LK25" s="148"/>
      <c r="LL25" s="148"/>
      <c r="LM25" s="148"/>
      <c r="LN25" s="148"/>
      <c r="LO25" s="148"/>
      <c r="LP25" s="148"/>
      <c r="LQ25" s="148"/>
      <c r="LR25" s="148"/>
      <c r="LS25" s="148"/>
      <c r="LT25" s="148"/>
      <c r="LU25" s="148"/>
      <c r="LV25" s="148"/>
      <c r="LW25" s="148"/>
      <c r="LX25" s="148"/>
      <c r="LY25" s="148"/>
      <c r="LZ25" s="148"/>
      <c r="MA25" s="148"/>
      <c r="MB25" s="148"/>
      <c r="MC25" s="148"/>
      <c r="MD25" s="148"/>
      <c r="ME25" s="148"/>
      <c r="MF25" s="148"/>
      <c r="MG25" s="148"/>
      <c r="MH25" s="148"/>
      <c r="MI25" s="148"/>
      <c r="MJ25" s="148"/>
      <c r="MK25" s="148"/>
      <c r="ML25" s="148"/>
      <c r="MM25" s="148"/>
      <c r="MN25" s="148"/>
      <c r="MO25" s="148"/>
      <c r="MP25" s="148"/>
      <c r="MQ25" s="148"/>
      <c r="MR25" s="148"/>
      <c r="MS25" s="148"/>
      <c r="MT25" s="148"/>
      <c r="MU25" s="148"/>
      <c r="MV25" s="148"/>
      <c r="MW25" s="148"/>
      <c r="MX25" s="148"/>
      <c r="MY25" s="148"/>
      <c r="MZ25" s="148"/>
      <c r="NA25" s="148"/>
      <c r="NB25" s="148"/>
      <c r="NC25" s="148"/>
      <c r="ND25" s="148"/>
      <c r="NE25" s="148"/>
      <c r="NF25" s="148"/>
      <c r="NG25" s="148"/>
      <c r="NH25" s="148"/>
      <c r="NI25" s="148"/>
      <c r="NJ25" s="148"/>
      <c r="NK25" s="148"/>
      <c r="NL25" s="148"/>
      <c r="NM25" s="148"/>
      <c r="NN25" s="148"/>
      <c r="NO25" s="148"/>
      <c r="NP25" s="148"/>
      <c r="NQ25" s="148"/>
      <c r="NR25" s="148"/>
      <c r="NS25" s="148"/>
      <c r="NT25" s="148"/>
      <c r="NU25" s="148"/>
      <c r="NV25" s="148"/>
      <c r="NW25" s="148"/>
      <c r="NX25" s="148"/>
      <c r="NY25" s="148"/>
      <c r="NZ25" s="148"/>
      <c r="OA25" s="148"/>
      <c r="OB25" s="148"/>
      <c r="OC25" s="148"/>
      <c r="OD25" s="148"/>
      <c r="OE25" s="148"/>
      <c r="OF25" s="148"/>
      <c r="OG25" s="148"/>
      <c r="OH25" s="148"/>
      <c r="OI25" s="148"/>
      <c r="OJ25" s="148"/>
      <c r="OK25" s="148"/>
      <c r="OL25" s="148"/>
      <c r="OM25" s="148"/>
      <c r="ON25" s="148"/>
      <c r="OO25" s="148"/>
      <c r="OP25" s="148"/>
      <c r="OQ25" s="148"/>
      <c r="OR25" s="148"/>
      <c r="OS25" s="148"/>
      <c r="OT25" s="148"/>
      <c r="OU25" s="148"/>
      <c r="OV25" s="148"/>
      <c r="OW25" s="148"/>
      <c r="OX25" s="148"/>
      <c r="OY25" s="148"/>
      <c r="OZ25" s="148"/>
      <c r="PA25" s="148"/>
      <c r="PB25" s="148"/>
      <c r="PC25" s="148"/>
      <c r="PD25" s="148"/>
      <c r="PE25" s="148"/>
      <c r="PF25" s="148"/>
      <c r="PG25" s="148"/>
      <c r="PH25" s="148"/>
      <c r="PI25" s="148"/>
      <c r="PJ25" s="148"/>
      <c r="PK25" s="148"/>
      <c r="PL25" s="148"/>
      <c r="PM25" s="148"/>
      <c r="PN25" s="148"/>
      <c r="PO25" s="148"/>
      <c r="PP25" s="148"/>
      <c r="PQ25" s="148"/>
      <c r="PR25" s="148"/>
      <c r="PS25" s="148"/>
      <c r="PT25" s="148"/>
      <c r="PU25" s="148"/>
      <c r="PV25" s="148"/>
      <c r="PW25" s="148"/>
      <c r="PX25" s="148"/>
      <c r="PY25" s="148"/>
      <c r="PZ25" s="148"/>
      <c r="QA25" s="148"/>
      <c r="QB25" s="148"/>
      <c r="QC25" s="148"/>
      <c r="QD25" s="148"/>
      <c r="QE25" s="148"/>
      <c r="QF25" s="148"/>
      <c r="QG25" s="148"/>
      <c r="QH25" s="148"/>
      <c r="QI25" s="148"/>
      <c r="QJ25" s="148"/>
      <c r="QK25" s="148"/>
      <c r="QL25" s="148"/>
      <c r="QM25" s="148"/>
      <c r="QN25" s="148"/>
      <c r="QO25" s="148"/>
      <c r="QP25" s="148"/>
      <c r="QQ25" s="148"/>
      <c r="QR25" s="148"/>
      <c r="QS25" s="148"/>
      <c r="QT25" s="148"/>
      <c r="QU25" s="148"/>
      <c r="QV25" s="148"/>
      <c r="QW25" s="148"/>
      <c r="QX25" s="148"/>
      <c r="QY25" s="148"/>
      <c r="QZ25" s="148"/>
      <c r="RA25" s="148"/>
      <c r="RB25" s="148"/>
      <c r="RC25" s="148"/>
      <c r="RD25" s="148"/>
      <c r="RE25" s="148"/>
      <c r="RF25" s="148"/>
      <c r="RG25" s="148"/>
      <c r="RH25" s="148"/>
      <c r="RI25" s="148"/>
      <c r="RJ25" s="148"/>
      <c r="RK25" s="148"/>
      <c r="RL25" s="148"/>
      <c r="RM25" s="148"/>
      <c r="RN25" s="148"/>
      <c r="RO25" s="148"/>
      <c r="RP25" s="148"/>
      <c r="RQ25" s="148"/>
      <c r="RR25" s="148"/>
      <c r="RS25" s="148"/>
      <c r="RT25" s="148"/>
      <c r="RU25" s="148"/>
      <c r="RV25" s="148"/>
      <c r="RW25" s="148"/>
      <c r="RX25" s="148"/>
      <c r="RY25" s="148"/>
      <c r="RZ25" s="148"/>
      <c r="SA25" s="148"/>
      <c r="SB25" s="148"/>
      <c r="SC25" s="148"/>
      <c r="SD25" s="148"/>
      <c r="SE25" s="148"/>
      <c r="SF25" s="148"/>
      <c r="SG25" s="148"/>
      <c r="SH25" s="148"/>
      <c r="SI25" s="148"/>
      <c r="SJ25" s="148"/>
      <c r="SK25" s="148"/>
      <c r="SL25" s="148"/>
      <c r="SM25" s="148"/>
      <c r="SN25" s="148"/>
      <c r="SO25" s="148"/>
      <c r="SP25" s="148"/>
      <c r="SQ25" s="148"/>
      <c r="SR25" s="148"/>
      <c r="SS25" s="148"/>
      <c r="ST25" s="148"/>
      <c r="SU25" s="148"/>
      <c r="SV25" s="148"/>
      <c r="SW25" s="148"/>
      <c r="SX25" s="148"/>
      <c r="SY25" s="148"/>
      <c r="SZ25" s="148"/>
      <c r="TA25" s="148"/>
      <c r="TB25" s="148"/>
      <c r="TC25" s="148"/>
      <c r="TD25" s="148"/>
      <c r="TE25" s="148"/>
      <c r="TF25" s="148"/>
      <c r="TG25" s="148"/>
      <c r="TH25" s="148"/>
      <c r="TI25" s="148"/>
      <c r="TJ25" s="148"/>
      <c r="TK25" s="148"/>
      <c r="TL25" s="148"/>
      <c r="TM25" s="148"/>
      <c r="TN25" s="148"/>
      <c r="TO25" s="148"/>
      <c r="TP25" s="148"/>
      <c r="TQ25" s="148"/>
      <c r="TR25" s="148"/>
      <c r="TS25" s="148"/>
      <c r="TT25" s="148"/>
      <c r="TU25" s="148"/>
      <c r="TV25" s="148"/>
      <c r="TW25" s="148"/>
      <c r="TX25" s="148"/>
      <c r="TY25" s="148"/>
      <c r="TZ25" s="148"/>
      <c r="UA25" s="148"/>
      <c r="UB25" s="148"/>
      <c r="UC25" s="148"/>
      <c r="UD25" s="148"/>
      <c r="UE25" s="148"/>
      <c r="UF25" s="148"/>
      <c r="UG25" s="148"/>
      <c r="UH25" s="148"/>
      <c r="UI25" s="148"/>
      <c r="UJ25" s="148"/>
      <c r="UK25" s="148"/>
      <c r="UL25" s="148"/>
      <c r="UM25" s="148"/>
      <c r="UN25" s="148"/>
      <c r="UO25" s="148"/>
      <c r="UP25" s="148"/>
      <c r="UQ25" s="148"/>
      <c r="UR25" s="148"/>
      <c r="US25" s="148"/>
      <c r="UT25" s="148"/>
      <c r="UU25" s="148"/>
      <c r="UV25" s="148"/>
      <c r="UW25" s="148"/>
      <c r="UX25" s="148"/>
      <c r="UY25" s="148"/>
      <c r="UZ25" s="148"/>
      <c r="VA25" s="148"/>
      <c r="VB25" s="148"/>
      <c r="VC25" s="148"/>
      <c r="VD25" s="148"/>
      <c r="VE25" s="148"/>
      <c r="VF25" s="148"/>
      <c r="VG25" s="148"/>
      <c r="VH25" s="148"/>
      <c r="VI25" s="148"/>
      <c r="VJ25" s="148"/>
      <c r="VK25" s="148"/>
      <c r="VL25" s="148"/>
      <c r="VM25" s="148"/>
      <c r="VN25" s="148"/>
      <c r="VO25" s="148"/>
      <c r="VP25" s="148"/>
      <c r="VQ25" s="148"/>
      <c r="VR25" s="148"/>
      <c r="VS25" s="148"/>
      <c r="VT25" s="148"/>
      <c r="VU25" s="148"/>
      <c r="VV25" s="148"/>
      <c r="VW25" s="148"/>
      <c r="VX25" s="148"/>
      <c r="VY25" s="148"/>
      <c r="VZ25" s="148"/>
      <c r="WA25" s="148"/>
      <c r="WB25" s="148"/>
      <c r="WC25" s="148"/>
      <c r="WD25" s="148"/>
      <c r="WE25" s="148"/>
      <c r="WF25" s="148"/>
      <c r="WG25" s="148"/>
      <c r="WH25" s="148"/>
      <c r="WI25" s="148"/>
      <c r="WJ25" s="148"/>
      <c r="WK25" s="148"/>
      <c r="WL25" s="148"/>
      <c r="WM25" s="148"/>
      <c r="WN25" s="148"/>
      <c r="WO25" s="148"/>
      <c r="WP25" s="148"/>
      <c r="WQ25" s="148"/>
      <c r="WR25" s="148"/>
      <c r="WS25" s="148"/>
      <c r="WT25" s="148"/>
      <c r="WU25" s="148"/>
      <c r="WV25" s="148"/>
      <c r="WW25" s="148"/>
      <c r="WX25" s="148"/>
      <c r="WY25" s="148"/>
      <c r="WZ25" s="148"/>
      <c r="XA25" s="148"/>
      <c r="XB25" s="148"/>
      <c r="XC25" s="148"/>
      <c r="XD25" s="148"/>
      <c r="XE25" s="148"/>
      <c r="XF25" s="148"/>
      <c r="XG25" s="148"/>
      <c r="XH25" s="148"/>
      <c r="XI25" s="148"/>
      <c r="XJ25" s="148"/>
      <c r="XK25" s="148"/>
      <c r="XL25" s="148"/>
      <c r="XM25" s="148"/>
      <c r="XN25" s="148"/>
      <c r="XO25" s="148"/>
      <c r="XP25" s="148"/>
      <c r="XQ25" s="148"/>
      <c r="XR25" s="148"/>
      <c r="XS25" s="148"/>
      <c r="XT25" s="148"/>
      <c r="XU25" s="148"/>
      <c r="XV25" s="148"/>
      <c r="XW25" s="148"/>
      <c r="XX25" s="148"/>
      <c r="XY25" s="148"/>
      <c r="XZ25" s="148"/>
      <c r="YA25" s="148"/>
      <c r="YB25" s="148"/>
      <c r="YC25" s="148"/>
      <c r="YD25" s="148"/>
      <c r="YE25" s="148"/>
      <c r="YF25" s="148"/>
      <c r="YG25" s="148"/>
      <c r="YH25" s="148"/>
      <c r="YI25" s="148"/>
      <c r="YJ25" s="148"/>
      <c r="YK25" s="148"/>
      <c r="YL25" s="148"/>
      <c r="YM25" s="148"/>
      <c r="YN25" s="148"/>
      <c r="YO25" s="148"/>
      <c r="YP25" s="148"/>
      <c r="YQ25" s="148"/>
      <c r="YR25" s="148"/>
      <c r="YS25" s="148"/>
      <c r="YT25" s="148"/>
      <c r="YU25" s="148"/>
      <c r="YV25" s="148"/>
      <c r="YW25" s="148"/>
      <c r="YX25" s="148"/>
      <c r="YY25" s="148"/>
      <c r="YZ25" s="148"/>
      <c r="ZA25" s="148"/>
      <c r="ZB25" s="148"/>
      <c r="ZC25" s="148"/>
      <c r="ZD25" s="148"/>
      <c r="ZE25" s="148"/>
      <c r="ZF25" s="148"/>
      <c r="ZG25" s="148"/>
      <c r="ZH25" s="148"/>
      <c r="ZI25" s="148"/>
      <c r="ZJ25" s="148"/>
      <c r="ZK25" s="148"/>
      <c r="ZL25" s="148"/>
      <c r="ZM25" s="148"/>
      <c r="ZN25" s="148"/>
      <c r="ZO25" s="148"/>
      <c r="ZP25" s="148"/>
      <c r="ZQ25" s="148"/>
      <c r="ZR25" s="148"/>
      <c r="ZS25" s="148"/>
      <c r="ZT25" s="148"/>
      <c r="ZU25" s="148"/>
      <c r="ZV25" s="148"/>
      <c r="ZW25" s="148"/>
      <c r="ZX25" s="148"/>
      <c r="ZY25" s="148"/>
      <c r="ZZ25" s="148"/>
      <c r="AAA25" s="148"/>
      <c r="AAB25" s="148"/>
      <c r="AAC25" s="148"/>
      <c r="AAD25" s="148"/>
      <c r="AAE25" s="148"/>
      <c r="AAF25" s="148"/>
      <c r="AAG25" s="148"/>
      <c r="AAH25" s="148"/>
      <c r="AAI25" s="148"/>
      <c r="AAJ25" s="148"/>
      <c r="AAK25" s="148"/>
      <c r="AAL25" s="148"/>
      <c r="AAM25" s="148"/>
      <c r="AAN25" s="148"/>
      <c r="AAO25" s="148"/>
      <c r="AAP25" s="148"/>
      <c r="AAQ25" s="148"/>
      <c r="AAR25" s="148"/>
      <c r="AAS25" s="148"/>
      <c r="AAT25" s="148"/>
      <c r="AAU25" s="148"/>
      <c r="AAV25" s="148"/>
      <c r="AAW25" s="148"/>
      <c r="AAX25" s="148"/>
      <c r="AAY25" s="148"/>
      <c r="AAZ25" s="148"/>
      <c r="ABA25" s="148"/>
      <c r="ABB25" s="148"/>
      <c r="ABC25" s="148"/>
      <c r="ABD25" s="148"/>
      <c r="ABE25" s="148"/>
      <c r="ABF25" s="148"/>
      <c r="ABG25" s="148"/>
      <c r="ABH25" s="148"/>
      <c r="ABI25" s="148"/>
      <c r="ABJ25" s="148"/>
      <c r="ABK25" s="148"/>
      <c r="ABL25" s="148"/>
      <c r="ABM25" s="148"/>
      <c r="ABN25" s="148"/>
      <c r="ABO25" s="148"/>
      <c r="ABP25" s="148"/>
      <c r="ABQ25" s="148"/>
      <c r="ABR25" s="148"/>
      <c r="ABS25" s="148"/>
      <c r="ABT25" s="148"/>
      <c r="ABU25" s="148"/>
      <c r="ABV25" s="148"/>
      <c r="ABW25" s="148"/>
      <c r="ABX25" s="148"/>
      <c r="ABY25" s="148"/>
      <c r="ABZ25" s="148"/>
      <c r="ACA25" s="148"/>
      <c r="ACB25" s="148"/>
      <c r="ACC25" s="148"/>
      <c r="ACD25" s="148"/>
      <c r="ACE25" s="148"/>
      <c r="ACF25" s="148"/>
      <c r="ACG25" s="148"/>
      <c r="ACH25" s="148"/>
      <c r="ACI25" s="148"/>
      <c r="ACJ25" s="148"/>
      <c r="ACK25" s="148"/>
      <c r="ACL25" s="148"/>
      <c r="ACM25" s="148"/>
      <c r="ACN25" s="148"/>
      <c r="ACO25" s="148"/>
      <c r="ACP25" s="148"/>
      <c r="ACQ25" s="148"/>
      <c r="ACR25" s="148"/>
      <c r="ACS25" s="148"/>
      <c r="ACT25" s="148"/>
      <c r="ACU25" s="148"/>
      <c r="ACV25" s="148"/>
      <c r="ACW25" s="148"/>
      <c r="ACX25" s="148"/>
      <c r="ACY25" s="148"/>
      <c r="ACZ25" s="148"/>
      <c r="ADA25" s="148"/>
      <c r="ADB25" s="148"/>
      <c r="ADC25" s="148"/>
      <c r="ADD25" s="148"/>
      <c r="ADE25" s="148"/>
      <c r="ADF25" s="148"/>
      <c r="ADG25" s="148"/>
      <c r="ADH25" s="148"/>
      <c r="ADI25" s="148"/>
      <c r="ADJ25" s="148"/>
      <c r="ADK25" s="148"/>
      <c r="ADL25" s="148"/>
      <c r="ADM25" s="148"/>
      <c r="ADN25" s="148"/>
      <c r="ADO25" s="148"/>
      <c r="ADP25" s="148"/>
      <c r="ADQ25" s="148"/>
      <c r="ADR25" s="148"/>
      <c r="ADS25" s="148"/>
      <c r="ADT25" s="148"/>
      <c r="ADU25" s="148"/>
      <c r="ADV25" s="148"/>
      <c r="ADW25" s="148"/>
      <c r="ADX25" s="148"/>
      <c r="ADY25" s="148"/>
      <c r="ADZ25" s="148"/>
      <c r="AEA25" s="148"/>
      <c r="AEB25" s="148"/>
      <c r="AEC25" s="148"/>
      <c r="AED25" s="148"/>
      <c r="AEE25" s="148"/>
      <c r="AEF25" s="148"/>
      <c r="AEG25" s="148"/>
      <c r="AEH25" s="148"/>
      <c r="AEI25" s="148"/>
      <c r="AEJ25" s="148"/>
      <c r="AEK25" s="148"/>
      <c r="AEL25" s="148"/>
      <c r="AEM25" s="148"/>
      <c r="AEN25" s="148"/>
      <c r="AEO25" s="148"/>
      <c r="AEP25" s="148"/>
      <c r="AEQ25" s="148"/>
      <c r="AER25" s="148"/>
      <c r="AES25" s="148"/>
      <c r="AET25" s="148"/>
      <c r="AEU25" s="148"/>
      <c r="AEV25" s="148"/>
      <c r="AEW25" s="148"/>
      <c r="AEX25" s="148"/>
      <c r="AEY25" s="148"/>
      <c r="AEZ25" s="148"/>
      <c r="AFA25" s="148"/>
      <c r="AFB25" s="148"/>
      <c r="AFC25" s="148"/>
      <c r="AFD25" s="148"/>
      <c r="AFE25" s="148"/>
      <c r="AFF25" s="148"/>
      <c r="AFG25" s="148"/>
      <c r="AFH25" s="148"/>
      <c r="AFI25" s="148"/>
      <c r="AFJ25" s="148"/>
      <c r="AFK25" s="148"/>
      <c r="AFL25" s="148"/>
      <c r="AFM25" s="148"/>
      <c r="AFN25" s="148"/>
      <c r="AFO25" s="148"/>
      <c r="AFP25" s="148"/>
      <c r="AFQ25" s="148"/>
      <c r="AFR25" s="148"/>
      <c r="AFS25" s="148"/>
      <c r="AFT25" s="148"/>
      <c r="AFU25" s="148"/>
      <c r="AFV25" s="148"/>
      <c r="AFW25" s="148"/>
      <c r="AFX25" s="148"/>
      <c r="AFY25" s="148"/>
      <c r="AFZ25" s="148"/>
      <c r="AGA25" s="148"/>
      <c r="AGB25" s="148"/>
      <c r="AGC25" s="148"/>
      <c r="AGD25" s="148"/>
      <c r="AGE25" s="148"/>
      <c r="AGF25" s="148"/>
      <c r="AGG25" s="148"/>
      <c r="AGH25" s="148"/>
      <c r="AGI25" s="148"/>
      <c r="AGJ25" s="148"/>
      <c r="AGK25" s="148"/>
      <c r="AGL25" s="148"/>
      <c r="AGM25" s="148"/>
      <c r="AGN25" s="148"/>
      <c r="AGO25" s="148"/>
      <c r="AGP25" s="148"/>
      <c r="AGQ25" s="148"/>
      <c r="AGR25" s="148"/>
      <c r="AGS25" s="148"/>
      <c r="AGT25" s="148"/>
      <c r="AGU25" s="148"/>
      <c r="AGV25" s="148"/>
      <c r="AGW25" s="148"/>
      <c r="AGX25" s="148"/>
      <c r="AGY25" s="148"/>
      <c r="AGZ25" s="148"/>
      <c r="AHA25" s="148"/>
      <c r="AHB25" s="148"/>
      <c r="AHC25" s="148"/>
      <c r="AHD25" s="148"/>
      <c r="AHE25" s="148"/>
      <c r="AHF25" s="148"/>
      <c r="AHG25" s="148"/>
      <c r="AHH25" s="148"/>
      <c r="AHI25" s="148"/>
      <c r="AHJ25" s="148"/>
      <c r="AHK25" s="148"/>
      <c r="AHL25" s="148"/>
      <c r="AHM25" s="148"/>
      <c r="AHN25" s="148"/>
      <c r="AHO25" s="148"/>
      <c r="AHP25" s="148"/>
      <c r="AHQ25" s="148"/>
      <c r="AHR25" s="148"/>
      <c r="AHS25" s="148"/>
      <c r="AHT25" s="148"/>
      <c r="AHU25" s="148"/>
      <c r="AHV25" s="148"/>
      <c r="AHW25" s="148"/>
      <c r="AHX25" s="148"/>
      <c r="AHY25" s="148"/>
      <c r="AHZ25" s="148"/>
      <c r="AIA25" s="148"/>
      <c r="AIB25" s="148"/>
      <c r="AIC25" s="148"/>
      <c r="AID25" s="148"/>
      <c r="AIE25" s="148"/>
      <c r="AIF25" s="148"/>
      <c r="AIG25" s="148"/>
      <c r="AIH25" s="148"/>
      <c r="AII25" s="148"/>
      <c r="AIJ25" s="148"/>
      <c r="AIK25" s="148"/>
      <c r="AIL25" s="148"/>
      <c r="AIM25" s="148"/>
      <c r="AIN25" s="148"/>
      <c r="AIO25" s="148"/>
      <c r="AIP25" s="148"/>
      <c r="AIQ25" s="148"/>
      <c r="AIR25" s="148"/>
      <c r="AIS25" s="148"/>
      <c r="AIT25" s="148"/>
      <c r="AIU25" s="148"/>
      <c r="AIV25" s="148"/>
      <c r="AIW25" s="148"/>
      <c r="AIX25" s="148"/>
      <c r="AIY25" s="148"/>
      <c r="AIZ25" s="148"/>
      <c r="AJA25" s="148"/>
      <c r="AJB25" s="148"/>
      <c r="AJC25" s="148"/>
      <c r="AJD25" s="148"/>
      <c r="AJE25" s="148"/>
      <c r="AJF25" s="148"/>
      <c r="AJG25" s="148"/>
      <c r="AJH25" s="148"/>
      <c r="AJI25" s="148"/>
      <c r="AJJ25" s="148"/>
      <c r="AJK25" s="148"/>
      <c r="AJL25" s="148"/>
      <c r="AJM25" s="148"/>
      <c r="AJN25" s="148"/>
      <c r="AJO25" s="148"/>
      <c r="AJP25" s="148"/>
      <c r="AJQ25" s="148"/>
      <c r="AJR25" s="148"/>
      <c r="AJS25" s="148"/>
      <c r="AJT25" s="148"/>
      <c r="AJU25" s="148"/>
      <c r="AJV25" s="148"/>
      <c r="AJW25" s="148"/>
      <c r="AJX25" s="148"/>
      <c r="AJY25" s="148"/>
      <c r="AJZ25" s="148"/>
      <c r="AKA25" s="148"/>
      <c r="AKB25" s="148"/>
      <c r="AKC25" s="148"/>
      <c r="AKD25" s="148"/>
      <c r="AKE25" s="148"/>
      <c r="AKF25" s="148"/>
      <c r="AKG25" s="148"/>
      <c r="AKH25" s="148"/>
      <c r="AKI25" s="148"/>
      <c r="AKJ25" s="148"/>
      <c r="AKK25" s="148"/>
      <c r="AKL25" s="148"/>
      <c r="AKM25" s="148"/>
      <c r="AKN25" s="148"/>
      <c r="AKO25" s="148"/>
      <c r="AKP25" s="148"/>
      <c r="AKQ25" s="148"/>
      <c r="AKR25" s="148"/>
      <c r="AKS25" s="148"/>
      <c r="AKT25" s="148"/>
      <c r="AKU25" s="148"/>
      <c r="AKV25" s="148"/>
      <c r="AKW25" s="148"/>
      <c r="AKX25" s="148"/>
      <c r="AKY25" s="148"/>
      <c r="AKZ25" s="148"/>
      <c r="ALA25" s="148"/>
      <c r="ALB25" s="148"/>
      <c r="ALC25" s="148"/>
      <c r="ALD25" s="148"/>
      <c r="ALE25" s="148"/>
      <c r="ALF25" s="148"/>
      <c r="ALG25" s="148"/>
      <c r="ALH25" s="148"/>
      <c r="ALI25" s="148"/>
      <c r="ALJ25" s="148"/>
      <c r="ALK25" s="148"/>
      <c r="ALL25" s="148"/>
      <c r="ALM25" s="148"/>
      <c r="ALN25" s="148"/>
      <c r="ALO25" s="148"/>
      <c r="ALP25" s="148"/>
      <c r="ALQ25" s="148"/>
      <c r="ALR25" s="148"/>
      <c r="ALS25" s="148"/>
      <c r="ALT25" s="148"/>
      <c r="ALU25" s="148"/>
      <c r="ALV25" s="148"/>
      <c r="ALW25" s="148"/>
      <c r="ALX25" s="148"/>
      <c r="ALY25" s="148"/>
      <c r="ALZ25" s="148"/>
      <c r="AMA25" s="148"/>
      <c r="AMB25" s="148"/>
      <c r="AMC25" s="148"/>
      <c r="AMD25" s="148"/>
      <c r="AME25" s="148"/>
      <c r="AMF25" s="148"/>
      <c r="AMG25" s="148"/>
      <c r="AMH25" s="148"/>
      <c r="AMI25" s="148"/>
      <c r="AMJ25" s="148"/>
      <c r="AMK25" s="148"/>
      <c r="AML25" s="148"/>
      <c r="AMM25" s="148"/>
      <c r="AMN25" s="148"/>
      <c r="AMO25" s="148"/>
      <c r="AMP25" s="148"/>
      <c r="AMQ25" s="148"/>
      <c r="AMR25" s="148"/>
      <c r="AMS25" s="148"/>
      <c r="AMT25" s="148"/>
      <c r="AMU25" s="148"/>
      <c r="AMV25" s="148"/>
      <c r="AMW25" s="148"/>
      <c r="AMX25" s="148"/>
      <c r="AMY25" s="148"/>
      <c r="AMZ25" s="148"/>
      <c r="ANA25" s="148"/>
      <c r="ANB25" s="148"/>
      <c r="ANC25" s="148"/>
      <c r="AND25" s="148"/>
      <c r="ANE25" s="148"/>
      <c r="ANF25" s="148"/>
      <c r="ANG25" s="148"/>
      <c r="ANH25" s="148"/>
      <c r="ANI25" s="148"/>
      <c r="ANJ25" s="148"/>
      <c r="ANK25" s="148"/>
      <c r="ANL25" s="148"/>
      <c r="ANM25" s="148"/>
      <c r="ANN25" s="148"/>
      <c r="ANO25" s="148"/>
      <c r="ANP25" s="148"/>
      <c r="ANQ25" s="148"/>
      <c r="ANR25" s="148"/>
      <c r="ANS25" s="148"/>
      <c r="ANT25" s="148"/>
      <c r="ANU25" s="148"/>
      <c r="ANV25" s="148"/>
      <c r="ANW25" s="148"/>
      <c r="ANX25" s="148"/>
      <c r="ANY25" s="148"/>
      <c r="ANZ25" s="148"/>
      <c r="AOA25" s="148"/>
      <c r="AOB25" s="148"/>
      <c r="AOC25" s="148"/>
      <c r="AOD25" s="148"/>
      <c r="AOE25" s="148"/>
      <c r="AOF25" s="148"/>
      <c r="AOG25" s="148"/>
      <c r="AOH25" s="148"/>
      <c r="AOI25" s="148"/>
      <c r="AOJ25" s="148"/>
      <c r="AOK25" s="148"/>
      <c r="AOL25" s="148"/>
      <c r="AOM25" s="148"/>
      <c r="AON25" s="148"/>
      <c r="AOO25" s="148"/>
      <c r="AOP25" s="148"/>
      <c r="AOQ25" s="148"/>
      <c r="AOR25" s="148"/>
      <c r="AOS25" s="148"/>
      <c r="AOT25" s="148"/>
      <c r="AOU25" s="148"/>
      <c r="AOV25" s="148"/>
      <c r="AOW25" s="148"/>
      <c r="AOX25" s="148"/>
      <c r="AOY25" s="148"/>
      <c r="AOZ25" s="148"/>
      <c r="APA25" s="148"/>
      <c r="APB25" s="148"/>
      <c r="APC25" s="148"/>
      <c r="APD25" s="148"/>
      <c r="APE25" s="148"/>
      <c r="APF25" s="148"/>
      <c r="APG25" s="148"/>
      <c r="APH25" s="148"/>
      <c r="API25" s="148"/>
      <c r="APJ25" s="148"/>
      <c r="APK25" s="148"/>
      <c r="APL25" s="148"/>
      <c r="APM25" s="148"/>
      <c r="APN25" s="148"/>
      <c r="APO25" s="148"/>
      <c r="APP25" s="148"/>
      <c r="APQ25" s="148"/>
      <c r="APR25" s="148"/>
      <c r="APS25" s="148"/>
      <c r="APT25" s="148"/>
      <c r="APU25" s="148"/>
      <c r="APV25" s="148"/>
      <c r="APW25" s="148"/>
      <c r="APX25" s="148"/>
      <c r="APY25" s="148"/>
      <c r="APZ25" s="148"/>
      <c r="AQA25" s="148"/>
      <c r="AQB25" s="148"/>
      <c r="AQC25" s="148"/>
      <c r="AQD25" s="148"/>
      <c r="AQE25" s="148"/>
      <c r="AQF25" s="148"/>
      <c r="AQG25" s="148"/>
      <c r="AQH25" s="148"/>
      <c r="AQI25" s="148"/>
      <c r="AQJ25" s="148"/>
      <c r="AQK25" s="148"/>
      <c r="AQL25" s="148"/>
      <c r="AQM25" s="148"/>
      <c r="AQN25" s="148"/>
      <c r="AQO25" s="148"/>
      <c r="AQP25" s="148"/>
      <c r="AQQ25" s="148"/>
      <c r="AQR25" s="148"/>
      <c r="AQS25" s="148"/>
      <c r="AQT25" s="148"/>
      <c r="AQU25" s="148"/>
      <c r="AQV25" s="148"/>
      <c r="AQW25" s="148"/>
      <c r="AQX25" s="148"/>
      <c r="AQY25" s="148"/>
      <c r="AQZ25" s="148"/>
      <c r="ARA25" s="148"/>
      <c r="ARB25" s="148"/>
      <c r="ARC25" s="148"/>
      <c r="ARD25" s="148"/>
      <c r="ARE25" s="148"/>
      <c r="ARF25" s="148"/>
      <c r="ARG25" s="148"/>
      <c r="ARH25" s="148"/>
      <c r="ARI25" s="148"/>
      <c r="ARJ25" s="148"/>
      <c r="ARK25" s="148"/>
      <c r="ARL25" s="148"/>
      <c r="ARM25" s="148"/>
      <c r="ARN25" s="148"/>
      <c r="ARO25" s="148"/>
      <c r="ARP25" s="148"/>
      <c r="ARQ25" s="148"/>
      <c r="ARR25" s="148"/>
      <c r="ARS25" s="148"/>
      <c r="ART25" s="148"/>
      <c r="ARU25" s="148"/>
      <c r="ARV25" s="148"/>
      <c r="ARW25" s="148"/>
      <c r="ARX25" s="148"/>
      <c r="ARY25" s="148"/>
      <c r="ARZ25" s="148"/>
      <c r="ASA25" s="148"/>
      <c r="ASB25" s="148"/>
      <c r="ASC25" s="148"/>
      <c r="ASD25" s="148"/>
      <c r="ASE25" s="148"/>
      <c r="ASF25" s="148"/>
      <c r="ASG25" s="148"/>
      <c r="ASH25" s="148"/>
      <c r="ASI25" s="148"/>
      <c r="ASJ25" s="148"/>
      <c r="ASK25" s="148"/>
      <c r="ASL25" s="148"/>
      <c r="ASM25" s="148"/>
      <c r="ASN25" s="148"/>
      <c r="ASO25" s="148"/>
      <c r="ASP25" s="148"/>
      <c r="ASQ25" s="148"/>
      <c r="ASR25" s="148"/>
      <c r="ASS25" s="148"/>
      <c r="AST25" s="148"/>
      <c r="ASU25" s="148"/>
      <c r="ASV25" s="148"/>
      <c r="ASW25" s="148"/>
      <c r="ASX25" s="148"/>
      <c r="ASY25" s="148"/>
      <c r="ASZ25" s="148"/>
      <c r="ATA25" s="148"/>
      <c r="ATB25" s="148"/>
      <c r="ATC25" s="148"/>
      <c r="ATD25" s="148"/>
      <c r="ATE25" s="148"/>
      <c r="ATF25" s="148"/>
      <c r="ATG25" s="148"/>
      <c r="ATH25" s="148"/>
      <c r="ATI25" s="148"/>
      <c r="ATJ25" s="148"/>
      <c r="ATK25" s="148"/>
      <c r="ATL25" s="148"/>
      <c r="ATM25" s="148"/>
      <c r="ATN25" s="148"/>
      <c r="ATO25" s="148"/>
      <c r="ATP25" s="148"/>
      <c r="ATQ25" s="148"/>
      <c r="ATR25" s="148"/>
      <c r="ATS25" s="148"/>
      <c r="ATT25" s="148"/>
      <c r="ATU25" s="148"/>
      <c r="ATV25" s="148"/>
      <c r="ATW25" s="148"/>
      <c r="ATX25" s="148"/>
      <c r="ATY25" s="148"/>
      <c r="ATZ25" s="148"/>
      <c r="AUA25" s="148"/>
      <c r="AUB25" s="148"/>
      <c r="AUC25" s="148"/>
      <c r="AUD25" s="148"/>
      <c r="AUE25" s="148"/>
      <c r="AUF25" s="148"/>
      <c r="AUG25" s="148"/>
      <c r="AUH25" s="148"/>
      <c r="AUI25" s="148"/>
      <c r="AUJ25" s="148"/>
      <c r="AUK25" s="148"/>
      <c r="AUL25" s="148"/>
      <c r="AUM25" s="148"/>
      <c r="AUN25" s="148"/>
      <c r="AUO25" s="148"/>
      <c r="AUP25" s="148"/>
      <c r="AUQ25" s="148"/>
      <c r="AUR25" s="148"/>
      <c r="AUS25" s="148"/>
      <c r="AUT25" s="148"/>
      <c r="AUU25" s="148"/>
      <c r="AUV25" s="148"/>
      <c r="AUW25" s="148"/>
      <c r="AUX25" s="148"/>
      <c r="AUY25" s="148"/>
      <c r="AUZ25" s="148"/>
      <c r="AVA25" s="148"/>
      <c r="AVB25" s="148"/>
      <c r="AVC25" s="148"/>
      <c r="AVD25" s="148"/>
      <c r="AVE25" s="148"/>
      <c r="AVF25" s="148"/>
      <c r="AVG25" s="148"/>
      <c r="AVH25" s="148"/>
      <c r="AVI25" s="148"/>
      <c r="AVJ25" s="148"/>
      <c r="AVK25" s="148"/>
      <c r="AVL25" s="148"/>
      <c r="AVM25" s="148"/>
      <c r="AVN25" s="148"/>
      <c r="AVO25" s="148"/>
      <c r="AVP25" s="148"/>
      <c r="AVQ25" s="148"/>
      <c r="AVR25" s="148"/>
      <c r="AVS25" s="148"/>
      <c r="AVT25" s="148"/>
      <c r="AVU25" s="148"/>
      <c r="AVV25" s="148"/>
      <c r="AVW25" s="148"/>
      <c r="AVX25" s="148"/>
      <c r="AVY25" s="148"/>
      <c r="AVZ25" s="148"/>
      <c r="AWA25" s="148"/>
      <c r="AWB25" s="148"/>
      <c r="AWC25" s="148"/>
      <c r="AWD25" s="148"/>
      <c r="AWE25" s="148"/>
      <c r="AWF25" s="148"/>
      <c r="AWG25" s="148"/>
      <c r="AWH25" s="148"/>
      <c r="AWI25" s="148"/>
      <c r="AWJ25" s="148"/>
      <c r="AWK25" s="148"/>
      <c r="AWL25" s="148"/>
      <c r="AWM25" s="148"/>
      <c r="AWN25" s="148"/>
      <c r="AWO25" s="148"/>
      <c r="AWP25" s="148"/>
      <c r="AWQ25" s="148"/>
      <c r="AWR25" s="148"/>
      <c r="AWS25" s="148"/>
      <c r="AWT25" s="148"/>
      <c r="AWU25" s="148"/>
      <c r="AWV25" s="148"/>
      <c r="AWW25" s="148"/>
      <c r="AWX25" s="148"/>
      <c r="AWY25" s="148"/>
      <c r="AWZ25" s="148"/>
      <c r="AXA25" s="148"/>
      <c r="AXB25" s="148"/>
      <c r="AXC25" s="148"/>
      <c r="AXD25" s="148"/>
      <c r="AXE25" s="148"/>
      <c r="AXF25" s="148"/>
      <c r="AXG25" s="148"/>
      <c r="AXH25" s="148"/>
      <c r="AXI25" s="148"/>
      <c r="AXJ25" s="148"/>
      <c r="AXK25" s="148"/>
      <c r="AXL25" s="148"/>
      <c r="AXM25" s="148"/>
      <c r="AXN25" s="148"/>
      <c r="AXO25" s="148"/>
      <c r="AXP25" s="148"/>
      <c r="AXQ25" s="148"/>
      <c r="AXR25" s="148"/>
      <c r="AXS25" s="148"/>
      <c r="AXT25" s="148"/>
      <c r="AXU25" s="148"/>
      <c r="AXV25" s="148"/>
      <c r="AXW25" s="148"/>
      <c r="AXX25" s="148"/>
      <c r="AXY25" s="148"/>
      <c r="AXZ25" s="148"/>
      <c r="AYA25" s="148"/>
      <c r="AYB25" s="148"/>
      <c r="AYC25" s="148"/>
      <c r="AYD25" s="148"/>
      <c r="AYE25" s="148"/>
      <c r="AYF25" s="148"/>
      <c r="AYG25" s="148"/>
      <c r="AYH25" s="148"/>
      <c r="AYI25" s="148"/>
      <c r="AYJ25" s="148"/>
      <c r="AYK25" s="148"/>
      <c r="AYL25" s="148"/>
      <c r="AYM25" s="148"/>
      <c r="AYN25" s="148"/>
      <c r="AYO25" s="148"/>
      <c r="AYP25" s="148"/>
      <c r="AYQ25" s="148"/>
      <c r="AYR25" s="148"/>
      <c r="AYS25" s="148"/>
      <c r="AYT25" s="148"/>
      <c r="AYU25" s="148"/>
      <c r="AYV25" s="148"/>
      <c r="AYW25" s="148"/>
      <c r="AYX25" s="148"/>
      <c r="AYY25" s="148"/>
      <c r="AYZ25" s="148"/>
      <c r="AZA25" s="148"/>
      <c r="AZB25" s="148"/>
      <c r="AZC25" s="148"/>
      <c r="AZD25" s="148"/>
      <c r="AZE25" s="148"/>
      <c r="AZF25" s="148"/>
      <c r="AZG25" s="148"/>
      <c r="AZH25" s="148"/>
      <c r="AZI25" s="148"/>
      <c r="AZJ25" s="148"/>
      <c r="AZK25" s="148"/>
      <c r="AZL25" s="148"/>
      <c r="AZM25" s="148"/>
      <c r="AZN25" s="148"/>
      <c r="AZO25" s="148"/>
      <c r="AZP25" s="148"/>
      <c r="AZQ25" s="148"/>
      <c r="AZR25" s="148"/>
      <c r="AZS25" s="148"/>
      <c r="AZT25" s="148"/>
      <c r="AZU25" s="148"/>
      <c r="AZV25" s="148"/>
      <c r="AZW25" s="148"/>
      <c r="AZX25" s="148"/>
      <c r="AZY25" s="148"/>
      <c r="AZZ25" s="148"/>
      <c r="BAA25" s="148"/>
      <c r="BAB25" s="148"/>
      <c r="BAC25" s="148"/>
      <c r="BAD25" s="148"/>
      <c r="BAE25" s="148"/>
      <c r="BAF25" s="148"/>
      <c r="BAG25" s="148"/>
      <c r="BAH25" s="148"/>
      <c r="BAI25" s="148"/>
      <c r="BAJ25" s="148"/>
      <c r="BAK25" s="148"/>
      <c r="BAL25" s="148"/>
      <c r="BAM25" s="148"/>
      <c r="BAN25" s="148"/>
      <c r="BAO25" s="148"/>
      <c r="BAP25" s="148"/>
      <c r="BAQ25" s="148"/>
      <c r="BAR25" s="148"/>
      <c r="BAS25" s="148"/>
      <c r="BAT25" s="148"/>
      <c r="BAU25" s="148"/>
      <c r="BAV25" s="148"/>
      <c r="BAW25" s="148"/>
      <c r="BAX25" s="148"/>
      <c r="BAY25" s="148"/>
      <c r="BAZ25" s="148"/>
      <c r="BBA25" s="148"/>
      <c r="BBB25" s="148"/>
      <c r="BBC25" s="148"/>
      <c r="BBD25" s="148"/>
      <c r="BBE25" s="148"/>
      <c r="BBF25" s="148"/>
      <c r="BBG25" s="148"/>
      <c r="BBH25" s="148"/>
      <c r="BBI25" s="148"/>
      <c r="BBJ25" s="148"/>
      <c r="BBK25" s="148"/>
      <c r="BBL25" s="148"/>
      <c r="BBM25" s="148"/>
      <c r="BBN25" s="148"/>
      <c r="BBO25" s="148"/>
      <c r="BBP25" s="148"/>
      <c r="BBQ25" s="148"/>
      <c r="BBR25" s="148"/>
      <c r="BBS25" s="148"/>
      <c r="BBT25" s="148"/>
      <c r="BBU25" s="148"/>
      <c r="BBV25" s="148"/>
      <c r="BBW25" s="148"/>
      <c r="BBX25" s="148"/>
      <c r="BBY25" s="148"/>
      <c r="BBZ25" s="148"/>
      <c r="BCA25" s="148"/>
      <c r="BCB25" s="148"/>
      <c r="BCC25" s="148"/>
      <c r="BCD25" s="148"/>
      <c r="BCE25" s="148"/>
      <c r="BCF25" s="148"/>
      <c r="BCG25" s="148"/>
      <c r="BCH25" s="148"/>
      <c r="BCI25" s="148"/>
      <c r="BCJ25" s="148"/>
      <c r="BCK25" s="148"/>
      <c r="BCL25" s="148"/>
      <c r="BCM25" s="148"/>
      <c r="BCN25" s="148"/>
      <c r="BCO25" s="148"/>
      <c r="BCP25" s="148"/>
      <c r="BCQ25" s="148"/>
      <c r="BCR25" s="148"/>
      <c r="BCS25" s="148"/>
      <c r="BCT25" s="148"/>
      <c r="BCU25" s="148"/>
      <c r="BCV25" s="148"/>
      <c r="BCW25" s="148"/>
      <c r="BCX25" s="148"/>
      <c r="BCY25" s="148"/>
      <c r="BCZ25" s="148"/>
      <c r="BDA25" s="148"/>
      <c r="BDB25" s="148"/>
      <c r="BDC25" s="148"/>
      <c r="BDD25" s="148"/>
      <c r="BDE25" s="148"/>
      <c r="BDF25" s="148"/>
      <c r="BDG25" s="148"/>
      <c r="BDH25" s="148"/>
      <c r="BDI25" s="148"/>
      <c r="BDJ25" s="148"/>
      <c r="BDK25" s="148"/>
      <c r="BDL25" s="148"/>
      <c r="BDM25" s="148"/>
      <c r="BDN25" s="148"/>
      <c r="BDO25" s="148"/>
      <c r="BDP25" s="148"/>
      <c r="BDQ25" s="148"/>
      <c r="BDR25" s="148"/>
      <c r="BDS25" s="148"/>
      <c r="BDT25" s="148"/>
      <c r="BDU25" s="148"/>
      <c r="BDV25" s="148"/>
      <c r="BDW25" s="148"/>
      <c r="BDX25" s="148"/>
      <c r="BDY25" s="148"/>
      <c r="BDZ25" s="148"/>
      <c r="BEA25" s="148"/>
      <c r="BEB25" s="148"/>
      <c r="BEC25" s="148"/>
      <c r="BED25" s="148"/>
      <c r="BEE25" s="148"/>
      <c r="BEF25" s="148"/>
      <c r="BEG25" s="148"/>
      <c r="BEH25" s="148"/>
      <c r="BEI25" s="148"/>
      <c r="BEJ25" s="148"/>
      <c r="BEK25" s="148"/>
      <c r="BEL25" s="148"/>
      <c r="BEM25" s="148"/>
      <c r="BEN25" s="148"/>
      <c r="BEO25" s="148"/>
      <c r="BEP25" s="148"/>
      <c r="BEQ25" s="148"/>
      <c r="BER25" s="148"/>
      <c r="BES25" s="148"/>
      <c r="BET25" s="148"/>
      <c r="BEU25" s="148"/>
      <c r="BEV25" s="148"/>
      <c r="BEW25" s="148"/>
      <c r="BEX25" s="148"/>
      <c r="BEY25" s="148"/>
      <c r="BEZ25" s="148"/>
      <c r="BFA25" s="148"/>
      <c r="BFB25" s="148"/>
      <c r="BFC25" s="148"/>
      <c r="BFD25" s="148"/>
      <c r="BFE25" s="148"/>
      <c r="BFF25" s="148"/>
      <c r="BFG25" s="148"/>
      <c r="BFH25" s="148"/>
      <c r="BFI25" s="148"/>
      <c r="BFJ25" s="148"/>
      <c r="BFK25" s="148"/>
      <c r="BFL25" s="148"/>
      <c r="BFM25" s="148"/>
      <c r="BFN25" s="148"/>
      <c r="BFO25" s="148"/>
      <c r="BFP25" s="148"/>
      <c r="BFQ25" s="148"/>
      <c r="BFR25" s="148"/>
      <c r="BFS25" s="148"/>
      <c r="BFT25" s="148"/>
      <c r="BFU25" s="148"/>
      <c r="BFV25" s="148"/>
      <c r="BFW25" s="148"/>
      <c r="BFX25" s="148"/>
      <c r="BFY25" s="148"/>
      <c r="BFZ25" s="148"/>
      <c r="BGA25" s="148"/>
      <c r="BGB25" s="148"/>
      <c r="BGC25" s="148"/>
      <c r="BGD25" s="148"/>
      <c r="BGE25" s="148"/>
      <c r="BGF25" s="148"/>
      <c r="BGG25" s="148"/>
      <c r="BGH25" s="148"/>
      <c r="BGI25" s="148"/>
      <c r="BGJ25" s="148"/>
      <c r="BGK25" s="148"/>
      <c r="BGL25" s="148"/>
      <c r="BGM25" s="148"/>
      <c r="BGN25" s="148"/>
      <c r="BGO25" s="148"/>
      <c r="BGP25" s="148"/>
      <c r="BGQ25" s="148"/>
      <c r="BGR25" s="148"/>
      <c r="BGS25" s="148"/>
      <c r="BGT25" s="148"/>
      <c r="BGU25" s="148"/>
      <c r="BGV25" s="148"/>
      <c r="BGW25" s="148"/>
      <c r="BGX25" s="148"/>
      <c r="BGY25" s="148"/>
      <c r="BGZ25" s="148"/>
      <c r="BHA25" s="148"/>
      <c r="BHB25" s="148"/>
      <c r="BHC25" s="148"/>
      <c r="BHD25" s="148"/>
      <c r="BHE25" s="148"/>
      <c r="BHF25" s="148"/>
      <c r="BHG25" s="148"/>
      <c r="BHH25" s="148"/>
      <c r="BHI25" s="148"/>
      <c r="BHJ25" s="148"/>
      <c r="BHK25" s="148"/>
      <c r="BHL25" s="148"/>
      <c r="BHM25" s="148"/>
      <c r="BHN25" s="148"/>
      <c r="BHO25" s="148"/>
      <c r="BHP25" s="148"/>
      <c r="BHQ25" s="148"/>
      <c r="BHR25" s="148"/>
      <c r="BHS25" s="148"/>
      <c r="BHT25" s="148"/>
      <c r="BHU25" s="148"/>
      <c r="BHV25" s="148"/>
      <c r="BHW25" s="148"/>
      <c r="BHX25" s="148"/>
      <c r="BHY25" s="148"/>
      <c r="BHZ25" s="148"/>
      <c r="BIA25" s="148"/>
      <c r="BIB25" s="148"/>
      <c r="BIC25" s="148"/>
      <c r="BID25" s="148"/>
      <c r="BIE25" s="148"/>
      <c r="BIF25" s="148"/>
      <c r="BIG25" s="148"/>
      <c r="BIH25" s="148"/>
      <c r="BII25" s="148"/>
      <c r="BIJ25" s="148"/>
      <c r="BIK25" s="148"/>
      <c r="BIL25" s="148"/>
      <c r="BIM25" s="148"/>
      <c r="BIN25" s="148"/>
      <c r="BIO25" s="148"/>
      <c r="BIP25" s="148"/>
      <c r="BIQ25" s="148"/>
      <c r="BIR25" s="148"/>
      <c r="BIS25" s="148"/>
      <c r="BIT25" s="148"/>
      <c r="BIU25" s="148"/>
      <c r="BIV25" s="148"/>
      <c r="BIW25" s="148"/>
      <c r="BIX25" s="148"/>
      <c r="BIY25" s="148"/>
      <c r="BIZ25" s="148"/>
      <c r="BJA25" s="148"/>
      <c r="BJB25" s="148"/>
      <c r="BJC25" s="148"/>
      <c r="BJD25" s="148"/>
      <c r="BJE25" s="148"/>
      <c r="BJF25" s="148"/>
      <c r="BJG25" s="148"/>
      <c r="BJH25" s="148"/>
      <c r="BJI25" s="148"/>
      <c r="BJJ25" s="148"/>
      <c r="BJK25" s="148"/>
      <c r="BJL25" s="148"/>
      <c r="BJM25" s="148"/>
      <c r="BJN25" s="148"/>
      <c r="BJO25" s="148"/>
      <c r="BJP25" s="148"/>
      <c r="BJQ25" s="148"/>
      <c r="BJR25" s="148"/>
      <c r="BJS25" s="148"/>
      <c r="BJT25" s="148"/>
      <c r="BJU25" s="148"/>
      <c r="BJV25" s="148"/>
      <c r="BJW25" s="148"/>
      <c r="BJX25" s="148"/>
      <c r="BJY25" s="148"/>
      <c r="BJZ25" s="148"/>
      <c r="BKA25" s="148"/>
      <c r="BKB25" s="148"/>
      <c r="BKC25" s="148"/>
      <c r="BKD25" s="148"/>
      <c r="BKE25" s="148"/>
      <c r="BKF25" s="148"/>
      <c r="BKG25" s="148"/>
      <c r="BKH25" s="148"/>
      <c r="BKI25" s="148"/>
      <c r="BKJ25" s="148"/>
      <c r="BKK25" s="148"/>
      <c r="BKL25" s="148"/>
      <c r="BKM25" s="148"/>
      <c r="BKN25" s="148"/>
      <c r="BKO25" s="148"/>
      <c r="BKP25" s="148"/>
      <c r="BKQ25" s="148"/>
      <c r="BKR25" s="148"/>
      <c r="BKS25" s="148"/>
      <c r="BKT25" s="148"/>
      <c r="BKU25" s="148"/>
      <c r="BKV25" s="148"/>
      <c r="BKW25" s="148"/>
      <c r="BKX25" s="148"/>
      <c r="BKY25" s="148"/>
      <c r="BKZ25" s="148"/>
      <c r="BLA25" s="148"/>
      <c r="BLB25" s="148"/>
      <c r="BLC25" s="148"/>
      <c r="BLD25" s="148"/>
      <c r="BLE25" s="148"/>
      <c r="BLF25" s="148"/>
      <c r="BLG25" s="148"/>
      <c r="BLH25" s="148"/>
      <c r="BLI25" s="148"/>
      <c r="BLJ25" s="148"/>
      <c r="BLK25" s="148"/>
      <c r="BLL25" s="148"/>
      <c r="BLM25" s="148"/>
      <c r="BLN25" s="148"/>
      <c r="BLO25" s="148"/>
      <c r="BLP25" s="148"/>
      <c r="BLQ25" s="148"/>
      <c r="BLR25" s="148"/>
      <c r="BLS25" s="148"/>
      <c r="BLT25" s="148"/>
      <c r="BLU25" s="148"/>
      <c r="BLV25" s="148"/>
      <c r="BLW25" s="148"/>
      <c r="BLX25" s="148"/>
      <c r="BLY25" s="148"/>
      <c r="BLZ25" s="148"/>
      <c r="BMA25" s="148"/>
      <c r="BMB25" s="148"/>
      <c r="BMC25" s="148"/>
      <c r="BMD25" s="148"/>
      <c r="BME25" s="148"/>
      <c r="BMF25" s="148"/>
      <c r="BMG25" s="148"/>
      <c r="BMH25" s="148"/>
      <c r="BMI25" s="148"/>
      <c r="BMJ25" s="148"/>
      <c r="BMK25" s="148"/>
      <c r="BML25" s="148"/>
      <c r="BMM25" s="148"/>
      <c r="BMN25" s="148"/>
      <c r="BMO25" s="148"/>
      <c r="BMP25" s="148"/>
      <c r="BMQ25" s="148"/>
      <c r="BMR25" s="148"/>
      <c r="BMS25" s="148"/>
      <c r="BMT25" s="148"/>
      <c r="BMU25" s="148"/>
      <c r="BMV25" s="148"/>
      <c r="BMW25" s="148"/>
      <c r="BMX25" s="148"/>
      <c r="BMY25" s="148"/>
      <c r="BMZ25" s="148"/>
      <c r="BNA25" s="148"/>
      <c r="BNB25" s="148"/>
      <c r="BNC25" s="148"/>
      <c r="BND25" s="148"/>
      <c r="BNE25" s="148"/>
      <c r="BNF25" s="148"/>
      <c r="BNG25" s="148"/>
      <c r="BNH25" s="148"/>
      <c r="BNI25" s="148"/>
      <c r="BNJ25" s="148"/>
      <c r="BNK25" s="148"/>
      <c r="BNL25" s="148"/>
      <c r="BNM25" s="148"/>
      <c r="BNN25" s="148"/>
      <c r="BNO25" s="148"/>
      <c r="BNP25" s="148"/>
      <c r="BNQ25" s="148"/>
      <c r="BNR25" s="148"/>
      <c r="BNS25" s="148"/>
      <c r="BNT25" s="148"/>
      <c r="BNU25" s="148"/>
      <c r="BNV25" s="148"/>
      <c r="BNW25" s="148"/>
      <c r="BNX25" s="148"/>
      <c r="BNY25" s="148"/>
      <c r="BNZ25" s="148"/>
      <c r="BOA25" s="148"/>
      <c r="BOB25" s="148"/>
      <c r="BOC25" s="148"/>
      <c r="BOD25" s="148"/>
      <c r="BOE25" s="148"/>
      <c r="BOF25" s="148"/>
      <c r="BOG25" s="148"/>
      <c r="BOH25" s="148"/>
      <c r="BOI25" s="148"/>
      <c r="BOJ25" s="148"/>
      <c r="BOK25" s="148"/>
      <c r="BOL25" s="148"/>
      <c r="BOM25" s="148"/>
      <c r="BON25" s="148"/>
      <c r="BOO25" s="148"/>
      <c r="BOP25" s="148"/>
      <c r="BOQ25" s="148"/>
      <c r="BOR25" s="148"/>
      <c r="BOS25" s="148"/>
      <c r="BOT25" s="148"/>
      <c r="BOU25" s="148"/>
      <c r="BOV25" s="148"/>
      <c r="BOW25" s="148"/>
      <c r="BOX25" s="148"/>
      <c r="BOY25" s="148"/>
      <c r="BOZ25" s="148"/>
      <c r="BPA25" s="148"/>
      <c r="BPB25" s="148"/>
      <c r="BPC25" s="148"/>
      <c r="BPD25" s="148"/>
      <c r="BPE25" s="148"/>
      <c r="BPF25" s="148"/>
      <c r="BPG25" s="148"/>
      <c r="BPH25" s="148"/>
      <c r="BPI25" s="148"/>
      <c r="BPJ25" s="148"/>
      <c r="BPK25" s="148"/>
      <c r="BPL25" s="148"/>
      <c r="BPM25" s="148"/>
      <c r="BPN25" s="148"/>
      <c r="BPO25" s="148"/>
      <c r="BPP25" s="148"/>
      <c r="BPQ25" s="148"/>
      <c r="BPR25" s="148"/>
      <c r="BPS25" s="148"/>
      <c r="BPT25" s="148"/>
      <c r="BPU25" s="148"/>
      <c r="BPV25" s="148"/>
      <c r="BPW25" s="148"/>
      <c r="BPX25" s="148"/>
      <c r="BPY25" s="148"/>
      <c r="BPZ25" s="148"/>
      <c r="BQA25" s="148"/>
      <c r="BQB25" s="148"/>
      <c r="BQC25" s="148"/>
      <c r="BQD25" s="148"/>
      <c r="BQE25" s="148"/>
      <c r="BQF25" s="148"/>
      <c r="BQG25" s="148"/>
      <c r="BQH25" s="148"/>
      <c r="BQI25" s="148"/>
      <c r="BQJ25" s="148"/>
      <c r="BQK25" s="148"/>
      <c r="BQL25" s="148"/>
      <c r="BQM25" s="148"/>
      <c r="BQN25" s="148"/>
      <c r="BQO25" s="148"/>
      <c r="BQP25" s="148"/>
      <c r="BQQ25" s="148"/>
      <c r="BQR25" s="148"/>
      <c r="BQS25" s="148"/>
      <c r="BQT25" s="148"/>
      <c r="BQU25" s="148"/>
      <c r="BQV25" s="148"/>
      <c r="BQW25" s="148"/>
      <c r="BQX25" s="148"/>
      <c r="BQY25" s="148"/>
      <c r="BQZ25" s="148"/>
      <c r="BRA25" s="148"/>
      <c r="BRB25" s="148"/>
      <c r="BRC25" s="148"/>
      <c r="BRD25" s="148"/>
      <c r="BRE25" s="148"/>
      <c r="BRF25" s="148"/>
      <c r="BRG25" s="148"/>
      <c r="BRH25" s="148"/>
      <c r="BRI25" s="148"/>
      <c r="BRJ25" s="148"/>
      <c r="BRK25" s="148"/>
      <c r="BRL25" s="148"/>
      <c r="BRM25" s="148"/>
      <c r="BRN25" s="148"/>
      <c r="BRO25" s="148"/>
      <c r="BRP25" s="148"/>
      <c r="BRQ25" s="148"/>
      <c r="BRR25" s="148"/>
      <c r="BRS25" s="148"/>
      <c r="BRT25" s="148"/>
      <c r="BRU25" s="148"/>
      <c r="BRV25" s="148"/>
      <c r="BRW25" s="148"/>
      <c r="BRX25" s="148"/>
      <c r="BRY25" s="148"/>
      <c r="BRZ25" s="148"/>
      <c r="BSA25" s="148"/>
      <c r="BSB25" s="148"/>
      <c r="BSC25" s="148"/>
      <c r="BSD25" s="148"/>
      <c r="BSE25" s="148"/>
      <c r="BSF25" s="148"/>
      <c r="BSG25" s="148"/>
      <c r="BSH25" s="148"/>
      <c r="BSI25" s="148"/>
      <c r="BSJ25" s="148"/>
      <c r="BSK25" s="148"/>
      <c r="BSL25" s="148"/>
      <c r="BSM25" s="148"/>
      <c r="BSN25" s="148"/>
      <c r="BSO25" s="148"/>
      <c r="BSP25" s="148"/>
      <c r="BSQ25" s="148"/>
      <c r="BSR25" s="148"/>
      <c r="BSS25" s="148"/>
      <c r="BST25" s="148"/>
      <c r="BSU25" s="148"/>
      <c r="BSV25" s="148"/>
      <c r="BSW25" s="148"/>
      <c r="BSX25" s="148"/>
      <c r="BSY25" s="148"/>
      <c r="BSZ25" s="148"/>
      <c r="BTA25" s="148"/>
      <c r="BTB25" s="148"/>
      <c r="BTC25" s="148"/>
      <c r="BTD25" s="148"/>
      <c r="BTE25" s="148"/>
      <c r="BTF25" s="148"/>
      <c r="BTG25" s="148"/>
      <c r="BTH25" s="148"/>
      <c r="BTI25" s="148"/>
      <c r="BTJ25" s="148"/>
      <c r="BTK25" s="148"/>
      <c r="BTL25" s="148"/>
      <c r="BTM25" s="148"/>
      <c r="BTN25" s="148"/>
      <c r="BTO25" s="148"/>
      <c r="BTP25" s="148"/>
      <c r="BTQ25" s="148"/>
      <c r="BTR25" s="148"/>
      <c r="BTS25" s="148"/>
      <c r="BTT25" s="148"/>
      <c r="BTU25" s="148"/>
      <c r="BTV25" s="148"/>
      <c r="BTW25" s="148"/>
      <c r="BTX25" s="148"/>
      <c r="BTY25" s="148"/>
      <c r="BTZ25" s="148"/>
      <c r="BUA25" s="148"/>
      <c r="BUB25" s="148"/>
      <c r="BUC25" s="148"/>
      <c r="BUD25" s="148"/>
      <c r="BUE25" s="148"/>
      <c r="BUF25" s="148"/>
      <c r="BUG25" s="148"/>
      <c r="BUH25" s="148"/>
      <c r="BUI25" s="148"/>
      <c r="BUJ25" s="148"/>
      <c r="BUK25" s="148"/>
      <c r="BUL25" s="148"/>
      <c r="BUM25" s="148"/>
      <c r="BUN25" s="148"/>
      <c r="BUO25" s="148"/>
      <c r="BUP25" s="148"/>
      <c r="BUQ25" s="148"/>
      <c r="BUR25" s="148"/>
      <c r="BUS25" s="148"/>
      <c r="BUT25" s="148"/>
      <c r="BUU25" s="148"/>
      <c r="BUV25" s="148"/>
      <c r="BUW25" s="148"/>
      <c r="BUX25" s="148"/>
      <c r="BUY25" s="148"/>
      <c r="BUZ25" s="148"/>
      <c r="BVA25" s="148"/>
      <c r="BVB25" s="148"/>
      <c r="BVC25" s="148"/>
      <c r="BVD25" s="148"/>
      <c r="BVE25" s="148"/>
      <c r="BVF25" s="148"/>
      <c r="BVG25" s="148"/>
      <c r="BVH25" s="148"/>
      <c r="BVI25" s="148"/>
      <c r="BVJ25" s="148"/>
      <c r="BVK25" s="148"/>
      <c r="BVL25" s="148"/>
      <c r="BVM25" s="148"/>
      <c r="BVN25" s="148"/>
      <c r="BVO25" s="148"/>
      <c r="BVP25" s="148"/>
      <c r="BVQ25" s="148"/>
      <c r="BVR25" s="148"/>
      <c r="BVS25" s="148"/>
      <c r="BVT25" s="148"/>
      <c r="BVU25" s="148"/>
      <c r="BVV25" s="148"/>
      <c r="BVW25" s="148"/>
      <c r="BVX25" s="148"/>
      <c r="BVY25" s="148"/>
      <c r="BVZ25" s="148"/>
      <c r="BWA25" s="148"/>
      <c r="BWB25" s="148"/>
      <c r="BWC25" s="148"/>
      <c r="BWD25" s="148"/>
      <c r="BWE25" s="148"/>
      <c r="BWF25" s="148"/>
      <c r="BWG25" s="148"/>
      <c r="BWH25" s="148"/>
      <c r="BWI25" s="148"/>
      <c r="BWJ25" s="148"/>
      <c r="BWK25" s="148"/>
      <c r="BWL25" s="148"/>
      <c r="BWM25" s="148"/>
      <c r="BWN25" s="148"/>
      <c r="BWO25" s="148"/>
      <c r="BWP25" s="148"/>
      <c r="BWQ25" s="148"/>
      <c r="BWR25" s="148"/>
      <c r="BWS25" s="148"/>
      <c r="BWT25" s="148"/>
      <c r="BWU25" s="148"/>
      <c r="BWV25" s="148"/>
      <c r="BWW25" s="148"/>
      <c r="BWX25" s="148"/>
      <c r="BWY25" s="148"/>
      <c r="BWZ25" s="148"/>
      <c r="BXA25" s="148"/>
      <c r="BXB25" s="148"/>
      <c r="BXC25" s="148"/>
      <c r="BXD25" s="148"/>
      <c r="BXE25" s="148"/>
      <c r="BXF25" s="148"/>
      <c r="BXG25" s="148"/>
      <c r="BXH25" s="148"/>
      <c r="BXI25" s="148"/>
      <c r="BXJ25" s="148"/>
      <c r="BXK25" s="148"/>
      <c r="BXL25" s="148"/>
      <c r="BXM25" s="148"/>
      <c r="BXN25" s="148"/>
      <c r="BXO25" s="148"/>
      <c r="BXP25" s="148"/>
      <c r="BXQ25" s="148"/>
      <c r="BXR25" s="148"/>
      <c r="BXS25" s="148"/>
      <c r="BXT25" s="148"/>
      <c r="BXU25" s="148"/>
      <c r="BXV25" s="148"/>
      <c r="BXW25" s="148"/>
      <c r="BXX25" s="148"/>
      <c r="BXY25" s="148"/>
      <c r="BXZ25" s="148"/>
      <c r="BYA25" s="148"/>
      <c r="BYB25" s="148"/>
      <c r="BYC25" s="148"/>
      <c r="BYD25" s="148"/>
      <c r="BYE25" s="148"/>
      <c r="BYF25" s="148"/>
      <c r="BYG25" s="148"/>
      <c r="BYH25" s="148"/>
      <c r="BYI25" s="148"/>
      <c r="BYJ25" s="148"/>
      <c r="BYK25" s="148"/>
      <c r="BYL25" s="148"/>
      <c r="BYM25" s="148"/>
      <c r="BYN25" s="148"/>
      <c r="BYO25" s="148"/>
      <c r="BYP25" s="148"/>
      <c r="BYQ25" s="148"/>
      <c r="BYR25" s="148"/>
      <c r="BYS25" s="148"/>
      <c r="BYT25" s="148"/>
      <c r="BYU25" s="148"/>
      <c r="BYV25" s="148"/>
      <c r="BYW25" s="148"/>
      <c r="BYX25" s="148"/>
      <c r="BYY25" s="148"/>
      <c r="BYZ25" s="148"/>
      <c r="BZA25" s="148"/>
      <c r="BZB25" s="148"/>
      <c r="BZC25" s="148"/>
      <c r="BZD25" s="148"/>
      <c r="BZE25" s="148"/>
      <c r="BZF25" s="148"/>
      <c r="BZG25" s="148"/>
      <c r="BZH25" s="148"/>
      <c r="BZI25" s="148"/>
      <c r="BZJ25" s="148"/>
      <c r="BZK25" s="148"/>
      <c r="BZL25" s="148"/>
      <c r="BZM25" s="148"/>
      <c r="BZN25" s="148"/>
      <c r="BZO25" s="148"/>
      <c r="BZP25" s="148"/>
      <c r="BZQ25" s="148"/>
      <c r="BZR25" s="148"/>
      <c r="BZS25" s="148"/>
      <c r="BZT25" s="148"/>
      <c r="BZU25" s="148"/>
      <c r="BZV25" s="148"/>
      <c r="BZW25" s="148"/>
      <c r="BZX25" s="148"/>
      <c r="BZY25" s="148"/>
      <c r="BZZ25" s="148"/>
      <c r="CAA25" s="148"/>
      <c r="CAB25" s="148"/>
      <c r="CAC25" s="148"/>
      <c r="CAD25" s="148"/>
      <c r="CAE25" s="148"/>
      <c r="CAF25" s="148"/>
      <c r="CAG25" s="148"/>
      <c r="CAH25" s="148"/>
      <c r="CAI25" s="148"/>
      <c r="CAJ25" s="148"/>
      <c r="CAK25" s="148"/>
      <c r="CAL25" s="148"/>
      <c r="CAM25" s="148"/>
      <c r="CAN25" s="148"/>
      <c r="CAO25" s="148"/>
      <c r="CAP25" s="148"/>
      <c r="CAQ25" s="148"/>
      <c r="CAR25" s="148"/>
      <c r="CAS25" s="148"/>
      <c r="CAT25" s="148"/>
      <c r="CAU25" s="148"/>
      <c r="CAV25" s="148"/>
      <c r="CAW25" s="148"/>
      <c r="CAX25" s="148"/>
      <c r="CAY25" s="148"/>
      <c r="CAZ25" s="148"/>
      <c r="CBA25" s="148"/>
      <c r="CBB25" s="148"/>
      <c r="CBC25" s="148"/>
      <c r="CBD25" s="148"/>
      <c r="CBE25" s="148"/>
      <c r="CBF25" s="148"/>
      <c r="CBG25" s="148"/>
      <c r="CBH25" s="148"/>
      <c r="CBI25" s="148"/>
      <c r="CBJ25" s="148"/>
      <c r="CBK25" s="148"/>
      <c r="CBL25" s="148"/>
      <c r="CBM25" s="148"/>
      <c r="CBN25" s="148"/>
      <c r="CBO25" s="148"/>
      <c r="CBP25" s="148"/>
      <c r="CBQ25" s="148"/>
      <c r="CBR25" s="148"/>
      <c r="CBS25" s="148"/>
      <c r="CBT25" s="148"/>
      <c r="CBU25" s="148"/>
      <c r="CBV25" s="148"/>
      <c r="CBW25" s="148"/>
      <c r="CBX25" s="148"/>
      <c r="CBY25" s="148"/>
      <c r="CBZ25" s="148"/>
      <c r="CCA25" s="148"/>
      <c r="CCB25" s="148"/>
      <c r="CCC25" s="148"/>
      <c r="CCD25" s="148"/>
      <c r="CCE25" s="148"/>
      <c r="CCF25" s="148"/>
      <c r="CCG25" s="148"/>
      <c r="CCH25" s="148"/>
      <c r="CCI25" s="148"/>
      <c r="CCJ25" s="148"/>
      <c r="CCK25" s="148"/>
      <c r="CCL25" s="148"/>
      <c r="CCM25" s="148"/>
      <c r="CCN25" s="148"/>
      <c r="CCO25" s="148"/>
      <c r="CCP25" s="148"/>
      <c r="CCQ25" s="148"/>
      <c r="CCR25" s="148"/>
      <c r="CCS25" s="148"/>
      <c r="CCT25" s="148"/>
      <c r="CCU25" s="148"/>
      <c r="CCV25" s="148"/>
      <c r="CCW25" s="148"/>
      <c r="CCX25" s="148"/>
      <c r="CCY25" s="148"/>
      <c r="CCZ25" s="148"/>
      <c r="CDA25" s="148"/>
      <c r="CDB25" s="148"/>
      <c r="CDC25" s="148"/>
      <c r="CDD25" s="148"/>
      <c r="CDE25" s="148"/>
      <c r="CDF25" s="148"/>
      <c r="CDG25" s="148"/>
      <c r="CDH25" s="148"/>
      <c r="CDI25" s="148"/>
      <c r="CDJ25" s="148"/>
      <c r="CDK25" s="148"/>
      <c r="CDL25" s="148"/>
      <c r="CDM25" s="148"/>
      <c r="CDN25" s="148"/>
      <c r="CDO25" s="148"/>
      <c r="CDP25" s="148"/>
      <c r="CDQ25" s="148"/>
      <c r="CDR25" s="148"/>
      <c r="CDS25" s="148"/>
      <c r="CDT25" s="148"/>
      <c r="CDU25" s="148"/>
      <c r="CDV25" s="148"/>
      <c r="CDW25" s="148"/>
      <c r="CDX25" s="148"/>
      <c r="CDY25" s="148"/>
      <c r="CDZ25" s="148"/>
      <c r="CEA25" s="148"/>
      <c r="CEB25" s="148"/>
      <c r="CEC25" s="148"/>
      <c r="CED25" s="148"/>
      <c r="CEE25" s="148"/>
      <c r="CEF25" s="148"/>
      <c r="CEG25" s="148"/>
      <c r="CEH25" s="148"/>
      <c r="CEI25" s="148"/>
      <c r="CEJ25" s="148"/>
      <c r="CEK25" s="148"/>
      <c r="CEL25" s="148"/>
      <c r="CEM25" s="148"/>
      <c r="CEN25" s="148"/>
      <c r="CEO25" s="148"/>
      <c r="CEP25" s="148"/>
      <c r="CEQ25" s="148"/>
      <c r="CER25" s="148"/>
      <c r="CES25" s="148"/>
      <c r="CET25" s="148"/>
      <c r="CEU25" s="148"/>
      <c r="CEV25" s="148"/>
      <c r="CEW25" s="148"/>
      <c r="CEX25" s="148"/>
      <c r="CEY25" s="148"/>
      <c r="CEZ25" s="148"/>
      <c r="CFA25" s="148"/>
      <c r="CFB25" s="148"/>
      <c r="CFC25" s="148"/>
      <c r="CFD25" s="148"/>
      <c r="CFE25" s="148"/>
      <c r="CFF25" s="148"/>
      <c r="CFG25" s="148"/>
      <c r="CFH25" s="148"/>
      <c r="CFI25" s="148"/>
      <c r="CFJ25" s="148"/>
      <c r="CFK25" s="148"/>
      <c r="CFL25" s="148"/>
      <c r="CFM25" s="148"/>
      <c r="CFN25" s="148"/>
      <c r="CFO25" s="148"/>
      <c r="CFP25" s="148"/>
      <c r="CFQ25" s="148"/>
      <c r="CFR25" s="148"/>
      <c r="CFS25" s="148"/>
      <c r="CFT25" s="148"/>
      <c r="CFU25" s="148"/>
      <c r="CFV25" s="148"/>
      <c r="CFW25" s="148"/>
      <c r="CFX25" s="148"/>
      <c r="CFY25" s="148"/>
      <c r="CFZ25" s="148"/>
      <c r="CGA25" s="148"/>
      <c r="CGB25" s="148"/>
      <c r="CGC25" s="148"/>
      <c r="CGD25" s="148"/>
      <c r="CGE25" s="148"/>
      <c r="CGF25" s="148"/>
      <c r="CGG25" s="148"/>
      <c r="CGH25" s="148"/>
      <c r="CGI25" s="148"/>
      <c r="CGJ25" s="148"/>
      <c r="CGK25" s="148"/>
      <c r="CGL25" s="148"/>
      <c r="CGM25" s="148"/>
      <c r="CGN25" s="148"/>
      <c r="CGO25" s="148"/>
      <c r="CGP25" s="148"/>
      <c r="CGQ25" s="148"/>
      <c r="CGR25" s="148"/>
      <c r="CGS25" s="148"/>
      <c r="CGT25" s="148"/>
      <c r="CGU25" s="148"/>
      <c r="CGV25" s="148"/>
      <c r="CGW25" s="148"/>
      <c r="CGX25" s="148"/>
      <c r="CGY25" s="148"/>
      <c r="CGZ25" s="148"/>
      <c r="CHA25" s="148"/>
      <c r="CHB25" s="148"/>
      <c r="CHC25" s="148"/>
      <c r="CHD25" s="148"/>
      <c r="CHE25" s="148"/>
      <c r="CHF25" s="148"/>
      <c r="CHG25" s="148"/>
      <c r="CHH25" s="148"/>
      <c r="CHI25" s="148"/>
      <c r="CHJ25" s="148"/>
      <c r="CHK25" s="148"/>
      <c r="CHL25" s="148"/>
      <c r="CHM25" s="148"/>
      <c r="CHN25" s="148"/>
      <c r="CHO25" s="148"/>
      <c r="CHP25" s="148"/>
      <c r="CHQ25" s="148"/>
      <c r="CHR25" s="148"/>
      <c r="CHS25" s="148"/>
      <c r="CHT25" s="148"/>
      <c r="CHU25" s="148"/>
      <c r="CHV25" s="148"/>
      <c r="CHW25" s="148"/>
      <c r="CHX25" s="148"/>
      <c r="CHY25" s="148"/>
      <c r="CHZ25" s="148"/>
      <c r="CIA25" s="148"/>
      <c r="CIB25" s="148"/>
      <c r="CIC25" s="148"/>
      <c r="CID25" s="148"/>
      <c r="CIE25" s="148"/>
      <c r="CIF25" s="148"/>
      <c r="CIG25" s="148"/>
      <c r="CIH25" s="148"/>
      <c r="CII25" s="148"/>
      <c r="CIJ25" s="148"/>
      <c r="CIK25" s="148"/>
      <c r="CIL25" s="148"/>
      <c r="CIM25" s="148"/>
      <c r="CIN25" s="148"/>
      <c r="CIO25" s="148"/>
      <c r="CIP25" s="148"/>
      <c r="CIQ25" s="148"/>
      <c r="CIR25" s="148"/>
      <c r="CIS25" s="148"/>
      <c r="CIT25" s="148"/>
      <c r="CIU25" s="148"/>
      <c r="CIV25" s="148"/>
      <c r="CIW25" s="148"/>
      <c r="CIX25" s="148"/>
      <c r="CIY25" s="148"/>
      <c r="CIZ25" s="148"/>
      <c r="CJA25" s="148"/>
      <c r="CJB25" s="148"/>
      <c r="CJC25" s="148"/>
      <c r="CJD25" s="148"/>
      <c r="CJE25" s="148"/>
      <c r="CJF25" s="148"/>
      <c r="CJG25" s="148"/>
      <c r="CJH25" s="148"/>
      <c r="CJI25" s="148"/>
      <c r="CJJ25" s="148"/>
      <c r="CJK25" s="148"/>
      <c r="CJL25" s="148"/>
      <c r="CJM25" s="148"/>
      <c r="CJN25" s="148"/>
      <c r="CJO25" s="148"/>
      <c r="CJP25" s="148"/>
      <c r="CJQ25" s="148"/>
      <c r="CJR25" s="148"/>
      <c r="CJS25" s="148"/>
      <c r="CJT25" s="148"/>
      <c r="CJU25" s="148"/>
      <c r="CJV25" s="148"/>
      <c r="CJW25" s="148"/>
      <c r="CJX25" s="148"/>
      <c r="CJY25" s="148"/>
      <c r="CJZ25" s="148"/>
      <c r="CKA25" s="148"/>
      <c r="CKB25" s="148"/>
      <c r="CKC25" s="148"/>
      <c r="CKD25" s="148"/>
      <c r="CKE25" s="148"/>
      <c r="CKF25" s="148"/>
      <c r="CKG25" s="148"/>
      <c r="CKH25" s="148"/>
      <c r="CKI25" s="148"/>
      <c r="CKJ25" s="148"/>
      <c r="CKK25" s="148"/>
      <c r="CKL25" s="148"/>
      <c r="CKM25" s="148"/>
      <c r="CKN25" s="148"/>
      <c r="CKO25" s="148"/>
      <c r="CKP25" s="148"/>
      <c r="CKQ25" s="148"/>
      <c r="CKR25" s="148"/>
      <c r="CKS25" s="148"/>
      <c r="CKT25" s="148"/>
      <c r="CKU25" s="148"/>
      <c r="CKV25" s="148"/>
      <c r="CKW25" s="148"/>
      <c r="CKX25" s="148"/>
      <c r="CKY25" s="148"/>
      <c r="CKZ25" s="148"/>
      <c r="CLA25" s="148"/>
      <c r="CLB25" s="148"/>
      <c r="CLC25" s="148"/>
      <c r="CLD25" s="148"/>
      <c r="CLE25" s="148"/>
      <c r="CLF25" s="148"/>
      <c r="CLG25" s="148"/>
      <c r="CLH25" s="148"/>
      <c r="CLI25" s="148"/>
      <c r="CLJ25" s="148"/>
      <c r="CLK25" s="148"/>
      <c r="CLL25" s="148"/>
      <c r="CLM25" s="148"/>
      <c r="CLN25" s="148"/>
      <c r="CLO25" s="148"/>
      <c r="CLP25" s="148"/>
      <c r="CLQ25" s="148"/>
      <c r="CLR25" s="148"/>
      <c r="CLS25" s="148"/>
      <c r="CLT25" s="148"/>
      <c r="CLU25" s="148"/>
      <c r="CLV25" s="148"/>
      <c r="CLW25" s="148"/>
      <c r="CLX25" s="148"/>
      <c r="CLY25" s="148"/>
      <c r="CLZ25" s="148"/>
      <c r="CMA25" s="148"/>
      <c r="CMB25" s="148"/>
      <c r="CMC25" s="148"/>
      <c r="CMD25" s="148"/>
      <c r="CME25" s="148"/>
      <c r="CMF25" s="148"/>
      <c r="CMG25" s="148"/>
      <c r="CMH25" s="148"/>
      <c r="CMI25" s="148"/>
      <c r="CMJ25" s="148"/>
      <c r="CMK25" s="148"/>
      <c r="CML25" s="148"/>
      <c r="CMM25" s="148"/>
      <c r="CMN25" s="148"/>
      <c r="CMO25" s="148"/>
      <c r="CMP25" s="148"/>
      <c r="CMQ25" s="148"/>
      <c r="CMR25" s="148"/>
      <c r="CMS25" s="148"/>
      <c r="CMT25" s="148"/>
      <c r="CMU25" s="148"/>
      <c r="CMV25" s="148"/>
      <c r="CMW25" s="148"/>
      <c r="CMX25" s="148"/>
      <c r="CMY25" s="148"/>
      <c r="CMZ25" s="148"/>
      <c r="CNA25" s="148"/>
      <c r="CNB25" s="148"/>
      <c r="CNC25" s="148"/>
      <c r="CND25" s="148"/>
      <c r="CNE25" s="148"/>
      <c r="CNF25" s="148"/>
      <c r="CNG25" s="148"/>
      <c r="CNH25" s="148"/>
      <c r="CNI25" s="148"/>
      <c r="CNJ25" s="148"/>
      <c r="CNK25" s="148"/>
      <c r="CNL25" s="148"/>
      <c r="CNM25" s="148"/>
      <c r="CNN25" s="148"/>
      <c r="CNO25" s="148"/>
      <c r="CNP25" s="148"/>
      <c r="CNQ25" s="148"/>
      <c r="CNR25" s="148"/>
      <c r="CNS25" s="148"/>
      <c r="CNT25" s="148"/>
      <c r="CNU25" s="148"/>
      <c r="CNV25" s="148"/>
      <c r="CNW25" s="148"/>
      <c r="CNX25" s="148"/>
      <c r="CNY25" s="148"/>
      <c r="CNZ25" s="148"/>
      <c r="COA25" s="148"/>
      <c r="COB25" s="148"/>
      <c r="COC25" s="148"/>
      <c r="COD25" s="148"/>
      <c r="COE25" s="148"/>
      <c r="COF25" s="148"/>
      <c r="COG25" s="148"/>
      <c r="COH25" s="148"/>
      <c r="COI25" s="148"/>
      <c r="COJ25" s="148"/>
      <c r="COK25" s="148"/>
      <c r="COL25" s="148"/>
      <c r="COM25" s="148"/>
      <c r="CON25" s="148"/>
      <c r="COO25" s="148"/>
      <c r="COP25" s="148"/>
      <c r="COQ25" s="148"/>
      <c r="COR25" s="148"/>
      <c r="COS25" s="148"/>
      <c r="COT25" s="148"/>
      <c r="COU25" s="148"/>
      <c r="COV25" s="148"/>
      <c r="COW25" s="148"/>
      <c r="COX25" s="148"/>
      <c r="COY25" s="148"/>
      <c r="COZ25" s="148"/>
      <c r="CPA25" s="148"/>
      <c r="CPB25" s="148"/>
      <c r="CPC25" s="148"/>
      <c r="CPD25" s="148"/>
      <c r="CPE25" s="148"/>
      <c r="CPF25" s="148"/>
      <c r="CPG25" s="148"/>
      <c r="CPH25" s="148"/>
      <c r="CPI25" s="148"/>
      <c r="CPJ25" s="148"/>
      <c r="CPK25" s="148"/>
      <c r="CPL25" s="148"/>
      <c r="CPM25" s="148"/>
      <c r="CPN25" s="148"/>
      <c r="CPO25" s="148"/>
      <c r="CPP25" s="148"/>
      <c r="CPQ25" s="148"/>
      <c r="CPR25" s="148"/>
      <c r="CPS25" s="148"/>
      <c r="CPT25" s="148"/>
      <c r="CPU25" s="148"/>
      <c r="CPV25" s="148"/>
      <c r="CPW25" s="148"/>
      <c r="CPX25" s="148"/>
      <c r="CPY25" s="148"/>
      <c r="CPZ25" s="148"/>
      <c r="CQA25" s="148"/>
      <c r="CQB25" s="148"/>
      <c r="CQC25" s="148"/>
      <c r="CQD25" s="148"/>
      <c r="CQE25" s="148"/>
      <c r="CQF25" s="148"/>
      <c r="CQG25" s="148"/>
      <c r="CQH25" s="148"/>
      <c r="CQI25" s="148"/>
      <c r="CQJ25" s="148"/>
      <c r="CQK25" s="148"/>
      <c r="CQL25" s="148"/>
      <c r="CQM25" s="148"/>
      <c r="CQN25" s="148"/>
      <c r="CQO25" s="148"/>
      <c r="CQP25" s="148"/>
      <c r="CQQ25" s="148"/>
      <c r="CQR25" s="148"/>
      <c r="CQS25" s="148"/>
      <c r="CQT25" s="148"/>
      <c r="CQU25" s="148"/>
      <c r="CQV25" s="148"/>
      <c r="CQW25" s="148"/>
      <c r="CQX25" s="148"/>
      <c r="CQY25" s="148"/>
      <c r="CQZ25" s="148"/>
      <c r="CRA25" s="148"/>
      <c r="CRB25" s="148"/>
      <c r="CRC25" s="148"/>
      <c r="CRD25" s="148"/>
      <c r="CRE25" s="148"/>
      <c r="CRF25" s="148"/>
      <c r="CRG25" s="148"/>
      <c r="CRH25" s="148"/>
      <c r="CRI25" s="148"/>
      <c r="CRJ25" s="148"/>
      <c r="CRK25" s="148"/>
      <c r="CRL25" s="148"/>
      <c r="CRM25" s="148"/>
      <c r="CRN25" s="148"/>
      <c r="CRO25" s="148"/>
      <c r="CRP25" s="148"/>
      <c r="CRQ25" s="148"/>
      <c r="CRR25" s="148"/>
      <c r="CRS25" s="148"/>
      <c r="CRT25" s="148"/>
      <c r="CRU25" s="148"/>
      <c r="CRV25" s="148"/>
      <c r="CRW25" s="148"/>
      <c r="CRX25" s="148"/>
      <c r="CRY25" s="148"/>
      <c r="CRZ25" s="148"/>
      <c r="CSA25" s="148"/>
      <c r="CSB25" s="148"/>
      <c r="CSC25" s="148"/>
      <c r="CSD25" s="148"/>
      <c r="CSE25" s="148"/>
      <c r="CSF25" s="148"/>
      <c r="CSG25" s="148"/>
      <c r="CSH25" s="148"/>
      <c r="CSI25" s="148"/>
      <c r="CSJ25" s="148"/>
      <c r="CSK25" s="148"/>
      <c r="CSL25" s="148"/>
      <c r="CSM25" s="148"/>
      <c r="CSN25" s="148"/>
      <c r="CSO25" s="148"/>
      <c r="CSP25" s="148"/>
      <c r="CSQ25" s="148"/>
      <c r="CSR25" s="148"/>
      <c r="CSS25" s="148"/>
      <c r="CST25" s="148"/>
      <c r="CSU25" s="148"/>
      <c r="CSV25" s="148"/>
      <c r="CSW25" s="148"/>
      <c r="CSX25" s="148"/>
      <c r="CSY25" s="148"/>
      <c r="CSZ25" s="148"/>
      <c r="CTA25" s="148"/>
      <c r="CTB25" s="148"/>
      <c r="CTC25" s="148"/>
      <c r="CTD25" s="148"/>
      <c r="CTE25" s="148"/>
      <c r="CTF25" s="148"/>
      <c r="CTG25" s="148"/>
      <c r="CTH25" s="148"/>
      <c r="CTI25" s="148"/>
      <c r="CTJ25" s="148"/>
      <c r="CTK25" s="148"/>
      <c r="CTL25" s="148"/>
      <c r="CTM25" s="148"/>
      <c r="CTN25" s="148"/>
      <c r="CTO25" s="148"/>
      <c r="CTP25" s="148"/>
      <c r="CTQ25" s="148"/>
      <c r="CTR25" s="148"/>
      <c r="CTS25" s="148"/>
      <c r="CTT25" s="148"/>
      <c r="CTU25" s="148"/>
      <c r="CTV25" s="148"/>
      <c r="CTW25" s="148"/>
      <c r="CTX25" s="148"/>
      <c r="CTY25" s="148"/>
      <c r="CTZ25" s="148"/>
      <c r="CUA25" s="148"/>
      <c r="CUB25" s="148"/>
      <c r="CUC25" s="148"/>
      <c r="CUD25" s="148"/>
      <c r="CUE25" s="148"/>
      <c r="CUF25" s="148"/>
      <c r="CUG25" s="148"/>
      <c r="CUH25" s="148"/>
      <c r="CUI25" s="148"/>
      <c r="CUJ25" s="148"/>
      <c r="CUK25" s="148"/>
      <c r="CUL25" s="148"/>
      <c r="CUM25" s="148"/>
      <c r="CUN25" s="148"/>
      <c r="CUO25" s="148"/>
      <c r="CUP25" s="148"/>
      <c r="CUQ25" s="148"/>
      <c r="CUR25" s="148"/>
      <c r="CUS25" s="148"/>
      <c r="CUT25" s="148"/>
      <c r="CUU25" s="148"/>
      <c r="CUV25" s="148"/>
      <c r="CUW25" s="148"/>
      <c r="CUX25" s="148"/>
      <c r="CUY25" s="148"/>
      <c r="CUZ25" s="148"/>
      <c r="CVA25" s="148"/>
      <c r="CVB25" s="148"/>
      <c r="CVC25" s="148"/>
      <c r="CVD25" s="148"/>
      <c r="CVE25" s="148"/>
      <c r="CVF25" s="148"/>
      <c r="CVG25" s="148"/>
      <c r="CVH25" s="148"/>
      <c r="CVI25" s="148"/>
      <c r="CVJ25" s="148"/>
      <c r="CVK25" s="148"/>
      <c r="CVL25" s="148"/>
      <c r="CVM25" s="148"/>
      <c r="CVN25" s="148"/>
      <c r="CVO25" s="148"/>
      <c r="CVP25" s="148"/>
      <c r="CVQ25" s="148"/>
      <c r="CVR25" s="148"/>
      <c r="CVS25" s="148"/>
      <c r="CVT25" s="148"/>
      <c r="CVU25" s="148"/>
      <c r="CVV25" s="148"/>
      <c r="CVW25" s="148"/>
      <c r="CVX25" s="148"/>
      <c r="CVY25" s="148"/>
      <c r="CVZ25" s="148"/>
      <c r="CWA25" s="148"/>
      <c r="CWB25" s="148"/>
      <c r="CWC25" s="148"/>
      <c r="CWD25" s="148"/>
      <c r="CWE25" s="148"/>
      <c r="CWF25" s="148"/>
      <c r="CWG25" s="148"/>
      <c r="CWH25" s="148"/>
      <c r="CWI25" s="148"/>
      <c r="CWJ25" s="148"/>
      <c r="CWK25" s="148"/>
      <c r="CWL25" s="148"/>
      <c r="CWM25" s="148"/>
      <c r="CWN25" s="148"/>
      <c r="CWO25" s="148"/>
      <c r="CWP25" s="148"/>
      <c r="CWQ25" s="148"/>
      <c r="CWR25" s="148"/>
      <c r="CWS25" s="148"/>
      <c r="CWT25" s="148"/>
      <c r="CWU25" s="148"/>
      <c r="CWV25" s="148"/>
      <c r="CWW25" s="148"/>
      <c r="CWX25" s="148"/>
      <c r="CWY25" s="148"/>
      <c r="CWZ25" s="148"/>
      <c r="CXA25" s="148"/>
      <c r="CXB25" s="148"/>
      <c r="CXC25" s="148"/>
      <c r="CXD25" s="148"/>
      <c r="CXE25" s="148"/>
      <c r="CXF25" s="148"/>
      <c r="CXG25" s="148"/>
      <c r="CXH25" s="148"/>
      <c r="CXI25" s="148"/>
      <c r="CXJ25" s="148"/>
      <c r="CXK25" s="148"/>
      <c r="CXL25" s="148"/>
      <c r="CXM25" s="148"/>
      <c r="CXN25" s="148"/>
      <c r="CXO25" s="148"/>
      <c r="CXP25" s="148"/>
      <c r="CXQ25" s="148"/>
      <c r="CXR25" s="148"/>
      <c r="CXS25" s="148"/>
      <c r="CXT25" s="148"/>
      <c r="CXU25" s="148"/>
      <c r="CXV25" s="148"/>
      <c r="CXW25" s="148"/>
      <c r="CXX25" s="148"/>
      <c r="CXY25" s="148"/>
      <c r="CXZ25" s="148"/>
      <c r="CYA25" s="148"/>
      <c r="CYB25" s="148"/>
      <c r="CYC25" s="148"/>
      <c r="CYD25" s="148"/>
      <c r="CYE25" s="148"/>
      <c r="CYF25" s="148"/>
      <c r="CYG25" s="148"/>
      <c r="CYH25" s="148"/>
      <c r="CYI25" s="148"/>
      <c r="CYJ25" s="148"/>
      <c r="CYK25" s="148"/>
      <c r="CYL25" s="148"/>
      <c r="CYM25" s="148"/>
      <c r="CYN25" s="148"/>
      <c r="CYO25" s="148"/>
      <c r="CYP25" s="148"/>
      <c r="CYQ25" s="148"/>
      <c r="CYR25" s="148"/>
      <c r="CYS25" s="148"/>
      <c r="CYT25" s="148"/>
      <c r="CYU25" s="148"/>
      <c r="CYV25" s="148"/>
      <c r="CYW25" s="148"/>
      <c r="CYX25" s="148"/>
      <c r="CYY25" s="148"/>
      <c r="CYZ25" s="148"/>
      <c r="CZA25" s="148"/>
      <c r="CZB25" s="148"/>
      <c r="CZC25" s="148"/>
      <c r="CZD25" s="148"/>
      <c r="CZE25" s="148"/>
      <c r="CZF25" s="148"/>
      <c r="CZG25" s="148"/>
      <c r="CZH25" s="148"/>
      <c r="CZI25" s="148"/>
      <c r="CZJ25" s="148"/>
      <c r="CZK25" s="148"/>
      <c r="CZL25" s="148"/>
      <c r="CZM25" s="148"/>
      <c r="CZN25" s="148"/>
      <c r="CZO25" s="148"/>
      <c r="CZP25" s="148"/>
      <c r="CZQ25" s="148"/>
      <c r="CZR25" s="148"/>
      <c r="CZS25" s="148"/>
      <c r="CZT25" s="148"/>
      <c r="CZU25" s="148"/>
      <c r="CZV25" s="148"/>
      <c r="CZW25" s="148"/>
      <c r="CZX25" s="148"/>
      <c r="CZY25" s="148"/>
      <c r="CZZ25" s="148"/>
      <c r="DAA25" s="148"/>
      <c r="DAB25" s="148"/>
      <c r="DAC25" s="148"/>
      <c r="DAD25" s="148"/>
      <c r="DAE25" s="148"/>
      <c r="DAF25" s="148"/>
      <c r="DAG25" s="148"/>
      <c r="DAH25" s="148"/>
      <c r="DAI25" s="148"/>
      <c r="DAJ25" s="148"/>
      <c r="DAK25" s="148"/>
      <c r="DAL25" s="148"/>
      <c r="DAM25" s="148"/>
      <c r="DAN25" s="148"/>
      <c r="DAO25" s="148"/>
      <c r="DAP25" s="148"/>
      <c r="DAQ25" s="148"/>
      <c r="DAR25" s="148"/>
      <c r="DAS25" s="148"/>
      <c r="DAT25" s="148"/>
      <c r="DAU25" s="148"/>
      <c r="DAV25" s="148"/>
      <c r="DAW25" s="148"/>
      <c r="DAX25" s="148"/>
      <c r="DAY25" s="148"/>
      <c r="DAZ25" s="148"/>
      <c r="DBA25" s="148"/>
      <c r="DBB25" s="148"/>
      <c r="DBC25" s="148"/>
      <c r="DBD25" s="148"/>
      <c r="DBE25" s="148"/>
      <c r="DBF25" s="148"/>
      <c r="DBG25" s="148"/>
      <c r="DBH25" s="148"/>
      <c r="DBI25" s="148"/>
      <c r="DBJ25" s="148"/>
      <c r="DBK25" s="148"/>
      <c r="DBL25" s="148"/>
      <c r="DBM25" s="148"/>
      <c r="DBN25" s="148"/>
      <c r="DBO25" s="148"/>
      <c r="DBP25" s="148"/>
      <c r="DBQ25" s="148"/>
      <c r="DBR25" s="148"/>
      <c r="DBS25" s="148"/>
      <c r="DBT25" s="148"/>
      <c r="DBU25" s="148"/>
      <c r="DBV25" s="148"/>
      <c r="DBW25" s="148"/>
      <c r="DBX25" s="148"/>
      <c r="DBY25" s="148"/>
      <c r="DBZ25" s="148"/>
      <c r="DCA25" s="148"/>
      <c r="DCB25" s="148"/>
      <c r="DCC25" s="148"/>
      <c r="DCD25" s="148"/>
      <c r="DCE25" s="148"/>
      <c r="DCF25" s="148"/>
      <c r="DCG25" s="148"/>
      <c r="DCH25" s="148"/>
      <c r="DCI25" s="148"/>
      <c r="DCJ25" s="148"/>
      <c r="DCK25" s="148"/>
      <c r="DCL25" s="148"/>
      <c r="DCM25" s="148"/>
      <c r="DCN25" s="148"/>
      <c r="DCO25" s="148"/>
      <c r="DCP25" s="148"/>
      <c r="DCQ25" s="148"/>
      <c r="DCR25" s="148"/>
      <c r="DCS25" s="148"/>
      <c r="DCT25" s="148"/>
      <c r="DCU25" s="148"/>
      <c r="DCV25" s="148"/>
      <c r="DCW25" s="148"/>
      <c r="DCX25" s="148"/>
      <c r="DCY25" s="148"/>
      <c r="DCZ25" s="148"/>
      <c r="DDA25" s="148"/>
      <c r="DDB25" s="148"/>
      <c r="DDC25" s="148"/>
      <c r="DDD25" s="148"/>
      <c r="DDE25" s="148"/>
      <c r="DDF25" s="148"/>
      <c r="DDG25" s="148"/>
      <c r="DDH25" s="148"/>
      <c r="DDI25" s="148"/>
      <c r="DDJ25" s="148"/>
      <c r="DDK25" s="148"/>
      <c r="DDL25" s="148"/>
      <c r="DDM25" s="148"/>
      <c r="DDN25" s="148"/>
      <c r="DDO25" s="148"/>
      <c r="DDP25" s="148"/>
      <c r="DDQ25" s="148"/>
      <c r="DDR25" s="148"/>
      <c r="DDS25" s="148"/>
      <c r="DDT25" s="148"/>
      <c r="DDU25" s="148"/>
      <c r="DDV25" s="148"/>
      <c r="DDW25" s="148"/>
      <c r="DDX25" s="148"/>
      <c r="DDY25" s="148"/>
      <c r="DDZ25" s="148"/>
      <c r="DEA25" s="148"/>
      <c r="DEB25" s="148"/>
      <c r="DEC25" s="148"/>
      <c r="DED25" s="148"/>
      <c r="DEE25" s="148"/>
      <c r="DEF25" s="148"/>
      <c r="DEG25" s="148"/>
      <c r="DEH25" s="148"/>
      <c r="DEI25" s="148"/>
      <c r="DEJ25" s="148"/>
      <c r="DEK25" s="148"/>
      <c r="DEL25" s="148"/>
      <c r="DEM25" s="148"/>
      <c r="DEN25" s="148"/>
      <c r="DEO25" s="148"/>
      <c r="DEP25" s="148"/>
      <c r="DEQ25" s="148"/>
      <c r="DER25" s="148"/>
      <c r="DES25" s="148"/>
      <c r="DET25" s="148"/>
      <c r="DEU25" s="148"/>
      <c r="DEV25" s="148"/>
      <c r="DEW25" s="148"/>
      <c r="DEX25" s="148"/>
      <c r="DEY25" s="148"/>
      <c r="DEZ25" s="148"/>
      <c r="DFA25" s="148"/>
      <c r="DFB25" s="148"/>
      <c r="DFC25" s="148"/>
      <c r="DFD25" s="148"/>
      <c r="DFE25" s="148"/>
      <c r="DFF25" s="148"/>
      <c r="DFG25" s="148"/>
      <c r="DFH25" s="148"/>
      <c r="DFI25" s="148"/>
      <c r="DFJ25" s="148"/>
      <c r="DFK25" s="148"/>
      <c r="DFL25" s="148"/>
      <c r="DFM25" s="148"/>
      <c r="DFN25" s="148"/>
      <c r="DFO25" s="148"/>
      <c r="DFP25" s="148"/>
      <c r="DFQ25" s="148"/>
      <c r="DFR25" s="148"/>
      <c r="DFS25" s="148"/>
      <c r="DFT25" s="148"/>
      <c r="DFU25" s="148"/>
      <c r="DFV25" s="148"/>
      <c r="DFW25" s="148"/>
      <c r="DFX25" s="148"/>
      <c r="DFY25" s="148"/>
      <c r="DFZ25" s="148"/>
      <c r="DGA25" s="148"/>
      <c r="DGB25" s="148"/>
      <c r="DGC25" s="148"/>
      <c r="DGD25" s="148"/>
      <c r="DGE25" s="148"/>
      <c r="DGF25" s="148"/>
      <c r="DGG25" s="148"/>
      <c r="DGH25" s="148"/>
      <c r="DGI25" s="148"/>
      <c r="DGJ25" s="148"/>
      <c r="DGK25" s="148"/>
      <c r="DGL25" s="148"/>
      <c r="DGM25" s="148"/>
      <c r="DGN25" s="148"/>
      <c r="DGO25" s="148"/>
      <c r="DGP25" s="148"/>
      <c r="DGQ25" s="148"/>
      <c r="DGR25" s="148"/>
      <c r="DGS25" s="148"/>
      <c r="DGT25" s="148"/>
      <c r="DGU25" s="148"/>
      <c r="DGV25" s="148"/>
      <c r="DGW25" s="148"/>
      <c r="DGX25" s="148"/>
      <c r="DGY25" s="148"/>
      <c r="DGZ25" s="148"/>
      <c r="DHA25" s="148"/>
      <c r="DHB25" s="148"/>
      <c r="DHC25" s="148"/>
      <c r="DHD25" s="148"/>
      <c r="DHE25" s="148"/>
      <c r="DHF25" s="148"/>
      <c r="DHG25" s="148"/>
      <c r="DHH25" s="148"/>
      <c r="DHI25" s="148"/>
      <c r="DHJ25" s="148"/>
      <c r="DHK25" s="148"/>
      <c r="DHL25" s="148"/>
      <c r="DHM25" s="148"/>
      <c r="DHN25" s="148"/>
      <c r="DHO25" s="148"/>
      <c r="DHP25" s="148"/>
      <c r="DHQ25" s="148"/>
      <c r="DHR25" s="148"/>
      <c r="DHS25" s="148"/>
      <c r="DHT25" s="148"/>
      <c r="DHU25" s="148"/>
      <c r="DHV25" s="148"/>
      <c r="DHW25" s="148"/>
      <c r="DHX25" s="148"/>
      <c r="DHY25" s="148"/>
      <c r="DHZ25" s="148"/>
      <c r="DIA25" s="148"/>
      <c r="DIB25" s="148"/>
      <c r="DIC25" s="148"/>
      <c r="DID25" s="148"/>
      <c r="DIE25" s="148"/>
      <c r="DIF25" s="148"/>
      <c r="DIG25" s="148"/>
      <c r="DIH25" s="148"/>
      <c r="DII25" s="148"/>
      <c r="DIJ25" s="148"/>
      <c r="DIK25" s="148"/>
      <c r="DIL25" s="148"/>
      <c r="DIM25" s="148"/>
      <c r="DIN25" s="148"/>
      <c r="DIO25" s="148"/>
      <c r="DIP25" s="148"/>
      <c r="DIQ25" s="148"/>
      <c r="DIR25" s="148"/>
      <c r="DIS25" s="148"/>
      <c r="DIT25" s="148"/>
      <c r="DIU25" s="148"/>
      <c r="DIV25" s="148"/>
      <c r="DIW25" s="148"/>
      <c r="DIX25" s="148"/>
      <c r="DIY25" s="148"/>
      <c r="DIZ25" s="148"/>
      <c r="DJA25" s="148"/>
      <c r="DJB25" s="148"/>
      <c r="DJC25" s="148"/>
      <c r="DJD25" s="148"/>
      <c r="DJE25" s="148"/>
      <c r="DJF25" s="148"/>
      <c r="DJG25" s="148"/>
      <c r="DJH25" s="148"/>
      <c r="DJI25" s="148"/>
      <c r="DJJ25" s="148"/>
      <c r="DJK25" s="148"/>
      <c r="DJL25" s="148"/>
      <c r="DJM25" s="148"/>
      <c r="DJN25" s="148"/>
      <c r="DJO25" s="148"/>
      <c r="DJP25" s="148"/>
      <c r="DJQ25" s="148"/>
      <c r="DJR25" s="148"/>
      <c r="DJS25" s="148"/>
      <c r="DJT25" s="148"/>
      <c r="DJU25" s="148"/>
      <c r="DJV25" s="148"/>
      <c r="DJW25" s="148"/>
      <c r="DJX25" s="148"/>
      <c r="DJY25" s="148"/>
      <c r="DJZ25" s="148"/>
      <c r="DKA25" s="148"/>
      <c r="DKB25" s="148"/>
      <c r="DKC25" s="148"/>
      <c r="DKD25" s="148"/>
      <c r="DKE25" s="148"/>
      <c r="DKF25" s="148"/>
      <c r="DKG25" s="148"/>
      <c r="DKH25" s="148"/>
      <c r="DKI25" s="148"/>
      <c r="DKJ25" s="148"/>
      <c r="DKK25" s="148"/>
      <c r="DKL25" s="148"/>
      <c r="DKM25" s="148"/>
      <c r="DKN25" s="148"/>
      <c r="DKO25" s="148"/>
      <c r="DKP25" s="148"/>
      <c r="DKQ25" s="148"/>
      <c r="DKR25" s="148"/>
      <c r="DKS25" s="148"/>
      <c r="DKT25" s="148"/>
      <c r="DKU25" s="148"/>
      <c r="DKV25" s="148"/>
      <c r="DKW25" s="148"/>
      <c r="DKX25" s="148"/>
      <c r="DKY25" s="148"/>
      <c r="DKZ25" s="148"/>
      <c r="DLA25" s="148"/>
      <c r="DLB25" s="148"/>
      <c r="DLC25" s="148"/>
      <c r="DLD25" s="148"/>
      <c r="DLE25" s="148"/>
      <c r="DLF25" s="148"/>
      <c r="DLG25" s="148"/>
      <c r="DLH25" s="148"/>
      <c r="DLI25" s="148"/>
      <c r="DLJ25" s="148"/>
      <c r="DLK25" s="148"/>
      <c r="DLL25" s="148"/>
      <c r="DLM25" s="148"/>
      <c r="DLN25" s="148"/>
      <c r="DLO25" s="148"/>
      <c r="DLP25" s="148"/>
      <c r="DLQ25" s="148"/>
      <c r="DLR25" s="148"/>
      <c r="DLS25" s="148"/>
      <c r="DLT25" s="148"/>
      <c r="DLU25" s="148"/>
      <c r="DLV25" s="148"/>
      <c r="DLW25" s="148"/>
      <c r="DLX25" s="148"/>
      <c r="DLY25" s="148"/>
      <c r="DLZ25" s="148"/>
      <c r="DMA25" s="148"/>
      <c r="DMB25" s="148"/>
      <c r="DMC25" s="148"/>
      <c r="DMD25" s="148"/>
      <c r="DME25" s="148"/>
      <c r="DMF25" s="148"/>
      <c r="DMG25" s="148"/>
      <c r="DMH25" s="148"/>
      <c r="DMI25" s="148"/>
      <c r="DMJ25" s="148"/>
      <c r="DMK25" s="148"/>
      <c r="DML25" s="148"/>
      <c r="DMM25" s="148"/>
      <c r="DMN25" s="148"/>
      <c r="DMO25" s="148"/>
      <c r="DMP25" s="148"/>
      <c r="DMQ25" s="148"/>
      <c r="DMR25" s="148"/>
      <c r="DMS25" s="148"/>
      <c r="DMT25" s="148"/>
      <c r="DMU25" s="148"/>
      <c r="DMV25" s="148"/>
      <c r="DMW25" s="148"/>
      <c r="DMX25" s="148"/>
      <c r="DMY25" s="148"/>
      <c r="DMZ25" s="148"/>
      <c r="DNA25" s="148"/>
      <c r="DNB25" s="148"/>
      <c r="DNC25" s="148"/>
      <c r="DND25" s="148"/>
      <c r="DNE25" s="148"/>
      <c r="DNF25" s="148"/>
      <c r="DNG25" s="148"/>
      <c r="DNH25" s="148"/>
      <c r="DNI25" s="148"/>
      <c r="DNJ25" s="148"/>
      <c r="DNK25" s="148"/>
      <c r="DNL25" s="148"/>
      <c r="DNM25" s="148"/>
      <c r="DNN25" s="148"/>
      <c r="DNO25" s="148"/>
      <c r="DNP25" s="148"/>
      <c r="DNQ25" s="148"/>
      <c r="DNR25" s="148"/>
      <c r="DNS25" s="148"/>
      <c r="DNT25" s="148"/>
      <c r="DNU25" s="148"/>
      <c r="DNV25" s="148"/>
      <c r="DNW25" s="148"/>
      <c r="DNX25" s="148"/>
      <c r="DNY25" s="148"/>
      <c r="DNZ25" s="148"/>
      <c r="DOA25" s="148"/>
      <c r="DOB25" s="148"/>
      <c r="DOC25" s="148"/>
      <c r="DOD25" s="148"/>
      <c r="DOE25" s="148"/>
      <c r="DOF25" s="148"/>
      <c r="DOG25" s="148"/>
      <c r="DOH25" s="148"/>
      <c r="DOI25" s="148"/>
      <c r="DOJ25" s="148"/>
      <c r="DOK25" s="148"/>
      <c r="DOL25" s="148"/>
      <c r="DOM25" s="148"/>
      <c r="DON25" s="148"/>
      <c r="DOO25" s="148"/>
      <c r="DOP25" s="148"/>
      <c r="DOQ25" s="148"/>
      <c r="DOR25" s="148"/>
      <c r="DOS25" s="148"/>
      <c r="DOT25" s="148"/>
      <c r="DOU25" s="148"/>
      <c r="DOV25" s="148"/>
      <c r="DOW25" s="148"/>
      <c r="DOX25" s="148"/>
      <c r="DOY25" s="148"/>
      <c r="DOZ25" s="148"/>
      <c r="DPA25" s="148"/>
      <c r="DPB25" s="148"/>
      <c r="DPC25" s="148"/>
      <c r="DPD25" s="148"/>
      <c r="DPE25" s="148"/>
      <c r="DPF25" s="148"/>
      <c r="DPG25" s="148"/>
      <c r="DPH25" s="148"/>
      <c r="DPI25" s="148"/>
      <c r="DPJ25" s="148"/>
      <c r="DPK25" s="148"/>
      <c r="DPL25" s="148"/>
      <c r="DPM25" s="148"/>
      <c r="DPN25" s="148"/>
      <c r="DPO25" s="148"/>
      <c r="DPP25" s="148"/>
      <c r="DPQ25" s="148"/>
      <c r="DPR25" s="148"/>
      <c r="DPS25" s="148"/>
      <c r="DPT25" s="148"/>
      <c r="DPU25" s="148"/>
      <c r="DPV25" s="148"/>
      <c r="DPW25" s="148"/>
      <c r="DPX25" s="148"/>
      <c r="DPY25" s="148"/>
      <c r="DPZ25" s="148"/>
      <c r="DQA25" s="148"/>
      <c r="DQB25" s="148"/>
      <c r="DQC25" s="148"/>
      <c r="DQD25" s="148"/>
      <c r="DQE25" s="148"/>
      <c r="DQF25" s="148"/>
      <c r="DQG25" s="148"/>
      <c r="DQH25" s="148"/>
      <c r="DQI25" s="148"/>
      <c r="DQJ25" s="148"/>
      <c r="DQK25" s="148"/>
      <c r="DQL25" s="148"/>
      <c r="DQM25" s="148"/>
      <c r="DQN25" s="148"/>
      <c r="DQO25" s="148"/>
      <c r="DQP25" s="148"/>
      <c r="DQQ25" s="148"/>
      <c r="DQR25" s="148"/>
      <c r="DQS25" s="148"/>
      <c r="DQT25" s="148"/>
      <c r="DQU25" s="148"/>
      <c r="DQV25" s="148"/>
      <c r="DQW25" s="148"/>
      <c r="DQX25" s="148"/>
      <c r="DQY25" s="148"/>
      <c r="DQZ25" s="148"/>
      <c r="DRA25" s="148"/>
      <c r="DRB25" s="148"/>
      <c r="DRC25" s="148"/>
      <c r="DRD25" s="148"/>
      <c r="DRE25" s="148"/>
      <c r="DRF25" s="148"/>
      <c r="DRG25" s="148"/>
      <c r="DRH25" s="148"/>
      <c r="DRI25" s="148"/>
      <c r="DRJ25" s="148"/>
      <c r="DRK25" s="148"/>
      <c r="DRL25" s="148"/>
      <c r="DRM25" s="148"/>
      <c r="DRN25" s="148"/>
      <c r="DRO25" s="148"/>
      <c r="DRP25" s="148"/>
      <c r="DRQ25" s="148"/>
      <c r="DRR25" s="148"/>
      <c r="DRS25" s="148"/>
      <c r="DRT25" s="148"/>
      <c r="DRU25" s="148"/>
      <c r="DRV25" s="148"/>
      <c r="DRW25" s="148"/>
      <c r="DRX25" s="148"/>
      <c r="DRY25" s="148"/>
      <c r="DRZ25" s="148"/>
      <c r="DSA25" s="148"/>
      <c r="DSB25" s="148"/>
      <c r="DSC25" s="148"/>
      <c r="DSD25" s="148"/>
      <c r="DSE25" s="148"/>
      <c r="DSF25" s="148"/>
      <c r="DSG25" s="148"/>
      <c r="DSH25" s="148"/>
      <c r="DSI25" s="148"/>
      <c r="DSJ25" s="148"/>
      <c r="DSK25" s="148"/>
      <c r="DSL25" s="148"/>
      <c r="DSM25" s="148"/>
      <c r="DSN25" s="148"/>
      <c r="DSO25" s="148"/>
      <c r="DSP25" s="148"/>
      <c r="DSQ25" s="148"/>
      <c r="DSR25" s="148"/>
      <c r="DSS25" s="148"/>
      <c r="DST25" s="148"/>
      <c r="DSU25" s="148"/>
      <c r="DSV25" s="148"/>
      <c r="DSW25" s="148"/>
      <c r="DSX25" s="148"/>
      <c r="DSY25" s="148"/>
      <c r="DSZ25" s="148"/>
      <c r="DTA25" s="148"/>
      <c r="DTB25" s="148"/>
      <c r="DTC25" s="148"/>
      <c r="DTD25" s="148"/>
      <c r="DTE25" s="148"/>
      <c r="DTF25" s="148"/>
      <c r="DTG25" s="148"/>
      <c r="DTH25" s="148"/>
      <c r="DTI25" s="148"/>
      <c r="DTJ25" s="148"/>
      <c r="DTK25" s="148"/>
      <c r="DTL25" s="148"/>
      <c r="DTM25" s="148"/>
      <c r="DTN25" s="148"/>
      <c r="DTO25" s="148"/>
      <c r="DTP25" s="148"/>
      <c r="DTQ25" s="148"/>
      <c r="DTR25" s="148"/>
      <c r="DTS25" s="148"/>
      <c r="DTT25" s="148"/>
      <c r="DTU25" s="148"/>
      <c r="DTV25" s="148"/>
      <c r="DTW25" s="148"/>
      <c r="DTX25" s="148"/>
      <c r="DTY25" s="148"/>
      <c r="DTZ25" s="148"/>
      <c r="DUA25" s="148"/>
      <c r="DUB25" s="148"/>
      <c r="DUC25" s="148"/>
      <c r="DUD25" s="148"/>
      <c r="DUE25" s="148"/>
      <c r="DUF25" s="148"/>
      <c r="DUG25" s="148"/>
      <c r="DUH25" s="148"/>
      <c r="DUI25" s="148"/>
      <c r="DUJ25" s="148"/>
      <c r="DUK25" s="148"/>
      <c r="DUL25" s="148"/>
      <c r="DUM25" s="148"/>
      <c r="DUN25" s="148"/>
      <c r="DUO25" s="148"/>
      <c r="DUP25" s="148"/>
      <c r="DUQ25" s="148"/>
      <c r="DUR25" s="148"/>
      <c r="DUS25" s="148"/>
      <c r="DUT25" s="148"/>
      <c r="DUU25" s="148"/>
      <c r="DUV25" s="148"/>
      <c r="DUW25" s="148"/>
      <c r="DUX25" s="148"/>
      <c r="DUY25" s="148"/>
      <c r="DUZ25" s="148"/>
      <c r="DVA25" s="148"/>
      <c r="DVB25" s="148"/>
      <c r="DVC25" s="148"/>
      <c r="DVD25" s="148"/>
      <c r="DVE25" s="148"/>
      <c r="DVF25" s="148"/>
      <c r="DVG25" s="148"/>
      <c r="DVH25" s="148"/>
      <c r="DVI25" s="148"/>
      <c r="DVJ25" s="148"/>
      <c r="DVK25" s="148"/>
      <c r="DVL25" s="148"/>
      <c r="DVM25" s="148"/>
      <c r="DVN25" s="148"/>
      <c r="DVO25" s="148"/>
      <c r="DVP25" s="148"/>
      <c r="DVQ25" s="148"/>
      <c r="DVR25" s="148"/>
      <c r="DVS25" s="148"/>
      <c r="DVT25" s="148"/>
      <c r="DVU25" s="148"/>
      <c r="DVV25" s="148"/>
      <c r="DVW25" s="148"/>
      <c r="DVX25" s="148"/>
      <c r="DVY25" s="148"/>
      <c r="DVZ25" s="148"/>
      <c r="DWA25" s="148"/>
      <c r="DWB25" s="148"/>
      <c r="DWC25" s="148"/>
      <c r="DWD25" s="148"/>
      <c r="DWE25" s="148"/>
      <c r="DWF25" s="148"/>
      <c r="DWG25" s="148"/>
      <c r="DWH25" s="148"/>
      <c r="DWI25" s="148"/>
      <c r="DWJ25" s="148"/>
      <c r="DWK25" s="148"/>
      <c r="DWL25" s="148"/>
      <c r="DWM25" s="148"/>
      <c r="DWN25" s="148"/>
      <c r="DWO25" s="148"/>
      <c r="DWP25" s="148"/>
      <c r="DWQ25" s="148"/>
      <c r="DWR25" s="148"/>
      <c r="DWS25" s="148"/>
      <c r="DWT25" s="148"/>
      <c r="DWU25" s="148"/>
      <c r="DWV25" s="148"/>
      <c r="DWW25" s="148"/>
      <c r="DWX25" s="148"/>
      <c r="DWY25" s="148"/>
      <c r="DWZ25" s="148"/>
      <c r="DXA25" s="148"/>
      <c r="DXB25" s="148"/>
      <c r="DXC25" s="148"/>
      <c r="DXD25" s="148"/>
      <c r="DXE25" s="148"/>
      <c r="DXF25" s="148"/>
      <c r="DXG25" s="148"/>
      <c r="DXH25" s="148"/>
      <c r="DXI25" s="148"/>
      <c r="DXJ25" s="148"/>
      <c r="DXK25" s="148"/>
      <c r="DXL25" s="148"/>
      <c r="DXM25" s="148"/>
      <c r="DXN25" s="148"/>
      <c r="DXO25" s="148"/>
      <c r="DXP25" s="148"/>
      <c r="DXQ25" s="148"/>
      <c r="DXR25" s="148"/>
      <c r="DXS25" s="148"/>
      <c r="DXT25" s="148"/>
      <c r="DXU25" s="148"/>
      <c r="DXV25" s="148"/>
      <c r="DXW25" s="148"/>
      <c r="DXX25" s="148"/>
      <c r="DXY25" s="148"/>
      <c r="DXZ25" s="148"/>
      <c r="DYA25" s="148"/>
      <c r="DYB25" s="148"/>
      <c r="DYC25" s="148"/>
      <c r="DYD25" s="148"/>
      <c r="DYE25" s="148"/>
      <c r="DYF25" s="148"/>
      <c r="DYG25" s="148"/>
      <c r="DYH25" s="148"/>
      <c r="DYI25" s="148"/>
      <c r="DYJ25" s="148"/>
      <c r="DYK25" s="148"/>
      <c r="DYL25" s="148"/>
      <c r="DYM25" s="148"/>
      <c r="DYN25" s="148"/>
      <c r="DYO25" s="148"/>
      <c r="DYP25" s="148"/>
      <c r="DYQ25" s="148"/>
      <c r="DYR25" s="148"/>
      <c r="DYS25" s="148"/>
      <c r="DYT25" s="148"/>
      <c r="DYU25" s="148"/>
      <c r="DYV25" s="148"/>
      <c r="DYW25" s="148"/>
      <c r="DYX25" s="148"/>
      <c r="DYY25" s="148"/>
      <c r="DYZ25" s="148"/>
      <c r="DZA25" s="148"/>
      <c r="DZB25" s="148"/>
      <c r="DZC25" s="148"/>
      <c r="DZD25" s="148"/>
      <c r="DZE25" s="148"/>
      <c r="DZF25" s="148"/>
      <c r="DZG25" s="148"/>
      <c r="DZH25" s="148"/>
      <c r="DZI25" s="148"/>
      <c r="DZJ25" s="148"/>
      <c r="DZK25" s="148"/>
      <c r="DZL25" s="148"/>
      <c r="DZM25" s="148"/>
      <c r="DZN25" s="148"/>
      <c r="DZO25" s="148"/>
      <c r="DZP25" s="148"/>
      <c r="DZQ25" s="148"/>
      <c r="DZR25" s="148"/>
      <c r="DZS25" s="148"/>
      <c r="DZT25" s="148"/>
      <c r="DZU25" s="148"/>
      <c r="DZV25" s="148"/>
      <c r="DZW25" s="148"/>
      <c r="DZX25" s="148"/>
      <c r="DZY25" s="148"/>
      <c r="DZZ25" s="148"/>
      <c r="EAA25" s="148"/>
      <c r="EAB25" s="148"/>
      <c r="EAC25" s="148"/>
      <c r="EAD25" s="148"/>
      <c r="EAE25" s="148"/>
      <c r="EAF25" s="148"/>
      <c r="EAG25" s="148"/>
      <c r="EAH25" s="148"/>
      <c r="EAI25" s="148"/>
      <c r="EAJ25" s="148"/>
      <c r="EAK25" s="148"/>
      <c r="EAL25" s="148"/>
      <c r="EAM25" s="148"/>
      <c r="EAN25" s="148"/>
      <c r="EAO25" s="148"/>
      <c r="EAP25" s="148"/>
      <c r="EAQ25" s="148"/>
      <c r="EAR25" s="148"/>
      <c r="EAS25" s="148"/>
      <c r="EAT25" s="148"/>
      <c r="EAU25" s="148"/>
      <c r="EAV25" s="148"/>
      <c r="EAW25" s="148"/>
      <c r="EAX25" s="148"/>
      <c r="EAY25" s="148"/>
      <c r="EAZ25" s="148"/>
      <c r="EBA25" s="148"/>
      <c r="EBB25" s="148"/>
      <c r="EBC25" s="148"/>
      <c r="EBD25" s="148"/>
      <c r="EBE25" s="148"/>
      <c r="EBF25" s="148"/>
      <c r="EBG25" s="148"/>
      <c r="EBH25" s="148"/>
      <c r="EBI25" s="148"/>
      <c r="EBJ25" s="148"/>
      <c r="EBK25" s="148"/>
      <c r="EBL25" s="148"/>
      <c r="EBM25" s="148"/>
      <c r="EBN25" s="148"/>
      <c r="EBO25" s="148"/>
      <c r="EBP25" s="148"/>
      <c r="EBQ25" s="148"/>
      <c r="EBR25" s="148"/>
      <c r="EBS25" s="148"/>
      <c r="EBT25" s="148"/>
      <c r="EBU25" s="148"/>
      <c r="EBV25" s="148"/>
      <c r="EBW25" s="148"/>
      <c r="EBX25" s="148"/>
      <c r="EBY25" s="148"/>
      <c r="EBZ25" s="148"/>
      <c r="ECA25" s="148"/>
      <c r="ECB25" s="148"/>
      <c r="ECC25" s="148"/>
      <c r="ECD25" s="148"/>
      <c r="ECE25" s="148"/>
      <c r="ECF25" s="148"/>
      <c r="ECG25" s="148"/>
      <c r="ECH25" s="148"/>
      <c r="ECI25" s="148"/>
      <c r="ECJ25" s="148"/>
      <c r="ECK25" s="148"/>
      <c r="ECL25" s="148"/>
      <c r="ECM25" s="148"/>
      <c r="ECN25" s="148"/>
      <c r="ECO25" s="148"/>
      <c r="ECP25" s="148"/>
      <c r="ECQ25" s="148"/>
      <c r="ECR25" s="148"/>
      <c r="ECS25" s="148"/>
      <c r="ECT25" s="148"/>
      <c r="ECU25" s="148"/>
      <c r="ECV25" s="148"/>
      <c r="ECW25" s="148"/>
      <c r="ECX25" s="148"/>
      <c r="ECY25" s="148"/>
      <c r="ECZ25" s="148"/>
      <c r="EDA25" s="148"/>
      <c r="EDB25" s="148"/>
      <c r="EDC25" s="148"/>
      <c r="EDD25" s="148"/>
      <c r="EDE25" s="148"/>
      <c r="EDF25" s="148"/>
      <c r="EDG25" s="148"/>
      <c r="EDH25" s="148"/>
      <c r="EDI25" s="148"/>
      <c r="EDJ25" s="148"/>
      <c r="EDK25" s="148"/>
      <c r="EDL25" s="148"/>
      <c r="EDM25" s="148"/>
      <c r="EDN25" s="148"/>
      <c r="EDO25" s="148"/>
      <c r="EDP25" s="148"/>
      <c r="EDQ25" s="148"/>
      <c r="EDR25" s="148"/>
      <c r="EDS25" s="148"/>
      <c r="EDT25" s="148"/>
      <c r="EDU25" s="148"/>
      <c r="EDV25" s="148"/>
      <c r="EDW25" s="148"/>
      <c r="EDX25" s="148"/>
      <c r="EDY25" s="148"/>
      <c r="EDZ25" s="148"/>
      <c r="EEA25" s="148"/>
      <c r="EEB25" s="148"/>
      <c r="EEC25" s="148"/>
      <c r="EED25" s="148"/>
      <c r="EEE25" s="148"/>
      <c r="EEF25" s="148"/>
      <c r="EEG25" s="148"/>
      <c r="EEH25" s="148"/>
      <c r="EEI25" s="148"/>
      <c r="EEJ25" s="148"/>
      <c r="EEK25" s="148"/>
      <c r="EEL25" s="148"/>
      <c r="EEM25" s="148"/>
      <c r="EEN25" s="148"/>
      <c r="EEO25" s="148"/>
      <c r="EEP25" s="148"/>
      <c r="EEQ25" s="148"/>
      <c r="EER25" s="148"/>
      <c r="EES25" s="148"/>
      <c r="EET25" s="148"/>
      <c r="EEU25" s="148"/>
      <c r="EEV25" s="148"/>
      <c r="EEW25" s="148"/>
      <c r="EEX25" s="148"/>
      <c r="EEY25" s="148"/>
      <c r="EEZ25" s="148"/>
      <c r="EFA25" s="148"/>
      <c r="EFB25" s="148"/>
      <c r="EFC25" s="148"/>
      <c r="EFD25" s="148"/>
      <c r="EFE25" s="148"/>
      <c r="EFF25" s="148"/>
      <c r="EFG25" s="148"/>
      <c r="EFH25" s="148"/>
      <c r="EFI25" s="148"/>
      <c r="EFJ25" s="148"/>
      <c r="EFK25" s="148"/>
      <c r="EFL25" s="148"/>
      <c r="EFM25" s="148"/>
      <c r="EFN25" s="148"/>
      <c r="EFO25" s="148"/>
      <c r="EFP25" s="148"/>
      <c r="EFQ25" s="148"/>
      <c r="EFR25" s="148"/>
      <c r="EFS25" s="148"/>
      <c r="EFT25" s="148"/>
      <c r="EFU25" s="148"/>
      <c r="EFV25" s="148"/>
      <c r="EFW25" s="148"/>
      <c r="EFX25" s="148"/>
      <c r="EFY25" s="148"/>
      <c r="EFZ25" s="148"/>
      <c r="EGA25" s="148"/>
      <c r="EGB25" s="148"/>
      <c r="EGC25" s="148"/>
      <c r="EGD25" s="148"/>
      <c r="EGE25" s="148"/>
      <c r="EGF25" s="148"/>
      <c r="EGG25" s="148"/>
      <c r="EGH25" s="148"/>
      <c r="EGI25" s="148"/>
      <c r="EGJ25" s="148"/>
      <c r="EGK25" s="148"/>
      <c r="EGL25" s="148"/>
      <c r="EGM25" s="148"/>
      <c r="EGN25" s="148"/>
      <c r="EGO25" s="148"/>
      <c r="EGP25" s="148"/>
      <c r="EGQ25" s="148"/>
      <c r="EGR25" s="148"/>
      <c r="EGS25" s="148"/>
      <c r="EGT25" s="148"/>
      <c r="EGU25" s="148"/>
      <c r="EGV25" s="148"/>
      <c r="EGW25" s="148"/>
      <c r="EGX25" s="148"/>
      <c r="EGY25" s="148"/>
      <c r="EGZ25" s="148"/>
      <c r="EHA25" s="148"/>
      <c r="EHB25" s="148"/>
      <c r="EHC25" s="148"/>
      <c r="EHD25" s="148"/>
      <c r="EHE25" s="148"/>
      <c r="EHF25" s="148"/>
      <c r="EHG25" s="148"/>
      <c r="EHH25" s="148"/>
      <c r="EHI25" s="148"/>
      <c r="EHJ25" s="148"/>
      <c r="EHK25" s="148"/>
      <c r="EHL25" s="148"/>
      <c r="EHM25" s="148"/>
      <c r="EHN25" s="148"/>
      <c r="EHO25" s="148"/>
      <c r="EHP25" s="148"/>
      <c r="EHQ25" s="148"/>
      <c r="EHR25" s="148"/>
      <c r="EHS25" s="148"/>
      <c r="EHT25" s="148"/>
      <c r="EHU25" s="148"/>
      <c r="EHV25" s="148"/>
      <c r="EHW25" s="148"/>
      <c r="EHX25" s="148"/>
      <c r="EHY25" s="148"/>
      <c r="EHZ25" s="148"/>
      <c r="EIA25" s="148"/>
      <c r="EIB25" s="148"/>
      <c r="EIC25" s="148"/>
      <c r="EID25" s="148"/>
      <c r="EIE25" s="148"/>
      <c r="EIF25" s="148"/>
      <c r="EIG25" s="148"/>
      <c r="EIH25" s="148"/>
      <c r="EII25" s="148"/>
      <c r="EIJ25" s="148"/>
      <c r="EIK25" s="148"/>
      <c r="EIL25" s="148"/>
      <c r="EIM25" s="148"/>
      <c r="EIN25" s="148"/>
      <c r="EIO25" s="148"/>
      <c r="EIP25" s="148"/>
      <c r="EIQ25" s="148"/>
      <c r="EIR25" s="148"/>
      <c r="EIS25" s="148"/>
      <c r="EIT25" s="148"/>
      <c r="EIU25" s="148"/>
      <c r="EIV25" s="148"/>
      <c r="EIW25" s="148"/>
      <c r="EIX25" s="148"/>
      <c r="EIY25" s="148"/>
      <c r="EIZ25" s="148"/>
      <c r="EJA25" s="148"/>
      <c r="EJB25" s="148"/>
      <c r="EJC25" s="148"/>
      <c r="EJD25" s="148"/>
      <c r="EJE25" s="148"/>
      <c r="EJF25" s="148"/>
      <c r="EJG25" s="148"/>
      <c r="EJH25" s="148"/>
      <c r="EJI25" s="148"/>
      <c r="EJJ25" s="148"/>
      <c r="EJK25" s="148"/>
      <c r="EJL25" s="148"/>
      <c r="EJM25" s="148"/>
      <c r="EJN25" s="148"/>
      <c r="EJO25" s="148"/>
      <c r="EJP25" s="148"/>
      <c r="EJQ25" s="148"/>
      <c r="EJR25" s="148"/>
      <c r="EJS25" s="148"/>
      <c r="EJT25" s="148"/>
      <c r="EJU25" s="148"/>
      <c r="EJV25" s="148"/>
      <c r="EJW25" s="148"/>
      <c r="EJX25" s="148"/>
      <c r="EJY25" s="148"/>
      <c r="EJZ25" s="148"/>
      <c r="EKA25" s="148"/>
      <c r="EKB25" s="148"/>
      <c r="EKC25" s="148"/>
      <c r="EKD25" s="148"/>
      <c r="EKE25" s="148"/>
      <c r="EKF25" s="148"/>
      <c r="EKG25" s="148"/>
      <c r="EKH25" s="148"/>
      <c r="EKI25" s="148"/>
      <c r="EKJ25" s="148"/>
      <c r="EKK25" s="148"/>
      <c r="EKL25" s="148"/>
      <c r="EKM25" s="148"/>
      <c r="EKN25" s="148"/>
      <c r="EKO25" s="148"/>
      <c r="EKP25" s="148"/>
      <c r="EKQ25" s="148"/>
      <c r="EKR25" s="148"/>
      <c r="EKS25" s="148"/>
      <c r="EKT25" s="148"/>
      <c r="EKU25" s="148"/>
      <c r="EKV25" s="148"/>
      <c r="EKW25" s="148"/>
      <c r="EKX25" s="148"/>
      <c r="EKY25" s="148"/>
      <c r="EKZ25" s="148"/>
      <c r="ELA25" s="148"/>
      <c r="ELB25" s="148"/>
      <c r="ELC25" s="148"/>
      <c r="ELD25" s="148"/>
      <c r="ELE25" s="148"/>
      <c r="ELF25" s="148"/>
      <c r="ELG25" s="148"/>
      <c r="ELH25" s="148"/>
      <c r="ELI25" s="148"/>
      <c r="ELJ25" s="148"/>
      <c r="ELK25" s="148"/>
      <c r="ELL25" s="148"/>
      <c r="ELM25" s="148"/>
      <c r="ELN25" s="148"/>
      <c r="ELO25" s="148"/>
      <c r="ELP25" s="148"/>
      <c r="ELQ25" s="148"/>
      <c r="ELR25" s="148"/>
      <c r="ELS25" s="148"/>
      <c r="ELT25" s="148"/>
      <c r="ELU25" s="148"/>
      <c r="ELV25" s="148"/>
      <c r="ELW25" s="148"/>
      <c r="ELX25" s="148"/>
      <c r="ELY25" s="148"/>
      <c r="ELZ25" s="148"/>
      <c r="EMA25" s="148"/>
      <c r="EMB25" s="148"/>
      <c r="EMC25" s="148"/>
      <c r="EMD25" s="148"/>
      <c r="EME25" s="148"/>
      <c r="EMF25" s="148"/>
      <c r="EMG25" s="148"/>
      <c r="EMH25" s="148"/>
      <c r="EMI25" s="148"/>
    </row>
    <row r="26" spans="1:14718" s="149" customFormat="1" ht="141.75">
      <c r="A26" s="137">
        <v>11</v>
      </c>
      <c r="B26" s="150" t="s">
        <v>576</v>
      </c>
      <c r="C26" s="137" t="s">
        <v>555</v>
      </c>
      <c r="D26" s="137" t="s">
        <v>556</v>
      </c>
      <c r="E26" s="137" t="s">
        <v>556</v>
      </c>
      <c r="F26" s="137" t="s">
        <v>556</v>
      </c>
      <c r="G26" s="137" t="s">
        <v>556</v>
      </c>
      <c r="H26" s="340" t="s">
        <v>556</v>
      </c>
      <c r="I26" s="340"/>
      <c r="J26" s="137" t="s">
        <v>555</v>
      </c>
      <c r="K26" s="340" t="s">
        <v>555</v>
      </c>
      <c r="L26" s="340"/>
      <c r="M26" s="137" t="s">
        <v>555</v>
      </c>
      <c r="N26" s="137" t="s">
        <v>556</v>
      </c>
      <c r="O26" s="137" t="s">
        <v>555</v>
      </c>
      <c r="P26" s="137" t="s">
        <v>555</v>
      </c>
      <c r="Q26" s="137" t="s">
        <v>555</v>
      </c>
      <c r="R26" s="137" t="s">
        <v>555</v>
      </c>
      <c r="S26" s="146" t="s">
        <v>556</v>
      </c>
      <c r="T26" s="146" t="s">
        <v>555</v>
      </c>
      <c r="U26" s="137" t="s">
        <v>556</v>
      </c>
      <c r="V26" s="137" t="s">
        <v>556</v>
      </c>
      <c r="W26" s="137" t="s">
        <v>556</v>
      </c>
      <c r="X26" s="137" t="s">
        <v>556</v>
      </c>
      <c r="Y26" s="340" t="s">
        <v>555</v>
      </c>
      <c r="Z26" s="340"/>
      <c r="AA26" s="137" t="s">
        <v>555</v>
      </c>
      <c r="AB26" s="137" t="s">
        <v>556</v>
      </c>
      <c r="AC26" s="137" t="s">
        <v>555</v>
      </c>
      <c r="AD26" s="131" t="s">
        <v>555</v>
      </c>
      <c r="AE26" s="131" t="s">
        <v>555</v>
      </c>
      <c r="AF26" s="131" t="s">
        <v>555</v>
      </c>
      <c r="AG26" s="136" t="s">
        <v>555</v>
      </c>
      <c r="AH26" s="131" t="s">
        <v>555</v>
      </c>
      <c r="AI26" s="137" t="s">
        <v>555</v>
      </c>
      <c r="AJ26" s="137" t="s">
        <v>555</v>
      </c>
      <c r="AK26" s="137" t="s">
        <v>555</v>
      </c>
      <c r="AL26" s="137" t="s">
        <v>555</v>
      </c>
      <c r="AM26" s="137" t="s">
        <v>555</v>
      </c>
      <c r="AN26" s="137" t="s">
        <v>555</v>
      </c>
      <c r="AO26" s="137" t="s">
        <v>555</v>
      </c>
      <c r="AP26" s="146" t="s">
        <v>555</v>
      </c>
      <c r="AQ26" s="146" t="s">
        <v>555</v>
      </c>
      <c r="AR26" s="146" t="s">
        <v>555</v>
      </c>
      <c r="AS26" s="146" t="s">
        <v>555</v>
      </c>
      <c r="AT26" s="146" t="s">
        <v>555</v>
      </c>
      <c r="AU26" s="146" t="s">
        <v>555</v>
      </c>
      <c r="AV26" s="146" t="s">
        <v>555</v>
      </c>
      <c r="AW26" s="146" t="s">
        <v>555</v>
      </c>
      <c r="AX26" s="146" t="s">
        <v>556</v>
      </c>
      <c r="AY26" s="146" t="s">
        <v>555</v>
      </c>
      <c r="AZ26" s="146" t="s">
        <v>556</v>
      </c>
      <c r="BA26" s="146" t="s">
        <v>555</v>
      </c>
      <c r="BB26" s="146" t="s">
        <v>556</v>
      </c>
      <c r="BC26" s="146" t="s">
        <v>555</v>
      </c>
      <c r="BD26" s="146" t="s">
        <v>556</v>
      </c>
      <c r="BE26" s="146" t="s">
        <v>556</v>
      </c>
      <c r="BF26" s="146" t="s">
        <v>556</v>
      </c>
      <c r="BG26" s="146" t="s">
        <v>556</v>
      </c>
      <c r="BH26" s="146" t="s">
        <v>556</v>
      </c>
      <c r="BI26" s="146" t="s">
        <v>556</v>
      </c>
      <c r="BJ26" s="146" t="s">
        <v>555</v>
      </c>
      <c r="BK26" s="146" t="s">
        <v>555</v>
      </c>
      <c r="BL26" s="146" t="s">
        <v>555</v>
      </c>
      <c r="BM26" s="146" t="s">
        <v>555</v>
      </c>
      <c r="BN26" s="146" t="s">
        <v>555</v>
      </c>
      <c r="BO26" s="146" t="s">
        <v>555</v>
      </c>
      <c r="BP26" s="146" t="s">
        <v>555</v>
      </c>
      <c r="BQ26" s="146" t="s">
        <v>555</v>
      </c>
      <c r="BR26" s="146" t="s">
        <v>555</v>
      </c>
      <c r="BS26" s="146" t="s">
        <v>555</v>
      </c>
      <c r="BT26" s="146" t="s">
        <v>555</v>
      </c>
      <c r="BU26" s="146" t="s">
        <v>555</v>
      </c>
      <c r="BV26" s="146" t="s">
        <v>555</v>
      </c>
      <c r="BW26" s="146" t="s">
        <v>555</v>
      </c>
      <c r="BX26" s="147" t="s">
        <v>555</v>
      </c>
      <c r="BY26" s="137" t="s">
        <v>555</v>
      </c>
      <c r="BZ26" s="137" t="s">
        <v>555</v>
      </c>
      <c r="CA26" s="146" t="s">
        <v>555</v>
      </c>
      <c r="CB26" s="137" t="s">
        <v>555</v>
      </c>
      <c r="CC26" s="146" t="s">
        <v>555</v>
      </c>
      <c r="CD26" s="146" t="s">
        <v>555</v>
      </c>
      <c r="CE26" s="137" t="s">
        <v>555</v>
      </c>
      <c r="CF26" s="147" t="s">
        <v>555</v>
      </c>
      <c r="CG26" s="147" t="s">
        <v>555</v>
      </c>
      <c r="CH26" s="147" t="s">
        <v>555</v>
      </c>
      <c r="CI26" s="142" t="s">
        <v>555</v>
      </c>
      <c r="CJ26" s="142" t="s">
        <v>649</v>
      </c>
      <c r="CK26" s="147" t="s">
        <v>555</v>
      </c>
      <c r="CL26" s="147" t="s">
        <v>555</v>
      </c>
      <c r="CM26" s="147" t="s">
        <v>555</v>
      </c>
      <c r="CN26" s="147" t="s">
        <v>555</v>
      </c>
      <c r="CO26" s="147" t="s">
        <v>555</v>
      </c>
      <c r="CP26" s="142" t="s">
        <v>555</v>
      </c>
      <c r="CQ26" s="142" t="s">
        <v>555</v>
      </c>
      <c r="CR26" s="142" t="s">
        <v>555</v>
      </c>
      <c r="CS26" s="142" t="s">
        <v>555</v>
      </c>
      <c r="CT26" s="142" t="s">
        <v>555</v>
      </c>
      <c r="CU26" s="137" t="s">
        <v>555</v>
      </c>
      <c r="CV26" s="146" t="s">
        <v>555</v>
      </c>
      <c r="CW26" s="322" t="s">
        <v>555</v>
      </c>
      <c r="CX26" s="322"/>
      <c r="CY26" s="322"/>
      <c r="CZ26" s="146" t="s">
        <v>555</v>
      </c>
      <c r="DA26" s="146" t="s">
        <v>555</v>
      </c>
      <c r="DB26" s="146" t="s">
        <v>555</v>
      </c>
      <c r="DC26" s="146" t="s">
        <v>556</v>
      </c>
      <c r="DD26" s="146" t="s">
        <v>555</v>
      </c>
      <c r="DE26" s="146" t="s">
        <v>556</v>
      </c>
      <c r="DF26" s="146" t="s">
        <v>555</v>
      </c>
      <c r="DG26" s="146" t="s">
        <v>555</v>
      </c>
      <c r="DH26" s="146" t="s">
        <v>556</v>
      </c>
      <c r="DI26" s="148"/>
      <c r="DJ26" s="148"/>
      <c r="DK26" s="148"/>
      <c r="DL26" s="148"/>
      <c r="DM26" s="148"/>
      <c r="DN26" s="148"/>
      <c r="DO26" s="148"/>
      <c r="DP26" s="148"/>
      <c r="DQ26" s="148"/>
      <c r="DR26" s="148"/>
      <c r="DS26" s="148"/>
      <c r="DT26" s="148"/>
      <c r="DU26" s="148"/>
      <c r="DV26" s="148"/>
      <c r="DW26" s="148"/>
      <c r="DX26" s="148"/>
      <c r="DY26" s="148"/>
      <c r="DZ26" s="148"/>
      <c r="EA26" s="148"/>
      <c r="EB26" s="148"/>
      <c r="EC26" s="148"/>
      <c r="ED26" s="148"/>
      <c r="EE26" s="148"/>
      <c r="EF26" s="148"/>
      <c r="EG26" s="148"/>
      <c r="EH26" s="148"/>
      <c r="EI26" s="148"/>
      <c r="EJ26" s="148"/>
      <c r="EK26" s="148"/>
      <c r="EL26" s="148"/>
      <c r="EM26" s="148"/>
      <c r="EN26" s="148"/>
      <c r="EO26" s="148"/>
      <c r="EP26" s="148"/>
      <c r="EQ26" s="148"/>
      <c r="ER26" s="148"/>
      <c r="ES26" s="148"/>
      <c r="ET26" s="148"/>
      <c r="EU26" s="148"/>
      <c r="EV26" s="148"/>
      <c r="EW26" s="148"/>
      <c r="EX26" s="148"/>
      <c r="EY26" s="148"/>
      <c r="EZ26" s="148"/>
      <c r="FA26" s="148"/>
      <c r="FB26" s="148"/>
      <c r="FC26" s="148"/>
      <c r="FD26" s="148"/>
      <c r="FE26" s="148"/>
      <c r="FF26" s="148"/>
      <c r="FG26" s="148"/>
      <c r="FH26" s="148"/>
      <c r="FI26" s="148"/>
      <c r="FJ26" s="148"/>
      <c r="FK26" s="148"/>
      <c r="FL26" s="148"/>
      <c r="FM26" s="148"/>
      <c r="FN26" s="148"/>
      <c r="FO26" s="148"/>
      <c r="FP26" s="148"/>
      <c r="FQ26" s="148"/>
      <c r="FR26" s="148"/>
      <c r="FS26" s="148"/>
      <c r="FT26" s="148"/>
      <c r="FU26" s="148"/>
      <c r="FV26" s="148"/>
      <c r="FW26" s="148"/>
      <c r="FX26" s="148"/>
      <c r="FY26" s="148"/>
      <c r="FZ26" s="148"/>
      <c r="GA26" s="148"/>
      <c r="GB26" s="148"/>
      <c r="GC26" s="148"/>
      <c r="GD26" s="148"/>
      <c r="GE26" s="148"/>
      <c r="GF26" s="148"/>
      <c r="GG26" s="148"/>
      <c r="GH26" s="148"/>
      <c r="GI26" s="148"/>
      <c r="GJ26" s="148"/>
      <c r="GK26" s="148"/>
      <c r="GL26" s="148"/>
      <c r="GM26" s="148"/>
      <c r="GN26" s="148"/>
      <c r="GO26" s="148"/>
      <c r="GP26" s="148"/>
      <c r="GQ26" s="148"/>
      <c r="GR26" s="148"/>
      <c r="GS26" s="148"/>
      <c r="GT26" s="148"/>
      <c r="GU26" s="148"/>
      <c r="GV26" s="148"/>
      <c r="GW26" s="148"/>
      <c r="GX26" s="148"/>
      <c r="GY26" s="148"/>
      <c r="GZ26" s="148"/>
      <c r="HA26" s="148"/>
      <c r="HB26" s="148"/>
      <c r="HC26" s="148"/>
      <c r="HD26" s="148"/>
      <c r="HE26" s="148"/>
      <c r="HF26" s="148"/>
      <c r="HG26" s="148"/>
      <c r="HH26" s="148"/>
      <c r="HI26" s="148"/>
      <c r="HJ26" s="148"/>
      <c r="HK26" s="148"/>
      <c r="HL26" s="148"/>
      <c r="HM26" s="148"/>
      <c r="HN26" s="148"/>
      <c r="HO26" s="148"/>
      <c r="HP26" s="148"/>
      <c r="HQ26" s="148"/>
      <c r="HR26" s="148"/>
      <c r="HS26" s="148"/>
      <c r="HT26" s="148"/>
      <c r="HU26" s="148"/>
      <c r="HV26" s="148"/>
      <c r="HW26" s="148"/>
      <c r="HX26" s="148"/>
      <c r="HY26" s="148"/>
      <c r="HZ26" s="148"/>
      <c r="IA26" s="148"/>
      <c r="IB26" s="148"/>
      <c r="IC26" s="148"/>
      <c r="ID26" s="148"/>
      <c r="IE26" s="148"/>
      <c r="IF26" s="148"/>
      <c r="IG26" s="148"/>
      <c r="IH26" s="148"/>
      <c r="II26" s="148"/>
      <c r="IJ26" s="148"/>
      <c r="IK26" s="148"/>
      <c r="IL26" s="148"/>
      <c r="IM26" s="148"/>
      <c r="IN26" s="148"/>
      <c r="IO26" s="148"/>
      <c r="IP26" s="148"/>
      <c r="IQ26" s="148"/>
      <c r="IR26" s="148"/>
      <c r="IS26" s="148"/>
      <c r="IT26" s="148"/>
      <c r="IU26" s="148"/>
      <c r="IV26" s="148"/>
      <c r="IW26" s="148"/>
      <c r="IX26" s="148"/>
      <c r="IY26" s="148"/>
      <c r="IZ26" s="148"/>
      <c r="JA26" s="148"/>
      <c r="JB26" s="148"/>
      <c r="JC26" s="148"/>
      <c r="JD26" s="148"/>
      <c r="JE26" s="148"/>
      <c r="JF26" s="148"/>
      <c r="JG26" s="148"/>
      <c r="JH26" s="148"/>
      <c r="JI26" s="148"/>
      <c r="JJ26" s="148"/>
      <c r="JK26" s="148"/>
      <c r="JL26" s="148"/>
      <c r="JM26" s="148"/>
      <c r="JN26" s="148"/>
      <c r="JO26" s="148"/>
      <c r="JP26" s="148"/>
      <c r="JQ26" s="148"/>
      <c r="JR26" s="148"/>
      <c r="JS26" s="148"/>
      <c r="JT26" s="148"/>
      <c r="JU26" s="148"/>
      <c r="JV26" s="148"/>
      <c r="JW26" s="148"/>
      <c r="JX26" s="148"/>
      <c r="JY26" s="148"/>
      <c r="JZ26" s="148"/>
      <c r="KA26" s="148"/>
      <c r="KB26" s="148"/>
      <c r="KC26" s="148"/>
      <c r="KD26" s="148"/>
      <c r="KE26" s="148"/>
      <c r="KF26" s="148"/>
      <c r="KG26" s="148"/>
      <c r="KH26" s="148"/>
      <c r="KI26" s="148"/>
      <c r="KJ26" s="148"/>
      <c r="KK26" s="148"/>
      <c r="KL26" s="148"/>
      <c r="KM26" s="148"/>
      <c r="KN26" s="148"/>
      <c r="KO26" s="148"/>
      <c r="KP26" s="148"/>
      <c r="KQ26" s="148"/>
      <c r="KR26" s="148"/>
      <c r="KS26" s="148"/>
      <c r="KT26" s="148"/>
      <c r="KU26" s="148"/>
      <c r="KV26" s="148"/>
      <c r="KW26" s="148"/>
      <c r="KX26" s="148"/>
      <c r="KY26" s="148"/>
      <c r="KZ26" s="148"/>
      <c r="LA26" s="148"/>
      <c r="LB26" s="148"/>
      <c r="LC26" s="148"/>
      <c r="LD26" s="148"/>
      <c r="LE26" s="148"/>
      <c r="LF26" s="148"/>
      <c r="LG26" s="148"/>
      <c r="LH26" s="148"/>
      <c r="LI26" s="148"/>
      <c r="LJ26" s="148"/>
      <c r="LK26" s="148"/>
      <c r="LL26" s="148"/>
      <c r="LM26" s="148"/>
      <c r="LN26" s="148"/>
      <c r="LO26" s="148"/>
      <c r="LP26" s="148"/>
      <c r="LQ26" s="148"/>
      <c r="LR26" s="148"/>
      <c r="LS26" s="148"/>
      <c r="LT26" s="148"/>
      <c r="LU26" s="148"/>
      <c r="LV26" s="148"/>
      <c r="LW26" s="148"/>
      <c r="LX26" s="148"/>
      <c r="LY26" s="148"/>
      <c r="LZ26" s="148"/>
      <c r="MA26" s="148"/>
      <c r="MB26" s="148"/>
      <c r="MC26" s="148"/>
      <c r="MD26" s="148"/>
      <c r="ME26" s="148"/>
      <c r="MF26" s="148"/>
      <c r="MG26" s="148"/>
      <c r="MH26" s="148"/>
      <c r="MI26" s="148"/>
      <c r="MJ26" s="148"/>
      <c r="MK26" s="148"/>
      <c r="ML26" s="148"/>
      <c r="MM26" s="148"/>
      <c r="MN26" s="148"/>
      <c r="MO26" s="148"/>
      <c r="MP26" s="148"/>
      <c r="MQ26" s="148"/>
      <c r="MR26" s="148"/>
      <c r="MS26" s="148"/>
      <c r="MT26" s="148"/>
      <c r="MU26" s="148"/>
      <c r="MV26" s="148"/>
      <c r="MW26" s="148"/>
      <c r="MX26" s="148"/>
      <c r="MY26" s="148"/>
      <c r="MZ26" s="148"/>
      <c r="NA26" s="148"/>
      <c r="NB26" s="148"/>
      <c r="NC26" s="148"/>
      <c r="ND26" s="148"/>
      <c r="NE26" s="148"/>
      <c r="NF26" s="148"/>
      <c r="NG26" s="148"/>
      <c r="NH26" s="148"/>
      <c r="NI26" s="148"/>
      <c r="NJ26" s="148"/>
      <c r="NK26" s="148"/>
      <c r="NL26" s="148"/>
      <c r="NM26" s="148"/>
      <c r="NN26" s="148"/>
      <c r="NO26" s="148"/>
      <c r="NP26" s="148"/>
      <c r="NQ26" s="148"/>
      <c r="NR26" s="148"/>
      <c r="NS26" s="148"/>
      <c r="NT26" s="148"/>
      <c r="NU26" s="148"/>
      <c r="NV26" s="148"/>
      <c r="NW26" s="148"/>
      <c r="NX26" s="148"/>
      <c r="NY26" s="148"/>
      <c r="NZ26" s="148"/>
      <c r="OA26" s="148"/>
      <c r="OB26" s="148"/>
      <c r="OC26" s="148"/>
      <c r="OD26" s="148"/>
      <c r="OE26" s="148"/>
      <c r="OF26" s="148"/>
      <c r="OG26" s="148"/>
      <c r="OH26" s="148"/>
      <c r="OI26" s="148"/>
      <c r="OJ26" s="148"/>
      <c r="OK26" s="148"/>
      <c r="OL26" s="148"/>
      <c r="OM26" s="148"/>
      <c r="ON26" s="148"/>
      <c r="OO26" s="148"/>
      <c r="OP26" s="148"/>
      <c r="OQ26" s="148"/>
      <c r="OR26" s="148"/>
      <c r="OS26" s="148"/>
      <c r="OT26" s="148"/>
      <c r="OU26" s="148"/>
      <c r="OV26" s="148"/>
      <c r="OW26" s="148"/>
      <c r="OX26" s="148"/>
      <c r="OY26" s="148"/>
      <c r="OZ26" s="148"/>
      <c r="PA26" s="148"/>
      <c r="PB26" s="148"/>
      <c r="PC26" s="148"/>
      <c r="PD26" s="148"/>
      <c r="PE26" s="148"/>
      <c r="PF26" s="148"/>
      <c r="PG26" s="148"/>
      <c r="PH26" s="148"/>
      <c r="PI26" s="148"/>
      <c r="PJ26" s="148"/>
      <c r="PK26" s="148"/>
      <c r="PL26" s="148"/>
      <c r="PM26" s="148"/>
      <c r="PN26" s="148"/>
      <c r="PO26" s="148"/>
      <c r="PP26" s="148"/>
      <c r="PQ26" s="148"/>
      <c r="PR26" s="148"/>
      <c r="PS26" s="148"/>
      <c r="PT26" s="148"/>
      <c r="PU26" s="148"/>
      <c r="PV26" s="148"/>
      <c r="PW26" s="148"/>
      <c r="PX26" s="148"/>
      <c r="PY26" s="148"/>
      <c r="PZ26" s="148"/>
      <c r="QA26" s="148"/>
      <c r="QB26" s="148"/>
      <c r="QC26" s="148"/>
      <c r="QD26" s="148"/>
      <c r="QE26" s="148"/>
      <c r="QF26" s="148"/>
      <c r="QG26" s="148"/>
      <c r="QH26" s="148"/>
      <c r="QI26" s="148"/>
      <c r="QJ26" s="148"/>
      <c r="QK26" s="148"/>
      <c r="QL26" s="148"/>
      <c r="QM26" s="148"/>
      <c r="QN26" s="148"/>
      <c r="QO26" s="148"/>
      <c r="QP26" s="148"/>
      <c r="QQ26" s="148"/>
      <c r="QR26" s="148"/>
      <c r="QS26" s="148"/>
      <c r="QT26" s="148"/>
      <c r="QU26" s="148"/>
      <c r="QV26" s="148"/>
      <c r="QW26" s="148"/>
      <c r="QX26" s="148"/>
      <c r="QY26" s="148"/>
      <c r="QZ26" s="148"/>
      <c r="RA26" s="148"/>
      <c r="RB26" s="148"/>
      <c r="RC26" s="148"/>
      <c r="RD26" s="148"/>
      <c r="RE26" s="148"/>
      <c r="RF26" s="148"/>
      <c r="RG26" s="148"/>
      <c r="RH26" s="148"/>
      <c r="RI26" s="148"/>
      <c r="RJ26" s="148"/>
      <c r="RK26" s="148"/>
      <c r="RL26" s="148"/>
      <c r="RM26" s="148"/>
      <c r="RN26" s="148"/>
      <c r="RO26" s="148"/>
      <c r="RP26" s="148"/>
      <c r="RQ26" s="148"/>
      <c r="RR26" s="148"/>
      <c r="RS26" s="148"/>
      <c r="RT26" s="148"/>
      <c r="RU26" s="148"/>
      <c r="RV26" s="148"/>
      <c r="RW26" s="148"/>
      <c r="RX26" s="148"/>
      <c r="RY26" s="148"/>
      <c r="RZ26" s="148"/>
      <c r="SA26" s="148"/>
      <c r="SB26" s="148"/>
      <c r="SC26" s="148"/>
      <c r="SD26" s="148"/>
      <c r="SE26" s="148"/>
      <c r="SF26" s="148"/>
      <c r="SG26" s="148"/>
      <c r="SH26" s="148"/>
      <c r="SI26" s="148"/>
      <c r="SJ26" s="148"/>
      <c r="SK26" s="148"/>
      <c r="SL26" s="148"/>
      <c r="SM26" s="148"/>
      <c r="SN26" s="148"/>
      <c r="SO26" s="148"/>
      <c r="SP26" s="148"/>
      <c r="SQ26" s="148"/>
      <c r="SR26" s="148"/>
      <c r="SS26" s="148"/>
      <c r="ST26" s="148"/>
      <c r="SU26" s="148"/>
      <c r="SV26" s="148"/>
      <c r="SW26" s="148"/>
      <c r="SX26" s="148"/>
      <c r="SY26" s="148"/>
      <c r="SZ26" s="148"/>
      <c r="TA26" s="148"/>
      <c r="TB26" s="148"/>
      <c r="TC26" s="148"/>
      <c r="TD26" s="148"/>
      <c r="TE26" s="148"/>
      <c r="TF26" s="148"/>
      <c r="TG26" s="148"/>
      <c r="TH26" s="148"/>
      <c r="TI26" s="148"/>
      <c r="TJ26" s="148"/>
      <c r="TK26" s="148"/>
      <c r="TL26" s="148"/>
      <c r="TM26" s="148"/>
      <c r="TN26" s="148"/>
      <c r="TO26" s="148"/>
      <c r="TP26" s="148"/>
      <c r="TQ26" s="148"/>
      <c r="TR26" s="148"/>
      <c r="TS26" s="148"/>
      <c r="TT26" s="148"/>
      <c r="TU26" s="148"/>
      <c r="TV26" s="148"/>
      <c r="TW26" s="148"/>
      <c r="TX26" s="148"/>
      <c r="TY26" s="148"/>
      <c r="TZ26" s="148"/>
      <c r="UA26" s="148"/>
      <c r="UB26" s="148"/>
      <c r="UC26" s="148"/>
      <c r="UD26" s="148"/>
      <c r="UE26" s="148"/>
      <c r="UF26" s="148"/>
      <c r="UG26" s="148"/>
      <c r="UH26" s="148"/>
      <c r="UI26" s="148"/>
      <c r="UJ26" s="148"/>
      <c r="UK26" s="148"/>
      <c r="UL26" s="148"/>
      <c r="UM26" s="148"/>
      <c r="UN26" s="148"/>
      <c r="UO26" s="148"/>
      <c r="UP26" s="148"/>
      <c r="UQ26" s="148"/>
      <c r="UR26" s="148"/>
      <c r="US26" s="148"/>
      <c r="UT26" s="148"/>
      <c r="UU26" s="148"/>
      <c r="UV26" s="148"/>
      <c r="UW26" s="148"/>
      <c r="UX26" s="148"/>
      <c r="UY26" s="148"/>
      <c r="UZ26" s="148"/>
      <c r="VA26" s="148"/>
      <c r="VB26" s="148"/>
      <c r="VC26" s="148"/>
      <c r="VD26" s="148"/>
      <c r="VE26" s="148"/>
      <c r="VF26" s="148"/>
      <c r="VG26" s="148"/>
      <c r="VH26" s="148"/>
      <c r="VI26" s="148"/>
      <c r="VJ26" s="148"/>
      <c r="VK26" s="148"/>
      <c r="VL26" s="148"/>
      <c r="VM26" s="148"/>
      <c r="VN26" s="148"/>
      <c r="VO26" s="148"/>
      <c r="VP26" s="148"/>
      <c r="VQ26" s="148"/>
      <c r="VR26" s="148"/>
      <c r="VS26" s="148"/>
      <c r="VT26" s="148"/>
      <c r="VU26" s="148"/>
      <c r="VV26" s="148"/>
      <c r="VW26" s="148"/>
      <c r="VX26" s="148"/>
      <c r="VY26" s="148"/>
      <c r="VZ26" s="148"/>
      <c r="WA26" s="148"/>
      <c r="WB26" s="148"/>
      <c r="WC26" s="148"/>
      <c r="WD26" s="148"/>
      <c r="WE26" s="148"/>
      <c r="WF26" s="148"/>
      <c r="WG26" s="148"/>
      <c r="WH26" s="148"/>
      <c r="WI26" s="148"/>
      <c r="WJ26" s="148"/>
      <c r="WK26" s="148"/>
      <c r="WL26" s="148"/>
      <c r="WM26" s="148"/>
      <c r="WN26" s="148"/>
      <c r="WO26" s="148"/>
      <c r="WP26" s="148"/>
      <c r="WQ26" s="148"/>
      <c r="WR26" s="148"/>
      <c r="WS26" s="148"/>
      <c r="WT26" s="148"/>
      <c r="WU26" s="148"/>
      <c r="WV26" s="148"/>
      <c r="WW26" s="148"/>
      <c r="WX26" s="148"/>
      <c r="WY26" s="148"/>
      <c r="WZ26" s="148"/>
      <c r="XA26" s="148"/>
      <c r="XB26" s="148"/>
      <c r="XC26" s="148"/>
      <c r="XD26" s="148"/>
      <c r="XE26" s="148"/>
      <c r="XF26" s="148"/>
      <c r="XG26" s="148"/>
      <c r="XH26" s="148"/>
      <c r="XI26" s="148"/>
      <c r="XJ26" s="148"/>
      <c r="XK26" s="148"/>
      <c r="XL26" s="148"/>
      <c r="XM26" s="148"/>
      <c r="XN26" s="148"/>
      <c r="XO26" s="148"/>
      <c r="XP26" s="148"/>
      <c r="XQ26" s="148"/>
      <c r="XR26" s="148"/>
      <c r="XS26" s="148"/>
      <c r="XT26" s="148"/>
      <c r="XU26" s="148"/>
      <c r="XV26" s="148"/>
      <c r="XW26" s="148"/>
      <c r="XX26" s="148"/>
      <c r="XY26" s="148"/>
      <c r="XZ26" s="148"/>
      <c r="YA26" s="148"/>
      <c r="YB26" s="148"/>
      <c r="YC26" s="148"/>
      <c r="YD26" s="148"/>
      <c r="YE26" s="148"/>
      <c r="YF26" s="148"/>
      <c r="YG26" s="148"/>
      <c r="YH26" s="148"/>
      <c r="YI26" s="148"/>
      <c r="YJ26" s="148"/>
      <c r="YK26" s="148"/>
      <c r="YL26" s="148"/>
      <c r="YM26" s="148"/>
      <c r="YN26" s="148"/>
      <c r="YO26" s="148"/>
      <c r="YP26" s="148"/>
      <c r="YQ26" s="148"/>
      <c r="YR26" s="148"/>
      <c r="YS26" s="148"/>
      <c r="YT26" s="148"/>
      <c r="YU26" s="148"/>
      <c r="YV26" s="148"/>
      <c r="YW26" s="148"/>
      <c r="YX26" s="148"/>
      <c r="YY26" s="148"/>
      <c r="YZ26" s="148"/>
      <c r="ZA26" s="148"/>
      <c r="ZB26" s="148"/>
      <c r="ZC26" s="148"/>
      <c r="ZD26" s="148"/>
      <c r="ZE26" s="148"/>
      <c r="ZF26" s="148"/>
      <c r="ZG26" s="148"/>
      <c r="ZH26" s="148"/>
      <c r="ZI26" s="148"/>
      <c r="ZJ26" s="148"/>
      <c r="ZK26" s="148"/>
      <c r="ZL26" s="148"/>
      <c r="ZM26" s="148"/>
      <c r="ZN26" s="148"/>
      <c r="ZO26" s="148"/>
      <c r="ZP26" s="148"/>
      <c r="ZQ26" s="148"/>
      <c r="ZR26" s="148"/>
      <c r="ZS26" s="148"/>
      <c r="ZT26" s="148"/>
      <c r="ZU26" s="148"/>
      <c r="ZV26" s="148"/>
      <c r="ZW26" s="148"/>
      <c r="ZX26" s="148"/>
      <c r="ZY26" s="148"/>
      <c r="ZZ26" s="148"/>
      <c r="AAA26" s="148"/>
      <c r="AAB26" s="148"/>
      <c r="AAC26" s="148"/>
      <c r="AAD26" s="148"/>
      <c r="AAE26" s="148"/>
      <c r="AAF26" s="148"/>
      <c r="AAG26" s="148"/>
      <c r="AAH26" s="148"/>
      <c r="AAI26" s="148"/>
      <c r="AAJ26" s="148"/>
      <c r="AAK26" s="148"/>
      <c r="AAL26" s="148"/>
      <c r="AAM26" s="148"/>
      <c r="AAN26" s="148"/>
      <c r="AAO26" s="148"/>
      <c r="AAP26" s="148"/>
      <c r="AAQ26" s="148"/>
      <c r="AAR26" s="148"/>
      <c r="AAS26" s="148"/>
      <c r="AAT26" s="148"/>
      <c r="AAU26" s="148"/>
      <c r="AAV26" s="148"/>
      <c r="AAW26" s="148"/>
      <c r="AAX26" s="148"/>
      <c r="AAY26" s="148"/>
      <c r="AAZ26" s="148"/>
      <c r="ABA26" s="148"/>
      <c r="ABB26" s="148"/>
      <c r="ABC26" s="148"/>
      <c r="ABD26" s="148"/>
      <c r="ABE26" s="148"/>
      <c r="ABF26" s="148"/>
      <c r="ABG26" s="148"/>
      <c r="ABH26" s="148"/>
      <c r="ABI26" s="148"/>
      <c r="ABJ26" s="148"/>
      <c r="ABK26" s="148"/>
      <c r="ABL26" s="148"/>
      <c r="ABM26" s="148"/>
      <c r="ABN26" s="148"/>
      <c r="ABO26" s="148"/>
      <c r="ABP26" s="148"/>
      <c r="ABQ26" s="148"/>
      <c r="ABR26" s="148"/>
      <c r="ABS26" s="148"/>
      <c r="ABT26" s="148"/>
      <c r="ABU26" s="148"/>
      <c r="ABV26" s="148"/>
      <c r="ABW26" s="148"/>
      <c r="ABX26" s="148"/>
      <c r="ABY26" s="148"/>
      <c r="ABZ26" s="148"/>
      <c r="ACA26" s="148"/>
      <c r="ACB26" s="148"/>
      <c r="ACC26" s="148"/>
      <c r="ACD26" s="148"/>
      <c r="ACE26" s="148"/>
      <c r="ACF26" s="148"/>
      <c r="ACG26" s="148"/>
      <c r="ACH26" s="148"/>
      <c r="ACI26" s="148"/>
      <c r="ACJ26" s="148"/>
      <c r="ACK26" s="148"/>
      <c r="ACL26" s="148"/>
      <c r="ACM26" s="148"/>
      <c r="ACN26" s="148"/>
      <c r="ACO26" s="148"/>
      <c r="ACP26" s="148"/>
      <c r="ACQ26" s="148"/>
      <c r="ACR26" s="148"/>
      <c r="ACS26" s="148"/>
      <c r="ACT26" s="148"/>
      <c r="ACU26" s="148"/>
      <c r="ACV26" s="148"/>
      <c r="ACW26" s="148"/>
      <c r="ACX26" s="148"/>
      <c r="ACY26" s="148"/>
      <c r="ACZ26" s="148"/>
      <c r="ADA26" s="148"/>
      <c r="ADB26" s="148"/>
      <c r="ADC26" s="148"/>
      <c r="ADD26" s="148"/>
      <c r="ADE26" s="148"/>
      <c r="ADF26" s="148"/>
      <c r="ADG26" s="148"/>
      <c r="ADH26" s="148"/>
      <c r="ADI26" s="148"/>
      <c r="ADJ26" s="148"/>
      <c r="ADK26" s="148"/>
      <c r="ADL26" s="148"/>
      <c r="ADM26" s="148"/>
      <c r="ADN26" s="148"/>
      <c r="ADO26" s="148"/>
      <c r="ADP26" s="148"/>
      <c r="ADQ26" s="148"/>
      <c r="ADR26" s="148"/>
      <c r="ADS26" s="148"/>
      <c r="ADT26" s="148"/>
      <c r="ADU26" s="148"/>
      <c r="ADV26" s="148"/>
      <c r="ADW26" s="148"/>
      <c r="ADX26" s="148"/>
      <c r="ADY26" s="148"/>
      <c r="ADZ26" s="148"/>
      <c r="AEA26" s="148"/>
      <c r="AEB26" s="148"/>
      <c r="AEC26" s="148"/>
      <c r="AED26" s="148"/>
      <c r="AEE26" s="148"/>
      <c r="AEF26" s="148"/>
      <c r="AEG26" s="148"/>
      <c r="AEH26" s="148"/>
      <c r="AEI26" s="148"/>
      <c r="AEJ26" s="148"/>
      <c r="AEK26" s="148"/>
      <c r="AEL26" s="148"/>
      <c r="AEM26" s="148"/>
      <c r="AEN26" s="148"/>
      <c r="AEO26" s="148"/>
      <c r="AEP26" s="148"/>
      <c r="AEQ26" s="148"/>
      <c r="AER26" s="148"/>
      <c r="AES26" s="148"/>
      <c r="AET26" s="148"/>
      <c r="AEU26" s="148"/>
      <c r="AEV26" s="148"/>
      <c r="AEW26" s="148"/>
      <c r="AEX26" s="148"/>
      <c r="AEY26" s="148"/>
      <c r="AEZ26" s="148"/>
      <c r="AFA26" s="148"/>
      <c r="AFB26" s="148"/>
      <c r="AFC26" s="148"/>
      <c r="AFD26" s="148"/>
      <c r="AFE26" s="148"/>
      <c r="AFF26" s="148"/>
      <c r="AFG26" s="148"/>
      <c r="AFH26" s="148"/>
      <c r="AFI26" s="148"/>
      <c r="AFJ26" s="148"/>
      <c r="AFK26" s="148"/>
      <c r="AFL26" s="148"/>
      <c r="AFM26" s="148"/>
      <c r="AFN26" s="148"/>
      <c r="AFO26" s="148"/>
      <c r="AFP26" s="148"/>
      <c r="AFQ26" s="148"/>
      <c r="AFR26" s="148"/>
      <c r="AFS26" s="148"/>
      <c r="AFT26" s="148"/>
      <c r="AFU26" s="148"/>
      <c r="AFV26" s="148"/>
      <c r="AFW26" s="148"/>
      <c r="AFX26" s="148"/>
      <c r="AFY26" s="148"/>
      <c r="AFZ26" s="148"/>
      <c r="AGA26" s="148"/>
      <c r="AGB26" s="148"/>
      <c r="AGC26" s="148"/>
      <c r="AGD26" s="148"/>
      <c r="AGE26" s="148"/>
      <c r="AGF26" s="148"/>
      <c r="AGG26" s="148"/>
      <c r="AGH26" s="148"/>
      <c r="AGI26" s="148"/>
      <c r="AGJ26" s="148"/>
      <c r="AGK26" s="148"/>
      <c r="AGL26" s="148"/>
      <c r="AGM26" s="148"/>
      <c r="AGN26" s="148"/>
      <c r="AGO26" s="148"/>
      <c r="AGP26" s="148"/>
      <c r="AGQ26" s="148"/>
      <c r="AGR26" s="148"/>
      <c r="AGS26" s="148"/>
      <c r="AGT26" s="148"/>
      <c r="AGU26" s="148"/>
      <c r="AGV26" s="148"/>
      <c r="AGW26" s="148"/>
      <c r="AGX26" s="148"/>
      <c r="AGY26" s="148"/>
      <c r="AGZ26" s="148"/>
      <c r="AHA26" s="148"/>
      <c r="AHB26" s="148"/>
      <c r="AHC26" s="148"/>
      <c r="AHD26" s="148"/>
      <c r="AHE26" s="148"/>
      <c r="AHF26" s="148"/>
      <c r="AHG26" s="148"/>
      <c r="AHH26" s="148"/>
      <c r="AHI26" s="148"/>
      <c r="AHJ26" s="148"/>
      <c r="AHK26" s="148"/>
      <c r="AHL26" s="148"/>
      <c r="AHM26" s="148"/>
      <c r="AHN26" s="148"/>
      <c r="AHO26" s="148"/>
      <c r="AHP26" s="148"/>
      <c r="AHQ26" s="148"/>
      <c r="AHR26" s="148"/>
      <c r="AHS26" s="148"/>
      <c r="AHT26" s="148"/>
      <c r="AHU26" s="148"/>
      <c r="AHV26" s="148"/>
      <c r="AHW26" s="148"/>
      <c r="AHX26" s="148"/>
      <c r="AHY26" s="148"/>
      <c r="AHZ26" s="148"/>
      <c r="AIA26" s="148"/>
      <c r="AIB26" s="148"/>
      <c r="AIC26" s="148"/>
      <c r="AID26" s="148"/>
      <c r="AIE26" s="148"/>
      <c r="AIF26" s="148"/>
      <c r="AIG26" s="148"/>
      <c r="AIH26" s="148"/>
      <c r="AII26" s="148"/>
      <c r="AIJ26" s="148"/>
      <c r="AIK26" s="148"/>
      <c r="AIL26" s="148"/>
      <c r="AIM26" s="148"/>
      <c r="AIN26" s="148"/>
      <c r="AIO26" s="148"/>
      <c r="AIP26" s="148"/>
      <c r="AIQ26" s="148"/>
      <c r="AIR26" s="148"/>
      <c r="AIS26" s="148"/>
      <c r="AIT26" s="148"/>
      <c r="AIU26" s="148"/>
      <c r="AIV26" s="148"/>
      <c r="AIW26" s="148"/>
      <c r="AIX26" s="148"/>
      <c r="AIY26" s="148"/>
      <c r="AIZ26" s="148"/>
      <c r="AJA26" s="148"/>
      <c r="AJB26" s="148"/>
      <c r="AJC26" s="148"/>
      <c r="AJD26" s="148"/>
      <c r="AJE26" s="148"/>
      <c r="AJF26" s="148"/>
      <c r="AJG26" s="148"/>
      <c r="AJH26" s="148"/>
      <c r="AJI26" s="148"/>
      <c r="AJJ26" s="148"/>
      <c r="AJK26" s="148"/>
      <c r="AJL26" s="148"/>
      <c r="AJM26" s="148"/>
      <c r="AJN26" s="148"/>
      <c r="AJO26" s="148"/>
      <c r="AJP26" s="148"/>
      <c r="AJQ26" s="148"/>
      <c r="AJR26" s="148"/>
      <c r="AJS26" s="148"/>
      <c r="AJT26" s="148"/>
      <c r="AJU26" s="148"/>
      <c r="AJV26" s="148"/>
      <c r="AJW26" s="148"/>
      <c r="AJX26" s="148"/>
      <c r="AJY26" s="148"/>
      <c r="AJZ26" s="148"/>
      <c r="AKA26" s="148"/>
      <c r="AKB26" s="148"/>
      <c r="AKC26" s="148"/>
      <c r="AKD26" s="148"/>
      <c r="AKE26" s="148"/>
      <c r="AKF26" s="148"/>
      <c r="AKG26" s="148"/>
      <c r="AKH26" s="148"/>
      <c r="AKI26" s="148"/>
      <c r="AKJ26" s="148"/>
      <c r="AKK26" s="148"/>
      <c r="AKL26" s="148"/>
      <c r="AKM26" s="148"/>
      <c r="AKN26" s="148"/>
      <c r="AKO26" s="148"/>
      <c r="AKP26" s="148"/>
      <c r="AKQ26" s="148"/>
      <c r="AKR26" s="148"/>
      <c r="AKS26" s="148"/>
      <c r="AKT26" s="148"/>
      <c r="AKU26" s="148"/>
      <c r="AKV26" s="148"/>
      <c r="AKW26" s="148"/>
      <c r="AKX26" s="148"/>
      <c r="AKY26" s="148"/>
      <c r="AKZ26" s="148"/>
      <c r="ALA26" s="148"/>
      <c r="ALB26" s="148"/>
      <c r="ALC26" s="148"/>
      <c r="ALD26" s="148"/>
      <c r="ALE26" s="148"/>
      <c r="ALF26" s="148"/>
      <c r="ALG26" s="148"/>
      <c r="ALH26" s="148"/>
      <c r="ALI26" s="148"/>
      <c r="ALJ26" s="148"/>
      <c r="ALK26" s="148"/>
      <c r="ALL26" s="148"/>
      <c r="ALM26" s="148"/>
      <c r="ALN26" s="148"/>
      <c r="ALO26" s="148"/>
      <c r="ALP26" s="148"/>
      <c r="ALQ26" s="148"/>
      <c r="ALR26" s="148"/>
      <c r="ALS26" s="148"/>
      <c r="ALT26" s="148"/>
      <c r="ALU26" s="148"/>
      <c r="ALV26" s="148"/>
      <c r="ALW26" s="148"/>
      <c r="ALX26" s="148"/>
      <c r="ALY26" s="148"/>
      <c r="ALZ26" s="148"/>
      <c r="AMA26" s="148"/>
      <c r="AMB26" s="148"/>
      <c r="AMC26" s="148"/>
      <c r="AMD26" s="148"/>
      <c r="AME26" s="148"/>
      <c r="AMF26" s="148"/>
      <c r="AMG26" s="148"/>
      <c r="AMH26" s="148"/>
      <c r="AMI26" s="148"/>
      <c r="AMJ26" s="148"/>
      <c r="AMK26" s="148"/>
      <c r="AML26" s="148"/>
      <c r="AMM26" s="148"/>
      <c r="AMN26" s="148"/>
      <c r="AMO26" s="148"/>
      <c r="AMP26" s="148"/>
      <c r="AMQ26" s="148"/>
      <c r="AMR26" s="148"/>
      <c r="AMS26" s="148"/>
      <c r="AMT26" s="148"/>
      <c r="AMU26" s="148"/>
      <c r="AMV26" s="148"/>
      <c r="AMW26" s="148"/>
      <c r="AMX26" s="148"/>
      <c r="AMY26" s="148"/>
      <c r="AMZ26" s="148"/>
      <c r="ANA26" s="148"/>
      <c r="ANB26" s="148"/>
      <c r="ANC26" s="148"/>
      <c r="AND26" s="148"/>
      <c r="ANE26" s="148"/>
      <c r="ANF26" s="148"/>
      <c r="ANG26" s="148"/>
      <c r="ANH26" s="148"/>
      <c r="ANI26" s="148"/>
      <c r="ANJ26" s="148"/>
      <c r="ANK26" s="148"/>
      <c r="ANL26" s="148"/>
      <c r="ANM26" s="148"/>
      <c r="ANN26" s="148"/>
      <c r="ANO26" s="148"/>
      <c r="ANP26" s="148"/>
      <c r="ANQ26" s="148"/>
      <c r="ANR26" s="148"/>
      <c r="ANS26" s="148"/>
      <c r="ANT26" s="148"/>
      <c r="ANU26" s="148"/>
      <c r="ANV26" s="148"/>
      <c r="ANW26" s="148"/>
      <c r="ANX26" s="148"/>
      <c r="ANY26" s="148"/>
      <c r="ANZ26" s="148"/>
      <c r="AOA26" s="148"/>
      <c r="AOB26" s="148"/>
      <c r="AOC26" s="148"/>
      <c r="AOD26" s="148"/>
      <c r="AOE26" s="148"/>
      <c r="AOF26" s="148"/>
      <c r="AOG26" s="148"/>
      <c r="AOH26" s="148"/>
      <c r="AOI26" s="148"/>
      <c r="AOJ26" s="148"/>
      <c r="AOK26" s="148"/>
      <c r="AOL26" s="148"/>
      <c r="AOM26" s="148"/>
      <c r="AON26" s="148"/>
      <c r="AOO26" s="148"/>
      <c r="AOP26" s="148"/>
      <c r="AOQ26" s="148"/>
      <c r="AOR26" s="148"/>
      <c r="AOS26" s="148"/>
      <c r="AOT26" s="148"/>
      <c r="AOU26" s="148"/>
      <c r="AOV26" s="148"/>
      <c r="AOW26" s="148"/>
      <c r="AOX26" s="148"/>
      <c r="AOY26" s="148"/>
      <c r="AOZ26" s="148"/>
      <c r="APA26" s="148"/>
      <c r="APB26" s="148"/>
      <c r="APC26" s="148"/>
      <c r="APD26" s="148"/>
      <c r="APE26" s="148"/>
      <c r="APF26" s="148"/>
      <c r="APG26" s="148"/>
      <c r="APH26" s="148"/>
      <c r="API26" s="148"/>
      <c r="APJ26" s="148"/>
      <c r="APK26" s="148"/>
      <c r="APL26" s="148"/>
      <c r="APM26" s="148"/>
      <c r="APN26" s="148"/>
      <c r="APO26" s="148"/>
      <c r="APP26" s="148"/>
      <c r="APQ26" s="148"/>
      <c r="APR26" s="148"/>
      <c r="APS26" s="148"/>
      <c r="APT26" s="148"/>
      <c r="APU26" s="148"/>
      <c r="APV26" s="148"/>
      <c r="APW26" s="148"/>
      <c r="APX26" s="148"/>
      <c r="APY26" s="148"/>
      <c r="APZ26" s="148"/>
      <c r="AQA26" s="148"/>
      <c r="AQB26" s="148"/>
      <c r="AQC26" s="148"/>
      <c r="AQD26" s="148"/>
      <c r="AQE26" s="148"/>
      <c r="AQF26" s="148"/>
      <c r="AQG26" s="148"/>
      <c r="AQH26" s="148"/>
      <c r="AQI26" s="148"/>
      <c r="AQJ26" s="148"/>
      <c r="AQK26" s="148"/>
      <c r="AQL26" s="148"/>
      <c r="AQM26" s="148"/>
      <c r="AQN26" s="148"/>
      <c r="AQO26" s="148"/>
      <c r="AQP26" s="148"/>
      <c r="AQQ26" s="148"/>
      <c r="AQR26" s="148"/>
      <c r="AQS26" s="148"/>
      <c r="AQT26" s="148"/>
      <c r="AQU26" s="148"/>
      <c r="AQV26" s="148"/>
      <c r="AQW26" s="148"/>
      <c r="AQX26" s="148"/>
      <c r="AQY26" s="148"/>
      <c r="AQZ26" s="148"/>
      <c r="ARA26" s="148"/>
      <c r="ARB26" s="148"/>
      <c r="ARC26" s="148"/>
      <c r="ARD26" s="148"/>
      <c r="ARE26" s="148"/>
      <c r="ARF26" s="148"/>
      <c r="ARG26" s="148"/>
      <c r="ARH26" s="148"/>
      <c r="ARI26" s="148"/>
      <c r="ARJ26" s="148"/>
      <c r="ARK26" s="148"/>
      <c r="ARL26" s="148"/>
      <c r="ARM26" s="148"/>
      <c r="ARN26" s="148"/>
      <c r="ARO26" s="148"/>
      <c r="ARP26" s="148"/>
      <c r="ARQ26" s="148"/>
      <c r="ARR26" s="148"/>
      <c r="ARS26" s="148"/>
      <c r="ART26" s="148"/>
      <c r="ARU26" s="148"/>
      <c r="ARV26" s="148"/>
      <c r="ARW26" s="148"/>
      <c r="ARX26" s="148"/>
      <c r="ARY26" s="148"/>
      <c r="ARZ26" s="148"/>
      <c r="ASA26" s="148"/>
      <c r="ASB26" s="148"/>
      <c r="ASC26" s="148"/>
      <c r="ASD26" s="148"/>
      <c r="ASE26" s="148"/>
      <c r="ASF26" s="148"/>
      <c r="ASG26" s="148"/>
      <c r="ASH26" s="148"/>
      <c r="ASI26" s="148"/>
      <c r="ASJ26" s="148"/>
      <c r="ASK26" s="148"/>
      <c r="ASL26" s="148"/>
      <c r="ASM26" s="148"/>
      <c r="ASN26" s="148"/>
      <c r="ASO26" s="148"/>
      <c r="ASP26" s="148"/>
      <c r="ASQ26" s="148"/>
      <c r="ASR26" s="148"/>
      <c r="ASS26" s="148"/>
      <c r="AST26" s="148"/>
      <c r="ASU26" s="148"/>
      <c r="ASV26" s="148"/>
      <c r="ASW26" s="148"/>
      <c r="ASX26" s="148"/>
      <c r="ASY26" s="148"/>
      <c r="ASZ26" s="148"/>
      <c r="ATA26" s="148"/>
      <c r="ATB26" s="148"/>
      <c r="ATC26" s="148"/>
      <c r="ATD26" s="148"/>
      <c r="ATE26" s="148"/>
      <c r="ATF26" s="148"/>
      <c r="ATG26" s="148"/>
      <c r="ATH26" s="148"/>
      <c r="ATI26" s="148"/>
      <c r="ATJ26" s="148"/>
      <c r="ATK26" s="148"/>
      <c r="ATL26" s="148"/>
      <c r="ATM26" s="148"/>
      <c r="ATN26" s="148"/>
      <c r="ATO26" s="148"/>
      <c r="ATP26" s="148"/>
      <c r="ATQ26" s="148"/>
      <c r="ATR26" s="148"/>
      <c r="ATS26" s="148"/>
      <c r="ATT26" s="148"/>
      <c r="ATU26" s="148"/>
      <c r="ATV26" s="148"/>
      <c r="ATW26" s="148"/>
      <c r="ATX26" s="148"/>
      <c r="ATY26" s="148"/>
      <c r="ATZ26" s="148"/>
      <c r="AUA26" s="148"/>
      <c r="AUB26" s="148"/>
      <c r="AUC26" s="148"/>
      <c r="AUD26" s="148"/>
      <c r="AUE26" s="148"/>
      <c r="AUF26" s="148"/>
      <c r="AUG26" s="148"/>
      <c r="AUH26" s="148"/>
      <c r="AUI26" s="148"/>
      <c r="AUJ26" s="148"/>
      <c r="AUK26" s="148"/>
      <c r="AUL26" s="148"/>
      <c r="AUM26" s="148"/>
      <c r="AUN26" s="148"/>
      <c r="AUO26" s="148"/>
      <c r="AUP26" s="148"/>
      <c r="AUQ26" s="148"/>
      <c r="AUR26" s="148"/>
      <c r="AUS26" s="148"/>
      <c r="AUT26" s="148"/>
      <c r="AUU26" s="148"/>
      <c r="AUV26" s="148"/>
      <c r="AUW26" s="148"/>
      <c r="AUX26" s="148"/>
      <c r="AUY26" s="148"/>
      <c r="AUZ26" s="148"/>
      <c r="AVA26" s="148"/>
      <c r="AVB26" s="148"/>
      <c r="AVC26" s="148"/>
      <c r="AVD26" s="148"/>
      <c r="AVE26" s="148"/>
      <c r="AVF26" s="148"/>
      <c r="AVG26" s="148"/>
      <c r="AVH26" s="148"/>
      <c r="AVI26" s="148"/>
      <c r="AVJ26" s="148"/>
      <c r="AVK26" s="148"/>
      <c r="AVL26" s="148"/>
      <c r="AVM26" s="148"/>
      <c r="AVN26" s="148"/>
      <c r="AVO26" s="148"/>
      <c r="AVP26" s="148"/>
      <c r="AVQ26" s="148"/>
      <c r="AVR26" s="148"/>
      <c r="AVS26" s="148"/>
      <c r="AVT26" s="148"/>
      <c r="AVU26" s="148"/>
      <c r="AVV26" s="148"/>
      <c r="AVW26" s="148"/>
      <c r="AVX26" s="148"/>
      <c r="AVY26" s="148"/>
      <c r="AVZ26" s="148"/>
      <c r="AWA26" s="148"/>
      <c r="AWB26" s="148"/>
      <c r="AWC26" s="148"/>
      <c r="AWD26" s="148"/>
      <c r="AWE26" s="148"/>
      <c r="AWF26" s="148"/>
      <c r="AWG26" s="148"/>
      <c r="AWH26" s="148"/>
      <c r="AWI26" s="148"/>
      <c r="AWJ26" s="148"/>
      <c r="AWK26" s="148"/>
      <c r="AWL26" s="148"/>
      <c r="AWM26" s="148"/>
      <c r="AWN26" s="148"/>
      <c r="AWO26" s="148"/>
      <c r="AWP26" s="148"/>
      <c r="AWQ26" s="148"/>
      <c r="AWR26" s="148"/>
      <c r="AWS26" s="148"/>
      <c r="AWT26" s="148"/>
      <c r="AWU26" s="148"/>
      <c r="AWV26" s="148"/>
      <c r="AWW26" s="148"/>
      <c r="AWX26" s="148"/>
      <c r="AWY26" s="148"/>
      <c r="AWZ26" s="148"/>
      <c r="AXA26" s="148"/>
      <c r="AXB26" s="148"/>
      <c r="AXC26" s="148"/>
      <c r="AXD26" s="148"/>
      <c r="AXE26" s="148"/>
      <c r="AXF26" s="148"/>
      <c r="AXG26" s="148"/>
      <c r="AXH26" s="148"/>
      <c r="AXI26" s="148"/>
      <c r="AXJ26" s="148"/>
      <c r="AXK26" s="148"/>
      <c r="AXL26" s="148"/>
      <c r="AXM26" s="148"/>
      <c r="AXN26" s="148"/>
      <c r="AXO26" s="148"/>
      <c r="AXP26" s="148"/>
      <c r="AXQ26" s="148"/>
      <c r="AXR26" s="148"/>
      <c r="AXS26" s="148"/>
      <c r="AXT26" s="148"/>
      <c r="AXU26" s="148"/>
      <c r="AXV26" s="148"/>
      <c r="AXW26" s="148"/>
      <c r="AXX26" s="148"/>
      <c r="AXY26" s="148"/>
      <c r="AXZ26" s="148"/>
      <c r="AYA26" s="148"/>
      <c r="AYB26" s="148"/>
      <c r="AYC26" s="148"/>
      <c r="AYD26" s="148"/>
      <c r="AYE26" s="148"/>
      <c r="AYF26" s="148"/>
      <c r="AYG26" s="148"/>
      <c r="AYH26" s="148"/>
      <c r="AYI26" s="148"/>
      <c r="AYJ26" s="148"/>
      <c r="AYK26" s="148"/>
      <c r="AYL26" s="148"/>
      <c r="AYM26" s="148"/>
      <c r="AYN26" s="148"/>
      <c r="AYO26" s="148"/>
      <c r="AYP26" s="148"/>
      <c r="AYQ26" s="148"/>
      <c r="AYR26" s="148"/>
      <c r="AYS26" s="148"/>
      <c r="AYT26" s="148"/>
      <c r="AYU26" s="148"/>
      <c r="AYV26" s="148"/>
      <c r="AYW26" s="148"/>
      <c r="AYX26" s="148"/>
      <c r="AYY26" s="148"/>
      <c r="AYZ26" s="148"/>
      <c r="AZA26" s="148"/>
      <c r="AZB26" s="148"/>
      <c r="AZC26" s="148"/>
      <c r="AZD26" s="148"/>
      <c r="AZE26" s="148"/>
      <c r="AZF26" s="148"/>
      <c r="AZG26" s="148"/>
      <c r="AZH26" s="148"/>
      <c r="AZI26" s="148"/>
      <c r="AZJ26" s="148"/>
      <c r="AZK26" s="148"/>
      <c r="AZL26" s="148"/>
      <c r="AZM26" s="148"/>
      <c r="AZN26" s="148"/>
      <c r="AZO26" s="148"/>
      <c r="AZP26" s="148"/>
      <c r="AZQ26" s="148"/>
      <c r="AZR26" s="148"/>
      <c r="AZS26" s="148"/>
      <c r="AZT26" s="148"/>
      <c r="AZU26" s="148"/>
      <c r="AZV26" s="148"/>
      <c r="AZW26" s="148"/>
      <c r="AZX26" s="148"/>
      <c r="AZY26" s="148"/>
      <c r="AZZ26" s="148"/>
      <c r="BAA26" s="148"/>
      <c r="BAB26" s="148"/>
      <c r="BAC26" s="148"/>
      <c r="BAD26" s="148"/>
      <c r="BAE26" s="148"/>
      <c r="BAF26" s="148"/>
      <c r="BAG26" s="148"/>
      <c r="BAH26" s="148"/>
      <c r="BAI26" s="148"/>
      <c r="BAJ26" s="148"/>
      <c r="BAK26" s="148"/>
      <c r="BAL26" s="148"/>
      <c r="BAM26" s="148"/>
      <c r="BAN26" s="148"/>
      <c r="BAO26" s="148"/>
      <c r="BAP26" s="148"/>
      <c r="BAQ26" s="148"/>
      <c r="BAR26" s="148"/>
      <c r="BAS26" s="148"/>
      <c r="BAT26" s="148"/>
      <c r="BAU26" s="148"/>
      <c r="BAV26" s="148"/>
      <c r="BAW26" s="148"/>
      <c r="BAX26" s="148"/>
      <c r="BAY26" s="148"/>
      <c r="BAZ26" s="148"/>
      <c r="BBA26" s="148"/>
      <c r="BBB26" s="148"/>
      <c r="BBC26" s="148"/>
      <c r="BBD26" s="148"/>
      <c r="BBE26" s="148"/>
      <c r="BBF26" s="148"/>
      <c r="BBG26" s="148"/>
      <c r="BBH26" s="148"/>
      <c r="BBI26" s="148"/>
      <c r="BBJ26" s="148"/>
      <c r="BBK26" s="148"/>
      <c r="BBL26" s="148"/>
      <c r="BBM26" s="148"/>
      <c r="BBN26" s="148"/>
      <c r="BBO26" s="148"/>
      <c r="BBP26" s="148"/>
      <c r="BBQ26" s="148"/>
      <c r="BBR26" s="148"/>
      <c r="BBS26" s="148"/>
      <c r="BBT26" s="148"/>
      <c r="BBU26" s="148"/>
      <c r="BBV26" s="148"/>
      <c r="BBW26" s="148"/>
      <c r="BBX26" s="148"/>
      <c r="BBY26" s="148"/>
      <c r="BBZ26" s="148"/>
      <c r="BCA26" s="148"/>
      <c r="BCB26" s="148"/>
      <c r="BCC26" s="148"/>
      <c r="BCD26" s="148"/>
      <c r="BCE26" s="148"/>
      <c r="BCF26" s="148"/>
      <c r="BCG26" s="148"/>
      <c r="BCH26" s="148"/>
      <c r="BCI26" s="148"/>
      <c r="BCJ26" s="148"/>
      <c r="BCK26" s="148"/>
      <c r="BCL26" s="148"/>
      <c r="BCM26" s="148"/>
      <c r="BCN26" s="148"/>
      <c r="BCO26" s="148"/>
      <c r="BCP26" s="148"/>
      <c r="BCQ26" s="148"/>
      <c r="BCR26" s="148"/>
      <c r="BCS26" s="148"/>
      <c r="BCT26" s="148"/>
      <c r="BCU26" s="148"/>
      <c r="BCV26" s="148"/>
      <c r="BCW26" s="148"/>
      <c r="BCX26" s="148"/>
      <c r="BCY26" s="148"/>
      <c r="BCZ26" s="148"/>
      <c r="BDA26" s="148"/>
      <c r="BDB26" s="148"/>
      <c r="BDC26" s="148"/>
      <c r="BDD26" s="148"/>
      <c r="BDE26" s="148"/>
      <c r="BDF26" s="148"/>
      <c r="BDG26" s="148"/>
      <c r="BDH26" s="148"/>
      <c r="BDI26" s="148"/>
      <c r="BDJ26" s="148"/>
      <c r="BDK26" s="148"/>
      <c r="BDL26" s="148"/>
      <c r="BDM26" s="148"/>
      <c r="BDN26" s="148"/>
      <c r="BDO26" s="148"/>
      <c r="BDP26" s="148"/>
      <c r="BDQ26" s="148"/>
      <c r="BDR26" s="148"/>
      <c r="BDS26" s="148"/>
      <c r="BDT26" s="148"/>
      <c r="BDU26" s="148"/>
      <c r="BDV26" s="148"/>
      <c r="BDW26" s="148"/>
      <c r="BDX26" s="148"/>
      <c r="BDY26" s="148"/>
      <c r="BDZ26" s="148"/>
      <c r="BEA26" s="148"/>
      <c r="BEB26" s="148"/>
      <c r="BEC26" s="148"/>
      <c r="BED26" s="148"/>
      <c r="BEE26" s="148"/>
      <c r="BEF26" s="148"/>
      <c r="BEG26" s="148"/>
      <c r="BEH26" s="148"/>
      <c r="BEI26" s="148"/>
      <c r="BEJ26" s="148"/>
      <c r="BEK26" s="148"/>
      <c r="BEL26" s="148"/>
      <c r="BEM26" s="148"/>
      <c r="BEN26" s="148"/>
      <c r="BEO26" s="148"/>
      <c r="BEP26" s="148"/>
      <c r="BEQ26" s="148"/>
      <c r="BER26" s="148"/>
      <c r="BES26" s="148"/>
      <c r="BET26" s="148"/>
      <c r="BEU26" s="148"/>
      <c r="BEV26" s="148"/>
      <c r="BEW26" s="148"/>
      <c r="BEX26" s="148"/>
      <c r="BEY26" s="148"/>
      <c r="BEZ26" s="148"/>
      <c r="BFA26" s="148"/>
      <c r="BFB26" s="148"/>
      <c r="BFC26" s="148"/>
      <c r="BFD26" s="148"/>
      <c r="BFE26" s="148"/>
      <c r="BFF26" s="148"/>
      <c r="BFG26" s="148"/>
      <c r="BFH26" s="148"/>
      <c r="BFI26" s="148"/>
      <c r="BFJ26" s="148"/>
      <c r="BFK26" s="148"/>
      <c r="BFL26" s="148"/>
      <c r="BFM26" s="148"/>
      <c r="BFN26" s="148"/>
      <c r="BFO26" s="148"/>
      <c r="BFP26" s="148"/>
      <c r="BFQ26" s="148"/>
      <c r="BFR26" s="148"/>
      <c r="BFS26" s="148"/>
      <c r="BFT26" s="148"/>
      <c r="BFU26" s="148"/>
      <c r="BFV26" s="148"/>
      <c r="BFW26" s="148"/>
      <c r="BFX26" s="148"/>
      <c r="BFY26" s="148"/>
      <c r="BFZ26" s="148"/>
      <c r="BGA26" s="148"/>
      <c r="BGB26" s="148"/>
      <c r="BGC26" s="148"/>
      <c r="BGD26" s="148"/>
      <c r="BGE26" s="148"/>
      <c r="BGF26" s="148"/>
      <c r="BGG26" s="148"/>
      <c r="BGH26" s="148"/>
      <c r="BGI26" s="148"/>
      <c r="BGJ26" s="148"/>
      <c r="BGK26" s="148"/>
      <c r="BGL26" s="148"/>
      <c r="BGM26" s="148"/>
      <c r="BGN26" s="148"/>
      <c r="BGO26" s="148"/>
      <c r="BGP26" s="148"/>
      <c r="BGQ26" s="148"/>
      <c r="BGR26" s="148"/>
      <c r="BGS26" s="148"/>
      <c r="BGT26" s="148"/>
      <c r="BGU26" s="148"/>
      <c r="BGV26" s="148"/>
      <c r="BGW26" s="148"/>
      <c r="BGX26" s="148"/>
      <c r="BGY26" s="148"/>
      <c r="BGZ26" s="148"/>
      <c r="BHA26" s="148"/>
      <c r="BHB26" s="148"/>
      <c r="BHC26" s="148"/>
      <c r="BHD26" s="148"/>
      <c r="BHE26" s="148"/>
      <c r="BHF26" s="148"/>
      <c r="BHG26" s="148"/>
      <c r="BHH26" s="148"/>
      <c r="BHI26" s="148"/>
      <c r="BHJ26" s="148"/>
      <c r="BHK26" s="148"/>
      <c r="BHL26" s="148"/>
      <c r="BHM26" s="148"/>
      <c r="BHN26" s="148"/>
      <c r="BHO26" s="148"/>
      <c r="BHP26" s="148"/>
      <c r="BHQ26" s="148"/>
      <c r="BHR26" s="148"/>
      <c r="BHS26" s="148"/>
      <c r="BHT26" s="148"/>
      <c r="BHU26" s="148"/>
      <c r="BHV26" s="148"/>
      <c r="BHW26" s="148"/>
      <c r="BHX26" s="148"/>
      <c r="BHY26" s="148"/>
      <c r="BHZ26" s="148"/>
      <c r="BIA26" s="148"/>
      <c r="BIB26" s="148"/>
      <c r="BIC26" s="148"/>
      <c r="BID26" s="148"/>
      <c r="BIE26" s="148"/>
      <c r="BIF26" s="148"/>
      <c r="BIG26" s="148"/>
      <c r="BIH26" s="148"/>
      <c r="BII26" s="148"/>
      <c r="BIJ26" s="148"/>
      <c r="BIK26" s="148"/>
      <c r="BIL26" s="148"/>
      <c r="BIM26" s="148"/>
      <c r="BIN26" s="148"/>
      <c r="BIO26" s="148"/>
      <c r="BIP26" s="148"/>
      <c r="BIQ26" s="148"/>
      <c r="BIR26" s="148"/>
      <c r="BIS26" s="148"/>
      <c r="BIT26" s="148"/>
      <c r="BIU26" s="148"/>
      <c r="BIV26" s="148"/>
      <c r="BIW26" s="148"/>
      <c r="BIX26" s="148"/>
      <c r="BIY26" s="148"/>
      <c r="BIZ26" s="148"/>
      <c r="BJA26" s="148"/>
      <c r="BJB26" s="148"/>
      <c r="BJC26" s="148"/>
      <c r="BJD26" s="148"/>
      <c r="BJE26" s="148"/>
      <c r="BJF26" s="148"/>
      <c r="BJG26" s="148"/>
      <c r="BJH26" s="148"/>
      <c r="BJI26" s="148"/>
      <c r="BJJ26" s="148"/>
      <c r="BJK26" s="148"/>
      <c r="BJL26" s="148"/>
      <c r="BJM26" s="148"/>
      <c r="BJN26" s="148"/>
      <c r="BJO26" s="148"/>
      <c r="BJP26" s="148"/>
      <c r="BJQ26" s="148"/>
      <c r="BJR26" s="148"/>
      <c r="BJS26" s="148"/>
      <c r="BJT26" s="148"/>
      <c r="BJU26" s="148"/>
      <c r="BJV26" s="148"/>
      <c r="BJW26" s="148"/>
      <c r="BJX26" s="148"/>
      <c r="BJY26" s="148"/>
      <c r="BJZ26" s="148"/>
      <c r="BKA26" s="148"/>
      <c r="BKB26" s="148"/>
      <c r="BKC26" s="148"/>
      <c r="BKD26" s="148"/>
      <c r="BKE26" s="148"/>
      <c r="BKF26" s="148"/>
      <c r="BKG26" s="148"/>
      <c r="BKH26" s="148"/>
      <c r="BKI26" s="148"/>
      <c r="BKJ26" s="148"/>
      <c r="BKK26" s="148"/>
      <c r="BKL26" s="148"/>
      <c r="BKM26" s="148"/>
      <c r="BKN26" s="148"/>
      <c r="BKO26" s="148"/>
      <c r="BKP26" s="148"/>
      <c r="BKQ26" s="148"/>
      <c r="BKR26" s="148"/>
      <c r="BKS26" s="148"/>
      <c r="BKT26" s="148"/>
      <c r="BKU26" s="148"/>
      <c r="BKV26" s="148"/>
      <c r="BKW26" s="148"/>
      <c r="BKX26" s="148"/>
      <c r="BKY26" s="148"/>
      <c r="BKZ26" s="148"/>
      <c r="BLA26" s="148"/>
      <c r="BLB26" s="148"/>
      <c r="BLC26" s="148"/>
      <c r="BLD26" s="148"/>
      <c r="BLE26" s="148"/>
      <c r="BLF26" s="148"/>
      <c r="BLG26" s="148"/>
      <c r="BLH26" s="148"/>
      <c r="BLI26" s="148"/>
      <c r="BLJ26" s="148"/>
      <c r="BLK26" s="148"/>
      <c r="BLL26" s="148"/>
      <c r="BLM26" s="148"/>
      <c r="BLN26" s="148"/>
      <c r="BLO26" s="148"/>
      <c r="BLP26" s="148"/>
      <c r="BLQ26" s="148"/>
      <c r="BLR26" s="148"/>
      <c r="BLS26" s="148"/>
      <c r="BLT26" s="148"/>
      <c r="BLU26" s="148"/>
      <c r="BLV26" s="148"/>
      <c r="BLW26" s="148"/>
      <c r="BLX26" s="148"/>
      <c r="BLY26" s="148"/>
      <c r="BLZ26" s="148"/>
      <c r="BMA26" s="148"/>
      <c r="BMB26" s="148"/>
      <c r="BMC26" s="148"/>
      <c r="BMD26" s="148"/>
      <c r="BME26" s="148"/>
      <c r="BMF26" s="148"/>
      <c r="BMG26" s="148"/>
      <c r="BMH26" s="148"/>
      <c r="BMI26" s="148"/>
      <c r="BMJ26" s="148"/>
      <c r="BMK26" s="148"/>
      <c r="BML26" s="148"/>
      <c r="BMM26" s="148"/>
      <c r="BMN26" s="148"/>
      <c r="BMO26" s="148"/>
      <c r="BMP26" s="148"/>
      <c r="BMQ26" s="148"/>
      <c r="BMR26" s="148"/>
      <c r="BMS26" s="148"/>
      <c r="BMT26" s="148"/>
      <c r="BMU26" s="148"/>
      <c r="BMV26" s="148"/>
      <c r="BMW26" s="148"/>
      <c r="BMX26" s="148"/>
      <c r="BMY26" s="148"/>
      <c r="BMZ26" s="148"/>
      <c r="BNA26" s="148"/>
      <c r="BNB26" s="148"/>
      <c r="BNC26" s="148"/>
      <c r="BND26" s="148"/>
      <c r="BNE26" s="148"/>
      <c r="BNF26" s="148"/>
      <c r="BNG26" s="148"/>
      <c r="BNH26" s="148"/>
      <c r="BNI26" s="148"/>
      <c r="BNJ26" s="148"/>
      <c r="BNK26" s="148"/>
      <c r="BNL26" s="148"/>
      <c r="BNM26" s="148"/>
      <c r="BNN26" s="148"/>
      <c r="BNO26" s="148"/>
      <c r="BNP26" s="148"/>
      <c r="BNQ26" s="148"/>
      <c r="BNR26" s="148"/>
      <c r="BNS26" s="148"/>
      <c r="BNT26" s="148"/>
      <c r="BNU26" s="148"/>
      <c r="BNV26" s="148"/>
      <c r="BNW26" s="148"/>
      <c r="BNX26" s="148"/>
      <c r="BNY26" s="148"/>
      <c r="BNZ26" s="148"/>
      <c r="BOA26" s="148"/>
      <c r="BOB26" s="148"/>
      <c r="BOC26" s="148"/>
      <c r="BOD26" s="148"/>
      <c r="BOE26" s="148"/>
      <c r="BOF26" s="148"/>
      <c r="BOG26" s="148"/>
      <c r="BOH26" s="148"/>
      <c r="BOI26" s="148"/>
      <c r="BOJ26" s="148"/>
      <c r="BOK26" s="148"/>
      <c r="BOL26" s="148"/>
      <c r="BOM26" s="148"/>
      <c r="BON26" s="148"/>
      <c r="BOO26" s="148"/>
      <c r="BOP26" s="148"/>
      <c r="BOQ26" s="148"/>
      <c r="BOR26" s="148"/>
      <c r="BOS26" s="148"/>
      <c r="BOT26" s="148"/>
      <c r="BOU26" s="148"/>
      <c r="BOV26" s="148"/>
      <c r="BOW26" s="148"/>
      <c r="BOX26" s="148"/>
      <c r="BOY26" s="148"/>
      <c r="BOZ26" s="148"/>
      <c r="BPA26" s="148"/>
      <c r="BPB26" s="148"/>
      <c r="BPC26" s="148"/>
      <c r="BPD26" s="148"/>
      <c r="BPE26" s="148"/>
      <c r="BPF26" s="148"/>
      <c r="BPG26" s="148"/>
      <c r="BPH26" s="148"/>
      <c r="BPI26" s="148"/>
      <c r="BPJ26" s="148"/>
      <c r="BPK26" s="148"/>
      <c r="BPL26" s="148"/>
      <c r="BPM26" s="148"/>
      <c r="BPN26" s="148"/>
      <c r="BPO26" s="148"/>
      <c r="BPP26" s="148"/>
      <c r="BPQ26" s="148"/>
      <c r="BPR26" s="148"/>
      <c r="BPS26" s="148"/>
      <c r="BPT26" s="148"/>
      <c r="BPU26" s="148"/>
      <c r="BPV26" s="148"/>
      <c r="BPW26" s="148"/>
      <c r="BPX26" s="148"/>
      <c r="BPY26" s="148"/>
      <c r="BPZ26" s="148"/>
      <c r="BQA26" s="148"/>
      <c r="BQB26" s="148"/>
      <c r="BQC26" s="148"/>
      <c r="BQD26" s="148"/>
      <c r="BQE26" s="148"/>
      <c r="BQF26" s="148"/>
      <c r="BQG26" s="148"/>
      <c r="BQH26" s="148"/>
      <c r="BQI26" s="148"/>
      <c r="BQJ26" s="148"/>
      <c r="BQK26" s="148"/>
      <c r="BQL26" s="148"/>
      <c r="BQM26" s="148"/>
      <c r="BQN26" s="148"/>
      <c r="BQO26" s="148"/>
      <c r="BQP26" s="148"/>
      <c r="BQQ26" s="148"/>
      <c r="BQR26" s="148"/>
      <c r="BQS26" s="148"/>
      <c r="BQT26" s="148"/>
      <c r="BQU26" s="148"/>
      <c r="BQV26" s="148"/>
      <c r="BQW26" s="148"/>
      <c r="BQX26" s="148"/>
      <c r="BQY26" s="148"/>
      <c r="BQZ26" s="148"/>
      <c r="BRA26" s="148"/>
      <c r="BRB26" s="148"/>
      <c r="BRC26" s="148"/>
      <c r="BRD26" s="148"/>
      <c r="BRE26" s="148"/>
      <c r="BRF26" s="148"/>
      <c r="BRG26" s="148"/>
      <c r="BRH26" s="148"/>
      <c r="BRI26" s="148"/>
      <c r="BRJ26" s="148"/>
      <c r="BRK26" s="148"/>
      <c r="BRL26" s="148"/>
      <c r="BRM26" s="148"/>
      <c r="BRN26" s="148"/>
      <c r="BRO26" s="148"/>
      <c r="BRP26" s="148"/>
      <c r="BRQ26" s="148"/>
      <c r="BRR26" s="148"/>
      <c r="BRS26" s="148"/>
      <c r="BRT26" s="148"/>
      <c r="BRU26" s="148"/>
      <c r="BRV26" s="148"/>
      <c r="BRW26" s="148"/>
      <c r="BRX26" s="148"/>
      <c r="BRY26" s="148"/>
      <c r="BRZ26" s="148"/>
      <c r="BSA26" s="148"/>
      <c r="BSB26" s="148"/>
      <c r="BSC26" s="148"/>
      <c r="BSD26" s="148"/>
      <c r="BSE26" s="148"/>
      <c r="BSF26" s="148"/>
      <c r="BSG26" s="148"/>
      <c r="BSH26" s="148"/>
      <c r="BSI26" s="148"/>
      <c r="BSJ26" s="148"/>
      <c r="BSK26" s="148"/>
      <c r="BSL26" s="148"/>
      <c r="BSM26" s="148"/>
      <c r="BSN26" s="148"/>
      <c r="BSO26" s="148"/>
      <c r="BSP26" s="148"/>
      <c r="BSQ26" s="148"/>
      <c r="BSR26" s="148"/>
      <c r="BSS26" s="148"/>
      <c r="BST26" s="148"/>
      <c r="BSU26" s="148"/>
      <c r="BSV26" s="148"/>
      <c r="BSW26" s="148"/>
      <c r="BSX26" s="148"/>
      <c r="BSY26" s="148"/>
      <c r="BSZ26" s="148"/>
      <c r="BTA26" s="148"/>
      <c r="BTB26" s="148"/>
      <c r="BTC26" s="148"/>
      <c r="BTD26" s="148"/>
      <c r="BTE26" s="148"/>
      <c r="BTF26" s="148"/>
      <c r="BTG26" s="148"/>
      <c r="BTH26" s="148"/>
      <c r="BTI26" s="148"/>
      <c r="BTJ26" s="148"/>
      <c r="BTK26" s="148"/>
      <c r="BTL26" s="148"/>
      <c r="BTM26" s="148"/>
      <c r="BTN26" s="148"/>
      <c r="BTO26" s="148"/>
      <c r="BTP26" s="148"/>
      <c r="BTQ26" s="148"/>
      <c r="BTR26" s="148"/>
      <c r="BTS26" s="148"/>
      <c r="BTT26" s="148"/>
      <c r="BTU26" s="148"/>
      <c r="BTV26" s="148"/>
      <c r="BTW26" s="148"/>
      <c r="BTX26" s="148"/>
      <c r="BTY26" s="148"/>
      <c r="BTZ26" s="148"/>
      <c r="BUA26" s="148"/>
      <c r="BUB26" s="148"/>
      <c r="BUC26" s="148"/>
      <c r="BUD26" s="148"/>
      <c r="BUE26" s="148"/>
      <c r="BUF26" s="148"/>
      <c r="BUG26" s="148"/>
      <c r="BUH26" s="148"/>
      <c r="BUI26" s="148"/>
      <c r="BUJ26" s="148"/>
      <c r="BUK26" s="148"/>
      <c r="BUL26" s="148"/>
      <c r="BUM26" s="148"/>
      <c r="BUN26" s="148"/>
      <c r="BUO26" s="148"/>
      <c r="BUP26" s="148"/>
      <c r="BUQ26" s="148"/>
      <c r="BUR26" s="148"/>
      <c r="BUS26" s="148"/>
      <c r="BUT26" s="148"/>
      <c r="BUU26" s="148"/>
      <c r="BUV26" s="148"/>
      <c r="BUW26" s="148"/>
      <c r="BUX26" s="148"/>
      <c r="BUY26" s="148"/>
      <c r="BUZ26" s="148"/>
      <c r="BVA26" s="148"/>
      <c r="BVB26" s="148"/>
      <c r="BVC26" s="148"/>
      <c r="BVD26" s="148"/>
      <c r="BVE26" s="148"/>
      <c r="BVF26" s="148"/>
      <c r="BVG26" s="148"/>
      <c r="BVH26" s="148"/>
      <c r="BVI26" s="148"/>
      <c r="BVJ26" s="148"/>
      <c r="BVK26" s="148"/>
      <c r="BVL26" s="148"/>
      <c r="BVM26" s="148"/>
      <c r="BVN26" s="148"/>
      <c r="BVO26" s="148"/>
      <c r="BVP26" s="148"/>
      <c r="BVQ26" s="148"/>
      <c r="BVR26" s="148"/>
      <c r="BVS26" s="148"/>
      <c r="BVT26" s="148"/>
      <c r="BVU26" s="148"/>
      <c r="BVV26" s="148"/>
      <c r="BVW26" s="148"/>
      <c r="BVX26" s="148"/>
      <c r="BVY26" s="148"/>
      <c r="BVZ26" s="148"/>
      <c r="BWA26" s="148"/>
      <c r="BWB26" s="148"/>
      <c r="BWC26" s="148"/>
      <c r="BWD26" s="148"/>
      <c r="BWE26" s="148"/>
      <c r="BWF26" s="148"/>
      <c r="BWG26" s="148"/>
      <c r="BWH26" s="148"/>
      <c r="BWI26" s="148"/>
      <c r="BWJ26" s="148"/>
      <c r="BWK26" s="148"/>
      <c r="BWL26" s="148"/>
      <c r="BWM26" s="148"/>
      <c r="BWN26" s="148"/>
      <c r="BWO26" s="148"/>
      <c r="BWP26" s="148"/>
      <c r="BWQ26" s="148"/>
      <c r="BWR26" s="148"/>
      <c r="BWS26" s="148"/>
      <c r="BWT26" s="148"/>
      <c r="BWU26" s="148"/>
      <c r="BWV26" s="148"/>
      <c r="BWW26" s="148"/>
      <c r="BWX26" s="148"/>
      <c r="BWY26" s="148"/>
      <c r="BWZ26" s="148"/>
      <c r="BXA26" s="148"/>
      <c r="BXB26" s="148"/>
      <c r="BXC26" s="148"/>
      <c r="BXD26" s="148"/>
      <c r="BXE26" s="148"/>
      <c r="BXF26" s="148"/>
      <c r="BXG26" s="148"/>
      <c r="BXH26" s="148"/>
      <c r="BXI26" s="148"/>
      <c r="BXJ26" s="148"/>
      <c r="BXK26" s="148"/>
      <c r="BXL26" s="148"/>
      <c r="BXM26" s="148"/>
      <c r="BXN26" s="148"/>
      <c r="BXO26" s="148"/>
      <c r="BXP26" s="148"/>
      <c r="BXQ26" s="148"/>
      <c r="BXR26" s="148"/>
      <c r="BXS26" s="148"/>
      <c r="BXT26" s="148"/>
      <c r="BXU26" s="148"/>
      <c r="BXV26" s="148"/>
      <c r="BXW26" s="148"/>
      <c r="BXX26" s="148"/>
      <c r="BXY26" s="148"/>
      <c r="BXZ26" s="148"/>
      <c r="BYA26" s="148"/>
      <c r="BYB26" s="148"/>
      <c r="BYC26" s="148"/>
      <c r="BYD26" s="148"/>
      <c r="BYE26" s="148"/>
      <c r="BYF26" s="148"/>
      <c r="BYG26" s="148"/>
      <c r="BYH26" s="148"/>
      <c r="BYI26" s="148"/>
      <c r="BYJ26" s="148"/>
      <c r="BYK26" s="148"/>
      <c r="BYL26" s="148"/>
      <c r="BYM26" s="148"/>
      <c r="BYN26" s="148"/>
      <c r="BYO26" s="148"/>
      <c r="BYP26" s="148"/>
      <c r="BYQ26" s="148"/>
      <c r="BYR26" s="148"/>
      <c r="BYS26" s="148"/>
      <c r="BYT26" s="148"/>
      <c r="BYU26" s="148"/>
      <c r="BYV26" s="148"/>
      <c r="BYW26" s="148"/>
      <c r="BYX26" s="148"/>
      <c r="BYY26" s="148"/>
      <c r="BYZ26" s="148"/>
      <c r="BZA26" s="148"/>
      <c r="BZB26" s="148"/>
      <c r="BZC26" s="148"/>
      <c r="BZD26" s="148"/>
      <c r="BZE26" s="148"/>
      <c r="BZF26" s="148"/>
      <c r="BZG26" s="148"/>
      <c r="BZH26" s="148"/>
      <c r="BZI26" s="148"/>
      <c r="BZJ26" s="148"/>
      <c r="BZK26" s="148"/>
      <c r="BZL26" s="148"/>
      <c r="BZM26" s="148"/>
      <c r="BZN26" s="148"/>
      <c r="BZO26" s="148"/>
      <c r="BZP26" s="148"/>
      <c r="BZQ26" s="148"/>
      <c r="BZR26" s="148"/>
      <c r="BZS26" s="148"/>
      <c r="BZT26" s="148"/>
      <c r="BZU26" s="148"/>
      <c r="BZV26" s="148"/>
      <c r="BZW26" s="148"/>
      <c r="BZX26" s="148"/>
      <c r="BZY26" s="148"/>
      <c r="BZZ26" s="148"/>
      <c r="CAA26" s="148"/>
      <c r="CAB26" s="148"/>
      <c r="CAC26" s="148"/>
      <c r="CAD26" s="148"/>
      <c r="CAE26" s="148"/>
      <c r="CAF26" s="148"/>
      <c r="CAG26" s="148"/>
      <c r="CAH26" s="148"/>
      <c r="CAI26" s="148"/>
      <c r="CAJ26" s="148"/>
      <c r="CAK26" s="148"/>
      <c r="CAL26" s="148"/>
      <c r="CAM26" s="148"/>
      <c r="CAN26" s="148"/>
      <c r="CAO26" s="148"/>
      <c r="CAP26" s="148"/>
      <c r="CAQ26" s="148"/>
      <c r="CAR26" s="148"/>
      <c r="CAS26" s="148"/>
      <c r="CAT26" s="148"/>
      <c r="CAU26" s="148"/>
      <c r="CAV26" s="148"/>
      <c r="CAW26" s="148"/>
      <c r="CAX26" s="148"/>
      <c r="CAY26" s="148"/>
      <c r="CAZ26" s="148"/>
      <c r="CBA26" s="148"/>
      <c r="CBB26" s="148"/>
      <c r="CBC26" s="148"/>
      <c r="CBD26" s="148"/>
      <c r="CBE26" s="148"/>
      <c r="CBF26" s="148"/>
      <c r="CBG26" s="148"/>
      <c r="CBH26" s="148"/>
      <c r="CBI26" s="148"/>
      <c r="CBJ26" s="148"/>
      <c r="CBK26" s="148"/>
      <c r="CBL26" s="148"/>
      <c r="CBM26" s="148"/>
      <c r="CBN26" s="148"/>
      <c r="CBO26" s="148"/>
      <c r="CBP26" s="148"/>
      <c r="CBQ26" s="148"/>
      <c r="CBR26" s="148"/>
      <c r="CBS26" s="148"/>
      <c r="CBT26" s="148"/>
      <c r="CBU26" s="148"/>
      <c r="CBV26" s="148"/>
      <c r="CBW26" s="148"/>
      <c r="CBX26" s="148"/>
      <c r="CBY26" s="148"/>
      <c r="CBZ26" s="148"/>
      <c r="CCA26" s="148"/>
      <c r="CCB26" s="148"/>
      <c r="CCC26" s="148"/>
      <c r="CCD26" s="148"/>
      <c r="CCE26" s="148"/>
      <c r="CCF26" s="148"/>
      <c r="CCG26" s="148"/>
      <c r="CCH26" s="148"/>
      <c r="CCI26" s="148"/>
      <c r="CCJ26" s="148"/>
      <c r="CCK26" s="148"/>
      <c r="CCL26" s="148"/>
      <c r="CCM26" s="148"/>
      <c r="CCN26" s="148"/>
      <c r="CCO26" s="148"/>
      <c r="CCP26" s="148"/>
      <c r="CCQ26" s="148"/>
      <c r="CCR26" s="148"/>
      <c r="CCS26" s="148"/>
      <c r="CCT26" s="148"/>
      <c r="CCU26" s="148"/>
      <c r="CCV26" s="148"/>
      <c r="CCW26" s="148"/>
      <c r="CCX26" s="148"/>
      <c r="CCY26" s="148"/>
      <c r="CCZ26" s="148"/>
      <c r="CDA26" s="148"/>
      <c r="CDB26" s="148"/>
      <c r="CDC26" s="148"/>
      <c r="CDD26" s="148"/>
      <c r="CDE26" s="148"/>
      <c r="CDF26" s="148"/>
      <c r="CDG26" s="148"/>
      <c r="CDH26" s="148"/>
      <c r="CDI26" s="148"/>
      <c r="CDJ26" s="148"/>
      <c r="CDK26" s="148"/>
      <c r="CDL26" s="148"/>
      <c r="CDM26" s="148"/>
      <c r="CDN26" s="148"/>
      <c r="CDO26" s="148"/>
      <c r="CDP26" s="148"/>
      <c r="CDQ26" s="148"/>
      <c r="CDR26" s="148"/>
      <c r="CDS26" s="148"/>
      <c r="CDT26" s="148"/>
      <c r="CDU26" s="148"/>
      <c r="CDV26" s="148"/>
      <c r="CDW26" s="148"/>
      <c r="CDX26" s="148"/>
      <c r="CDY26" s="148"/>
      <c r="CDZ26" s="148"/>
      <c r="CEA26" s="148"/>
      <c r="CEB26" s="148"/>
      <c r="CEC26" s="148"/>
      <c r="CED26" s="148"/>
      <c r="CEE26" s="148"/>
      <c r="CEF26" s="148"/>
      <c r="CEG26" s="148"/>
      <c r="CEH26" s="148"/>
      <c r="CEI26" s="148"/>
      <c r="CEJ26" s="148"/>
      <c r="CEK26" s="148"/>
      <c r="CEL26" s="148"/>
      <c r="CEM26" s="148"/>
      <c r="CEN26" s="148"/>
      <c r="CEO26" s="148"/>
      <c r="CEP26" s="148"/>
      <c r="CEQ26" s="148"/>
      <c r="CER26" s="148"/>
      <c r="CES26" s="148"/>
      <c r="CET26" s="148"/>
      <c r="CEU26" s="148"/>
      <c r="CEV26" s="148"/>
      <c r="CEW26" s="148"/>
      <c r="CEX26" s="148"/>
      <c r="CEY26" s="148"/>
      <c r="CEZ26" s="148"/>
      <c r="CFA26" s="148"/>
      <c r="CFB26" s="148"/>
      <c r="CFC26" s="148"/>
      <c r="CFD26" s="148"/>
      <c r="CFE26" s="148"/>
      <c r="CFF26" s="148"/>
      <c r="CFG26" s="148"/>
      <c r="CFH26" s="148"/>
      <c r="CFI26" s="148"/>
      <c r="CFJ26" s="148"/>
      <c r="CFK26" s="148"/>
      <c r="CFL26" s="148"/>
      <c r="CFM26" s="148"/>
      <c r="CFN26" s="148"/>
      <c r="CFO26" s="148"/>
      <c r="CFP26" s="148"/>
      <c r="CFQ26" s="148"/>
      <c r="CFR26" s="148"/>
      <c r="CFS26" s="148"/>
      <c r="CFT26" s="148"/>
      <c r="CFU26" s="148"/>
      <c r="CFV26" s="148"/>
      <c r="CFW26" s="148"/>
      <c r="CFX26" s="148"/>
      <c r="CFY26" s="148"/>
      <c r="CFZ26" s="148"/>
      <c r="CGA26" s="148"/>
      <c r="CGB26" s="148"/>
      <c r="CGC26" s="148"/>
      <c r="CGD26" s="148"/>
      <c r="CGE26" s="148"/>
      <c r="CGF26" s="148"/>
      <c r="CGG26" s="148"/>
      <c r="CGH26" s="148"/>
      <c r="CGI26" s="148"/>
      <c r="CGJ26" s="148"/>
      <c r="CGK26" s="148"/>
      <c r="CGL26" s="148"/>
      <c r="CGM26" s="148"/>
      <c r="CGN26" s="148"/>
      <c r="CGO26" s="148"/>
      <c r="CGP26" s="148"/>
      <c r="CGQ26" s="148"/>
      <c r="CGR26" s="148"/>
      <c r="CGS26" s="148"/>
      <c r="CGT26" s="148"/>
      <c r="CGU26" s="148"/>
      <c r="CGV26" s="148"/>
      <c r="CGW26" s="148"/>
      <c r="CGX26" s="148"/>
      <c r="CGY26" s="148"/>
      <c r="CGZ26" s="148"/>
      <c r="CHA26" s="148"/>
      <c r="CHB26" s="148"/>
      <c r="CHC26" s="148"/>
      <c r="CHD26" s="148"/>
      <c r="CHE26" s="148"/>
      <c r="CHF26" s="148"/>
      <c r="CHG26" s="148"/>
      <c r="CHH26" s="148"/>
      <c r="CHI26" s="148"/>
      <c r="CHJ26" s="148"/>
      <c r="CHK26" s="148"/>
      <c r="CHL26" s="148"/>
      <c r="CHM26" s="148"/>
      <c r="CHN26" s="148"/>
      <c r="CHO26" s="148"/>
      <c r="CHP26" s="148"/>
      <c r="CHQ26" s="148"/>
      <c r="CHR26" s="148"/>
      <c r="CHS26" s="148"/>
      <c r="CHT26" s="148"/>
      <c r="CHU26" s="148"/>
      <c r="CHV26" s="148"/>
      <c r="CHW26" s="148"/>
      <c r="CHX26" s="148"/>
      <c r="CHY26" s="148"/>
      <c r="CHZ26" s="148"/>
      <c r="CIA26" s="148"/>
      <c r="CIB26" s="148"/>
      <c r="CIC26" s="148"/>
      <c r="CID26" s="148"/>
      <c r="CIE26" s="148"/>
      <c r="CIF26" s="148"/>
      <c r="CIG26" s="148"/>
      <c r="CIH26" s="148"/>
      <c r="CII26" s="148"/>
      <c r="CIJ26" s="148"/>
      <c r="CIK26" s="148"/>
      <c r="CIL26" s="148"/>
      <c r="CIM26" s="148"/>
      <c r="CIN26" s="148"/>
      <c r="CIO26" s="148"/>
      <c r="CIP26" s="148"/>
      <c r="CIQ26" s="148"/>
      <c r="CIR26" s="148"/>
      <c r="CIS26" s="148"/>
      <c r="CIT26" s="148"/>
      <c r="CIU26" s="148"/>
      <c r="CIV26" s="148"/>
      <c r="CIW26" s="148"/>
      <c r="CIX26" s="148"/>
      <c r="CIY26" s="148"/>
      <c r="CIZ26" s="148"/>
      <c r="CJA26" s="148"/>
      <c r="CJB26" s="148"/>
      <c r="CJC26" s="148"/>
      <c r="CJD26" s="148"/>
      <c r="CJE26" s="148"/>
      <c r="CJF26" s="148"/>
      <c r="CJG26" s="148"/>
      <c r="CJH26" s="148"/>
      <c r="CJI26" s="148"/>
      <c r="CJJ26" s="148"/>
      <c r="CJK26" s="148"/>
      <c r="CJL26" s="148"/>
      <c r="CJM26" s="148"/>
      <c r="CJN26" s="148"/>
      <c r="CJO26" s="148"/>
      <c r="CJP26" s="148"/>
      <c r="CJQ26" s="148"/>
      <c r="CJR26" s="148"/>
      <c r="CJS26" s="148"/>
      <c r="CJT26" s="148"/>
      <c r="CJU26" s="148"/>
      <c r="CJV26" s="148"/>
      <c r="CJW26" s="148"/>
      <c r="CJX26" s="148"/>
      <c r="CJY26" s="148"/>
      <c r="CJZ26" s="148"/>
      <c r="CKA26" s="148"/>
      <c r="CKB26" s="148"/>
      <c r="CKC26" s="148"/>
      <c r="CKD26" s="148"/>
      <c r="CKE26" s="148"/>
      <c r="CKF26" s="148"/>
      <c r="CKG26" s="148"/>
      <c r="CKH26" s="148"/>
      <c r="CKI26" s="148"/>
      <c r="CKJ26" s="148"/>
      <c r="CKK26" s="148"/>
      <c r="CKL26" s="148"/>
      <c r="CKM26" s="148"/>
      <c r="CKN26" s="148"/>
      <c r="CKO26" s="148"/>
      <c r="CKP26" s="148"/>
      <c r="CKQ26" s="148"/>
      <c r="CKR26" s="148"/>
      <c r="CKS26" s="148"/>
      <c r="CKT26" s="148"/>
      <c r="CKU26" s="148"/>
      <c r="CKV26" s="148"/>
      <c r="CKW26" s="148"/>
      <c r="CKX26" s="148"/>
      <c r="CKY26" s="148"/>
      <c r="CKZ26" s="148"/>
      <c r="CLA26" s="148"/>
      <c r="CLB26" s="148"/>
      <c r="CLC26" s="148"/>
      <c r="CLD26" s="148"/>
      <c r="CLE26" s="148"/>
      <c r="CLF26" s="148"/>
      <c r="CLG26" s="148"/>
      <c r="CLH26" s="148"/>
      <c r="CLI26" s="148"/>
      <c r="CLJ26" s="148"/>
      <c r="CLK26" s="148"/>
      <c r="CLL26" s="148"/>
      <c r="CLM26" s="148"/>
      <c r="CLN26" s="148"/>
      <c r="CLO26" s="148"/>
      <c r="CLP26" s="148"/>
      <c r="CLQ26" s="148"/>
      <c r="CLR26" s="148"/>
      <c r="CLS26" s="148"/>
      <c r="CLT26" s="148"/>
      <c r="CLU26" s="148"/>
      <c r="CLV26" s="148"/>
      <c r="CLW26" s="148"/>
      <c r="CLX26" s="148"/>
      <c r="CLY26" s="148"/>
      <c r="CLZ26" s="148"/>
      <c r="CMA26" s="148"/>
      <c r="CMB26" s="148"/>
      <c r="CMC26" s="148"/>
      <c r="CMD26" s="148"/>
      <c r="CME26" s="148"/>
      <c r="CMF26" s="148"/>
      <c r="CMG26" s="148"/>
      <c r="CMH26" s="148"/>
      <c r="CMI26" s="148"/>
      <c r="CMJ26" s="148"/>
      <c r="CMK26" s="148"/>
      <c r="CML26" s="148"/>
      <c r="CMM26" s="148"/>
      <c r="CMN26" s="148"/>
      <c r="CMO26" s="148"/>
      <c r="CMP26" s="148"/>
      <c r="CMQ26" s="148"/>
      <c r="CMR26" s="148"/>
      <c r="CMS26" s="148"/>
      <c r="CMT26" s="148"/>
      <c r="CMU26" s="148"/>
      <c r="CMV26" s="148"/>
      <c r="CMW26" s="148"/>
      <c r="CMX26" s="148"/>
      <c r="CMY26" s="148"/>
      <c r="CMZ26" s="148"/>
      <c r="CNA26" s="148"/>
      <c r="CNB26" s="148"/>
      <c r="CNC26" s="148"/>
      <c r="CND26" s="148"/>
      <c r="CNE26" s="148"/>
      <c r="CNF26" s="148"/>
      <c r="CNG26" s="148"/>
      <c r="CNH26" s="148"/>
      <c r="CNI26" s="148"/>
      <c r="CNJ26" s="148"/>
      <c r="CNK26" s="148"/>
      <c r="CNL26" s="148"/>
      <c r="CNM26" s="148"/>
      <c r="CNN26" s="148"/>
      <c r="CNO26" s="148"/>
      <c r="CNP26" s="148"/>
      <c r="CNQ26" s="148"/>
      <c r="CNR26" s="148"/>
      <c r="CNS26" s="148"/>
      <c r="CNT26" s="148"/>
      <c r="CNU26" s="148"/>
      <c r="CNV26" s="148"/>
      <c r="CNW26" s="148"/>
      <c r="CNX26" s="148"/>
      <c r="CNY26" s="148"/>
      <c r="CNZ26" s="148"/>
      <c r="COA26" s="148"/>
      <c r="COB26" s="148"/>
      <c r="COC26" s="148"/>
      <c r="COD26" s="148"/>
      <c r="COE26" s="148"/>
      <c r="COF26" s="148"/>
      <c r="COG26" s="148"/>
      <c r="COH26" s="148"/>
      <c r="COI26" s="148"/>
      <c r="COJ26" s="148"/>
      <c r="COK26" s="148"/>
      <c r="COL26" s="148"/>
      <c r="COM26" s="148"/>
      <c r="CON26" s="148"/>
      <c r="COO26" s="148"/>
      <c r="COP26" s="148"/>
      <c r="COQ26" s="148"/>
      <c r="COR26" s="148"/>
      <c r="COS26" s="148"/>
      <c r="COT26" s="148"/>
      <c r="COU26" s="148"/>
      <c r="COV26" s="148"/>
      <c r="COW26" s="148"/>
      <c r="COX26" s="148"/>
      <c r="COY26" s="148"/>
      <c r="COZ26" s="148"/>
      <c r="CPA26" s="148"/>
      <c r="CPB26" s="148"/>
      <c r="CPC26" s="148"/>
      <c r="CPD26" s="148"/>
      <c r="CPE26" s="148"/>
      <c r="CPF26" s="148"/>
      <c r="CPG26" s="148"/>
      <c r="CPH26" s="148"/>
      <c r="CPI26" s="148"/>
      <c r="CPJ26" s="148"/>
      <c r="CPK26" s="148"/>
      <c r="CPL26" s="148"/>
      <c r="CPM26" s="148"/>
      <c r="CPN26" s="148"/>
      <c r="CPO26" s="148"/>
      <c r="CPP26" s="148"/>
      <c r="CPQ26" s="148"/>
      <c r="CPR26" s="148"/>
      <c r="CPS26" s="148"/>
      <c r="CPT26" s="148"/>
      <c r="CPU26" s="148"/>
      <c r="CPV26" s="148"/>
      <c r="CPW26" s="148"/>
      <c r="CPX26" s="148"/>
      <c r="CPY26" s="148"/>
      <c r="CPZ26" s="148"/>
      <c r="CQA26" s="148"/>
      <c r="CQB26" s="148"/>
      <c r="CQC26" s="148"/>
      <c r="CQD26" s="148"/>
      <c r="CQE26" s="148"/>
      <c r="CQF26" s="148"/>
      <c r="CQG26" s="148"/>
      <c r="CQH26" s="148"/>
      <c r="CQI26" s="148"/>
      <c r="CQJ26" s="148"/>
      <c r="CQK26" s="148"/>
      <c r="CQL26" s="148"/>
      <c r="CQM26" s="148"/>
      <c r="CQN26" s="148"/>
      <c r="CQO26" s="148"/>
      <c r="CQP26" s="148"/>
      <c r="CQQ26" s="148"/>
      <c r="CQR26" s="148"/>
      <c r="CQS26" s="148"/>
      <c r="CQT26" s="148"/>
      <c r="CQU26" s="148"/>
      <c r="CQV26" s="148"/>
      <c r="CQW26" s="148"/>
      <c r="CQX26" s="148"/>
      <c r="CQY26" s="148"/>
      <c r="CQZ26" s="148"/>
      <c r="CRA26" s="148"/>
      <c r="CRB26" s="148"/>
      <c r="CRC26" s="148"/>
      <c r="CRD26" s="148"/>
      <c r="CRE26" s="148"/>
      <c r="CRF26" s="148"/>
      <c r="CRG26" s="148"/>
      <c r="CRH26" s="148"/>
      <c r="CRI26" s="148"/>
      <c r="CRJ26" s="148"/>
      <c r="CRK26" s="148"/>
      <c r="CRL26" s="148"/>
      <c r="CRM26" s="148"/>
      <c r="CRN26" s="148"/>
      <c r="CRO26" s="148"/>
      <c r="CRP26" s="148"/>
      <c r="CRQ26" s="148"/>
      <c r="CRR26" s="148"/>
      <c r="CRS26" s="148"/>
      <c r="CRT26" s="148"/>
      <c r="CRU26" s="148"/>
      <c r="CRV26" s="148"/>
      <c r="CRW26" s="148"/>
      <c r="CRX26" s="148"/>
      <c r="CRY26" s="148"/>
      <c r="CRZ26" s="148"/>
      <c r="CSA26" s="148"/>
      <c r="CSB26" s="148"/>
      <c r="CSC26" s="148"/>
      <c r="CSD26" s="148"/>
      <c r="CSE26" s="148"/>
      <c r="CSF26" s="148"/>
      <c r="CSG26" s="148"/>
      <c r="CSH26" s="148"/>
      <c r="CSI26" s="148"/>
      <c r="CSJ26" s="148"/>
      <c r="CSK26" s="148"/>
      <c r="CSL26" s="148"/>
      <c r="CSM26" s="148"/>
      <c r="CSN26" s="148"/>
      <c r="CSO26" s="148"/>
      <c r="CSP26" s="148"/>
      <c r="CSQ26" s="148"/>
      <c r="CSR26" s="148"/>
      <c r="CSS26" s="148"/>
      <c r="CST26" s="148"/>
      <c r="CSU26" s="148"/>
      <c r="CSV26" s="148"/>
      <c r="CSW26" s="148"/>
      <c r="CSX26" s="148"/>
      <c r="CSY26" s="148"/>
      <c r="CSZ26" s="148"/>
      <c r="CTA26" s="148"/>
      <c r="CTB26" s="148"/>
      <c r="CTC26" s="148"/>
      <c r="CTD26" s="148"/>
      <c r="CTE26" s="148"/>
      <c r="CTF26" s="148"/>
      <c r="CTG26" s="148"/>
      <c r="CTH26" s="148"/>
      <c r="CTI26" s="148"/>
      <c r="CTJ26" s="148"/>
      <c r="CTK26" s="148"/>
      <c r="CTL26" s="148"/>
      <c r="CTM26" s="148"/>
      <c r="CTN26" s="148"/>
      <c r="CTO26" s="148"/>
      <c r="CTP26" s="148"/>
      <c r="CTQ26" s="148"/>
      <c r="CTR26" s="148"/>
      <c r="CTS26" s="148"/>
      <c r="CTT26" s="148"/>
      <c r="CTU26" s="148"/>
      <c r="CTV26" s="148"/>
      <c r="CTW26" s="148"/>
      <c r="CTX26" s="148"/>
      <c r="CTY26" s="148"/>
      <c r="CTZ26" s="148"/>
      <c r="CUA26" s="148"/>
      <c r="CUB26" s="148"/>
      <c r="CUC26" s="148"/>
      <c r="CUD26" s="148"/>
      <c r="CUE26" s="148"/>
      <c r="CUF26" s="148"/>
      <c r="CUG26" s="148"/>
      <c r="CUH26" s="148"/>
      <c r="CUI26" s="148"/>
      <c r="CUJ26" s="148"/>
      <c r="CUK26" s="148"/>
      <c r="CUL26" s="148"/>
      <c r="CUM26" s="148"/>
      <c r="CUN26" s="148"/>
      <c r="CUO26" s="148"/>
      <c r="CUP26" s="148"/>
      <c r="CUQ26" s="148"/>
      <c r="CUR26" s="148"/>
      <c r="CUS26" s="148"/>
      <c r="CUT26" s="148"/>
      <c r="CUU26" s="148"/>
      <c r="CUV26" s="148"/>
      <c r="CUW26" s="148"/>
      <c r="CUX26" s="148"/>
      <c r="CUY26" s="148"/>
      <c r="CUZ26" s="148"/>
      <c r="CVA26" s="148"/>
      <c r="CVB26" s="148"/>
      <c r="CVC26" s="148"/>
      <c r="CVD26" s="148"/>
      <c r="CVE26" s="148"/>
      <c r="CVF26" s="148"/>
      <c r="CVG26" s="148"/>
      <c r="CVH26" s="148"/>
      <c r="CVI26" s="148"/>
      <c r="CVJ26" s="148"/>
      <c r="CVK26" s="148"/>
      <c r="CVL26" s="148"/>
      <c r="CVM26" s="148"/>
      <c r="CVN26" s="148"/>
      <c r="CVO26" s="148"/>
      <c r="CVP26" s="148"/>
      <c r="CVQ26" s="148"/>
      <c r="CVR26" s="148"/>
      <c r="CVS26" s="148"/>
      <c r="CVT26" s="148"/>
      <c r="CVU26" s="148"/>
      <c r="CVV26" s="148"/>
      <c r="CVW26" s="148"/>
      <c r="CVX26" s="148"/>
      <c r="CVY26" s="148"/>
      <c r="CVZ26" s="148"/>
      <c r="CWA26" s="148"/>
      <c r="CWB26" s="148"/>
      <c r="CWC26" s="148"/>
      <c r="CWD26" s="148"/>
      <c r="CWE26" s="148"/>
      <c r="CWF26" s="148"/>
      <c r="CWG26" s="148"/>
      <c r="CWH26" s="148"/>
      <c r="CWI26" s="148"/>
      <c r="CWJ26" s="148"/>
      <c r="CWK26" s="148"/>
      <c r="CWL26" s="148"/>
      <c r="CWM26" s="148"/>
      <c r="CWN26" s="148"/>
      <c r="CWO26" s="148"/>
      <c r="CWP26" s="148"/>
      <c r="CWQ26" s="148"/>
      <c r="CWR26" s="148"/>
      <c r="CWS26" s="148"/>
      <c r="CWT26" s="148"/>
      <c r="CWU26" s="148"/>
      <c r="CWV26" s="148"/>
      <c r="CWW26" s="148"/>
      <c r="CWX26" s="148"/>
      <c r="CWY26" s="148"/>
      <c r="CWZ26" s="148"/>
      <c r="CXA26" s="148"/>
      <c r="CXB26" s="148"/>
      <c r="CXC26" s="148"/>
      <c r="CXD26" s="148"/>
      <c r="CXE26" s="148"/>
      <c r="CXF26" s="148"/>
      <c r="CXG26" s="148"/>
      <c r="CXH26" s="148"/>
      <c r="CXI26" s="148"/>
      <c r="CXJ26" s="148"/>
      <c r="CXK26" s="148"/>
      <c r="CXL26" s="148"/>
      <c r="CXM26" s="148"/>
      <c r="CXN26" s="148"/>
      <c r="CXO26" s="148"/>
      <c r="CXP26" s="148"/>
      <c r="CXQ26" s="148"/>
      <c r="CXR26" s="148"/>
      <c r="CXS26" s="148"/>
      <c r="CXT26" s="148"/>
      <c r="CXU26" s="148"/>
      <c r="CXV26" s="148"/>
      <c r="CXW26" s="148"/>
      <c r="CXX26" s="148"/>
      <c r="CXY26" s="148"/>
      <c r="CXZ26" s="148"/>
      <c r="CYA26" s="148"/>
      <c r="CYB26" s="148"/>
      <c r="CYC26" s="148"/>
      <c r="CYD26" s="148"/>
      <c r="CYE26" s="148"/>
      <c r="CYF26" s="148"/>
      <c r="CYG26" s="148"/>
      <c r="CYH26" s="148"/>
      <c r="CYI26" s="148"/>
      <c r="CYJ26" s="148"/>
      <c r="CYK26" s="148"/>
      <c r="CYL26" s="148"/>
      <c r="CYM26" s="148"/>
      <c r="CYN26" s="148"/>
      <c r="CYO26" s="148"/>
      <c r="CYP26" s="148"/>
      <c r="CYQ26" s="148"/>
      <c r="CYR26" s="148"/>
      <c r="CYS26" s="148"/>
      <c r="CYT26" s="148"/>
      <c r="CYU26" s="148"/>
      <c r="CYV26" s="148"/>
      <c r="CYW26" s="148"/>
      <c r="CYX26" s="148"/>
      <c r="CYY26" s="148"/>
      <c r="CYZ26" s="148"/>
      <c r="CZA26" s="148"/>
      <c r="CZB26" s="148"/>
      <c r="CZC26" s="148"/>
      <c r="CZD26" s="148"/>
      <c r="CZE26" s="148"/>
      <c r="CZF26" s="148"/>
      <c r="CZG26" s="148"/>
      <c r="CZH26" s="148"/>
      <c r="CZI26" s="148"/>
      <c r="CZJ26" s="148"/>
      <c r="CZK26" s="148"/>
      <c r="CZL26" s="148"/>
      <c r="CZM26" s="148"/>
      <c r="CZN26" s="148"/>
      <c r="CZO26" s="148"/>
      <c r="CZP26" s="148"/>
      <c r="CZQ26" s="148"/>
      <c r="CZR26" s="148"/>
      <c r="CZS26" s="148"/>
      <c r="CZT26" s="148"/>
      <c r="CZU26" s="148"/>
      <c r="CZV26" s="148"/>
      <c r="CZW26" s="148"/>
      <c r="CZX26" s="148"/>
      <c r="CZY26" s="148"/>
      <c r="CZZ26" s="148"/>
      <c r="DAA26" s="148"/>
      <c r="DAB26" s="148"/>
      <c r="DAC26" s="148"/>
      <c r="DAD26" s="148"/>
      <c r="DAE26" s="148"/>
      <c r="DAF26" s="148"/>
      <c r="DAG26" s="148"/>
      <c r="DAH26" s="148"/>
      <c r="DAI26" s="148"/>
      <c r="DAJ26" s="148"/>
      <c r="DAK26" s="148"/>
      <c r="DAL26" s="148"/>
      <c r="DAM26" s="148"/>
      <c r="DAN26" s="148"/>
      <c r="DAO26" s="148"/>
      <c r="DAP26" s="148"/>
      <c r="DAQ26" s="148"/>
      <c r="DAR26" s="148"/>
      <c r="DAS26" s="148"/>
      <c r="DAT26" s="148"/>
      <c r="DAU26" s="148"/>
      <c r="DAV26" s="148"/>
      <c r="DAW26" s="148"/>
      <c r="DAX26" s="148"/>
      <c r="DAY26" s="148"/>
      <c r="DAZ26" s="148"/>
      <c r="DBA26" s="148"/>
      <c r="DBB26" s="148"/>
      <c r="DBC26" s="148"/>
      <c r="DBD26" s="148"/>
      <c r="DBE26" s="148"/>
      <c r="DBF26" s="148"/>
      <c r="DBG26" s="148"/>
      <c r="DBH26" s="148"/>
      <c r="DBI26" s="148"/>
      <c r="DBJ26" s="148"/>
      <c r="DBK26" s="148"/>
      <c r="DBL26" s="148"/>
      <c r="DBM26" s="148"/>
      <c r="DBN26" s="148"/>
      <c r="DBO26" s="148"/>
      <c r="DBP26" s="148"/>
      <c r="DBQ26" s="148"/>
      <c r="DBR26" s="148"/>
      <c r="DBS26" s="148"/>
      <c r="DBT26" s="148"/>
      <c r="DBU26" s="148"/>
      <c r="DBV26" s="148"/>
      <c r="DBW26" s="148"/>
      <c r="DBX26" s="148"/>
      <c r="DBY26" s="148"/>
      <c r="DBZ26" s="148"/>
      <c r="DCA26" s="148"/>
      <c r="DCB26" s="148"/>
      <c r="DCC26" s="148"/>
      <c r="DCD26" s="148"/>
      <c r="DCE26" s="148"/>
      <c r="DCF26" s="148"/>
      <c r="DCG26" s="148"/>
      <c r="DCH26" s="148"/>
      <c r="DCI26" s="148"/>
      <c r="DCJ26" s="148"/>
      <c r="DCK26" s="148"/>
      <c r="DCL26" s="148"/>
      <c r="DCM26" s="148"/>
      <c r="DCN26" s="148"/>
      <c r="DCO26" s="148"/>
      <c r="DCP26" s="148"/>
      <c r="DCQ26" s="148"/>
      <c r="DCR26" s="148"/>
      <c r="DCS26" s="148"/>
      <c r="DCT26" s="148"/>
      <c r="DCU26" s="148"/>
      <c r="DCV26" s="148"/>
      <c r="DCW26" s="148"/>
      <c r="DCX26" s="148"/>
      <c r="DCY26" s="148"/>
      <c r="DCZ26" s="148"/>
      <c r="DDA26" s="148"/>
      <c r="DDB26" s="148"/>
      <c r="DDC26" s="148"/>
      <c r="DDD26" s="148"/>
      <c r="DDE26" s="148"/>
      <c r="DDF26" s="148"/>
      <c r="DDG26" s="148"/>
      <c r="DDH26" s="148"/>
      <c r="DDI26" s="148"/>
      <c r="DDJ26" s="148"/>
      <c r="DDK26" s="148"/>
      <c r="DDL26" s="148"/>
      <c r="DDM26" s="148"/>
      <c r="DDN26" s="148"/>
      <c r="DDO26" s="148"/>
      <c r="DDP26" s="148"/>
      <c r="DDQ26" s="148"/>
      <c r="DDR26" s="148"/>
      <c r="DDS26" s="148"/>
      <c r="DDT26" s="148"/>
      <c r="DDU26" s="148"/>
      <c r="DDV26" s="148"/>
      <c r="DDW26" s="148"/>
      <c r="DDX26" s="148"/>
      <c r="DDY26" s="148"/>
      <c r="DDZ26" s="148"/>
      <c r="DEA26" s="148"/>
      <c r="DEB26" s="148"/>
      <c r="DEC26" s="148"/>
      <c r="DED26" s="148"/>
      <c r="DEE26" s="148"/>
      <c r="DEF26" s="148"/>
      <c r="DEG26" s="148"/>
      <c r="DEH26" s="148"/>
      <c r="DEI26" s="148"/>
      <c r="DEJ26" s="148"/>
      <c r="DEK26" s="148"/>
      <c r="DEL26" s="148"/>
      <c r="DEM26" s="148"/>
      <c r="DEN26" s="148"/>
      <c r="DEO26" s="148"/>
      <c r="DEP26" s="148"/>
      <c r="DEQ26" s="148"/>
      <c r="DER26" s="148"/>
      <c r="DES26" s="148"/>
      <c r="DET26" s="148"/>
      <c r="DEU26" s="148"/>
      <c r="DEV26" s="148"/>
      <c r="DEW26" s="148"/>
      <c r="DEX26" s="148"/>
      <c r="DEY26" s="148"/>
      <c r="DEZ26" s="148"/>
      <c r="DFA26" s="148"/>
      <c r="DFB26" s="148"/>
      <c r="DFC26" s="148"/>
      <c r="DFD26" s="148"/>
      <c r="DFE26" s="148"/>
      <c r="DFF26" s="148"/>
      <c r="DFG26" s="148"/>
      <c r="DFH26" s="148"/>
      <c r="DFI26" s="148"/>
      <c r="DFJ26" s="148"/>
      <c r="DFK26" s="148"/>
      <c r="DFL26" s="148"/>
      <c r="DFM26" s="148"/>
      <c r="DFN26" s="148"/>
      <c r="DFO26" s="148"/>
      <c r="DFP26" s="148"/>
      <c r="DFQ26" s="148"/>
      <c r="DFR26" s="148"/>
      <c r="DFS26" s="148"/>
      <c r="DFT26" s="148"/>
      <c r="DFU26" s="148"/>
      <c r="DFV26" s="148"/>
      <c r="DFW26" s="148"/>
      <c r="DFX26" s="148"/>
      <c r="DFY26" s="148"/>
      <c r="DFZ26" s="148"/>
      <c r="DGA26" s="148"/>
      <c r="DGB26" s="148"/>
      <c r="DGC26" s="148"/>
      <c r="DGD26" s="148"/>
      <c r="DGE26" s="148"/>
      <c r="DGF26" s="148"/>
      <c r="DGG26" s="148"/>
      <c r="DGH26" s="148"/>
      <c r="DGI26" s="148"/>
      <c r="DGJ26" s="148"/>
      <c r="DGK26" s="148"/>
      <c r="DGL26" s="148"/>
      <c r="DGM26" s="148"/>
      <c r="DGN26" s="148"/>
      <c r="DGO26" s="148"/>
      <c r="DGP26" s="148"/>
      <c r="DGQ26" s="148"/>
      <c r="DGR26" s="148"/>
      <c r="DGS26" s="148"/>
      <c r="DGT26" s="148"/>
      <c r="DGU26" s="148"/>
      <c r="DGV26" s="148"/>
      <c r="DGW26" s="148"/>
      <c r="DGX26" s="148"/>
      <c r="DGY26" s="148"/>
      <c r="DGZ26" s="148"/>
      <c r="DHA26" s="148"/>
      <c r="DHB26" s="148"/>
      <c r="DHC26" s="148"/>
      <c r="DHD26" s="148"/>
      <c r="DHE26" s="148"/>
      <c r="DHF26" s="148"/>
      <c r="DHG26" s="148"/>
      <c r="DHH26" s="148"/>
      <c r="DHI26" s="148"/>
      <c r="DHJ26" s="148"/>
      <c r="DHK26" s="148"/>
      <c r="DHL26" s="148"/>
      <c r="DHM26" s="148"/>
      <c r="DHN26" s="148"/>
      <c r="DHO26" s="148"/>
      <c r="DHP26" s="148"/>
      <c r="DHQ26" s="148"/>
      <c r="DHR26" s="148"/>
      <c r="DHS26" s="148"/>
      <c r="DHT26" s="148"/>
      <c r="DHU26" s="148"/>
      <c r="DHV26" s="148"/>
      <c r="DHW26" s="148"/>
      <c r="DHX26" s="148"/>
      <c r="DHY26" s="148"/>
      <c r="DHZ26" s="148"/>
      <c r="DIA26" s="148"/>
      <c r="DIB26" s="148"/>
      <c r="DIC26" s="148"/>
      <c r="DID26" s="148"/>
      <c r="DIE26" s="148"/>
      <c r="DIF26" s="148"/>
      <c r="DIG26" s="148"/>
      <c r="DIH26" s="148"/>
      <c r="DII26" s="148"/>
      <c r="DIJ26" s="148"/>
      <c r="DIK26" s="148"/>
      <c r="DIL26" s="148"/>
      <c r="DIM26" s="148"/>
      <c r="DIN26" s="148"/>
      <c r="DIO26" s="148"/>
      <c r="DIP26" s="148"/>
      <c r="DIQ26" s="148"/>
      <c r="DIR26" s="148"/>
      <c r="DIS26" s="148"/>
      <c r="DIT26" s="148"/>
      <c r="DIU26" s="148"/>
      <c r="DIV26" s="148"/>
      <c r="DIW26" s="148"/>
      <c r="DIX26" s="148"/>
      <c r="DIY26" s="148"/>
      <c r="DIZ26" s="148"/>
      <c r="DJA26" s="148"/>
      <c r="DJB26" s="148"/>
      <c r="DJC26" s="148"/>
      <c r="DJD26" s="148"/>
      <c r="DJE26" s="148"/>
      <c r="DJF26" s="148"/>
      <c r="DJG26" s="148"/>
      <c r="DJH26" s="148"/>
      <c r="DJI26" s="148"/>
      <c r="DJJ26" s="148"/>
      <c r="DJK26" s="148"/>
      <c r="DJL26" s="148"/>
      <c r="DJM26" s="148"/>
      <c r="DJN26" s="148"/>
      <c r="DJO26" s="148"/>
      <c r="DJP26" s="148"/>
      <c r="DJQ26" s="148"/>
      <c r="DJR26" s="148"/>
      <c r="DJS26" s="148"/>
      <c r="DJT26" s="148"/>
      <c r="DJU26" s="148"/>
      <c r="DJV26" s="148"/>
      <c r="DJW26" s="148"/>
      <c r="DJX26" s="148"/>
      <c r="DJY26" s="148"/>
      <c r="DJZ26" s="148"/>
      <c r="DKA26" s="148"/>
      <c r="DKB26" s="148"/>
      <c r="DKC26" s="148"/>
      <c r="DKD26" s="148"/>
      <c r="DKE26" s="148"/>
      <c r="DKF26" s="148"/>
      <c r="DKG26" s="148"/>
      <c r="DKH26" s="148"/>
      <c r="DKI26" s="148"/>
      <c r="DKJ26" s="148"/>
      <c r="DKK26" s="148"/>
      <c r="DKL26" s="148"/>
      <c r="DKM26" s="148"/>
      <c r="DKN26" s="148"/>
      <c r="DKO26" s="148"/>
      <c r="DKP26" s="148"/>
      <c r="DKQ26" s="148"/>
      <c r="DKR26" s="148"/>
      <c r="DKS26" s="148"/>
      <c r="DKT26" s="148"/>
      <c r="DKU26" s="148"/>
      <c r="DKV26" s="148"/>
      <c r="DKW26" s="148"/>
      <c r="DKX26" s="148"/>
      <c r="DKY26" s="148"/>
      <c r="DKZ26" s="148"/>
      <c r="DLA26" s="148"/>
      <c r="DLB26" s="148"/>
      <c r="DLC26" s="148"/>
      <c r="DLD26" s="148"/>
      <c r="DLE26" s="148"/>
      <c r="DLF26" s="148"/>
      <c r="DLG26" s="148"/>
      <c r="DLH26" s="148"/>
      <c r="DLI26" s="148"/>
      <c r="DLJ26" s="148"/>
      <c r="DLK26" s="148"/>
      <c r="DLL26" s="148"/>
      <c r="DLM26" s="148"/>
      <c r="DLN26" s="148"/>
      <c r="DLO26" s="148"/>
      <c r="DLP26" s="148"/>
      <c r="DLQ26" s="148"/>
      <c r="DLR26" s="148"/>
      <c r="DLS26" s="148"/>
      <c r="DLT26" s="148"/>
      <c r="DLU26" s="148"/>
      <c r="DLV26" s="148"/>
      <c r="DLW26" s="148"/>
      <c r="DLX26" s="148"/>
      <c r="DLY26" s="148"/>
      <c r="DLZ26" s="148"/>
      <c r="DMA26" s="148"/>
      <c r="DMB26" s="148"/>
      <c r="DMC26" s="148"/>
      <c r="DMD26" s="148"/>
      <c r="DME26" s="148"/>
      <c r="DMF26" s="148"/>
      <c r="DMG26" s="148"/>
      <c r="DMH26" s="148"/>
      <c r="DMI26" s="148"/>
      <c r="DMJ26" s="148"/>
      <c r="DMK26" s="148"/>
      <c r="DML26" s="148"/>
      <c r="DMM26" s="148"/>
      <c r="DMN26" s="148"/>
      <c r="DMO26" s="148"/>
      <c r="DMP26" s="148"/>
      <c r="DMQ26" s="148"/>
      <c r="DMR26" s="148"/>
      <c r="DMS26" s="148"/>
      <c r="DMT26" s="148"/>
      <c r="DMU26" s="148"/>
      <c r="DMV26" s="148"/>
      <c r="DMW26" s="148"/>
      <c r="DMX26" s="148"/>
      <c r="DMY26" s="148"/>
      <c r="DMZ26" s="148"/>
      <c r="DNA26" s="148"/>
      <c r="DNB26" s="148"/>
      <c r="DNC26" s="148"/>
      <c r="DND26" s="148"/>
      <c r="DNE26" s="148"/>
      <c r="DNF26" s="148"/>
      <c r="DNG26" s="148"/>
      <c r="DNH26" s="148"/>
      <c r="DNI26" s="148"/>
      <c r="DNJ26" s="148"/>
      <c r="DNK26" s="148"/>
      <c r="DNL26" s="148"/>
      <c r="DNM26" s="148"/>
      <c r="DNN26" s="148"/>
      <c r="DNO26" s="148"/>
      <c r="DNP26" s="148"/>
      <c r="DNQ26" s="148"/>
      <c r="DNR26" s="148"/>
      <c r="DNS26" s="148"/>
      <c r="DNT26" s="148"/>
      <c r="DNU26" s="148"/>
      <c r="DNV26" s="148"/>
      <c r="DNW26" s="148"/>
      <c r="DNX26" s="148"/>
      <c r="DNY26" s="148"/>
      <c r="DNZ26" s="148"/>
      <c r="DOA26" s="148"/>
      <c r="DOB26" s="148"/>
      <c r="DOC26" s="148"/>
      <c r="DOD26" s="148"/>
      <c r="DOE26" s="148"/>
      <c r="DOF26" s="148"/>
      <c r="DOG26" s="148"/>
      <c r="DOH26" s="148"/>
      <c r="DOI26" s="148"/>
      <c r="DOJ26" s="148"/>
      <c r="DOK26" s="148"/>
      <c r="DOL26" s="148"/>
      <c r="DOM26" s="148"/>
      <c r="DON26" s="148"/>
      <c r="DOO26" s="148"/>
      <c r="DOP26" s="148"/>
      <c r="DOQ26" s="148"/>
      <c r="DOR26" s="148"/>
      <c r="DOS26" s="148"/>
      <c r="DOT26" s="148"/>
      <c r="DOU26" s="148"/>
      <c r="DOV26" s="148"/>
      <c r="DOW26" s="148"/>
      <c r="DOX26" s="148"/>
      <c r="DOY26" s="148"/>
      <c r="DOZ26" s="148"/>
      <c r="DPA26" s="148"/>
      <c r="DPB26" s="148"/>
      <c r="DPC26" s="148"/>
      <c r="DPD26" s="148"/>
      <c r="DPE26" s="148"/>
      <c r="DPF26" s="148"/>
      <c r="DPG26" s="148"/>
      <c r="DPH26" s="148"/>
      <c r="DPI26" s="148"/>
      <c r="DPJ26" s="148"/>
      <c r="DPK26" s="148"/>
      <c r="DPL26" s="148"/>
      <c r="DPM26" s="148"/>
      <c r="DPN26" s="148"/>
      <c r="DPO26" s="148"/>
      <c r="DPP26" s="148"/>
      <c r="DPQ26" s="148"/>
      <c r="DPR26" s="148"/>
      <c r="DPS26" s="148"/>
      <c r="DPT26" s="148"/>
      <c r="DPU26" s="148"/>
      <c r="DPV26" s="148"/>
      <c r="DPW26" s="148"/>
      <c r="DPX26" s="148"/>
      <c r="DPY26" s="148"/>
      <c r="DPZ26" s="148"/>
      <c r="DQA26" s="148"/>
      <c r="DQB26" s="148"/>
      <c r="DQC26" s="148"/>
      <c r="DQD26" s="148"/>
      <c r="DQE26" s="148"/>
      <c r="DQF26" s="148"/>
      <c r="DQG26" s="148"/>
      <c r="DQH26" s="148"/>
      <c r="DQI26" s="148"/>
      <c r="DQJ26" s="148"/>
      <c r="DQK26" s="148"/>
      <c r="DQL26" s="148"/>
      <c r="DQM26" s="148"/>
      <c r="DQN26" s="148"/>
      <c r="DQO26" s="148"/>
      <c r="DQP26" s="148"/>
      <c r="DQQ26" s="148"/>
      <c r="DQR26" s="148"/>
      <c r="DQS26" s="148"/>
      <c r="DQT26" s="148"/>
      <c r="DQU26" s="148"/>
      <c r="DQV26" s="148"/>
      <c r="DQW26" s="148"/>
      <c r="DQX26" s="148"/>
      <c r="DQY26" s="148"/>
      <c r="DQZ26" s="148"/>
      <c r="DRA26" s="148"/>
      <c r="DRB26" s="148"/>
      <c r="DRC26" s="148"/>
      <c r="DRD26" s="148"/>
      <c r="DRE26" s="148"/>
      <c r="DRF26" s="148"/>
      <c r="DRG26" s="148"/>
      <c r="DRH26" s="148"/>
      <c r="DRI26" s="148"/>
      <c r="DRJ26" s="148"/>
      <c r="DRK26" s="148"/>
      <c r="DRL26" s="148"/>
      <c r="DRM26" s="148"/>
      <c r="DRN26" s="148"/>
      <c r="DRO26" s="148"/>
      <c r="DRP26" s="148"/>
      <c r="DRQ26" s="148"/>
      <c r="DRR26" s="148"/>
      <c r="DRS26" s="148"/>
      <c r="DRT26" s="148"/>
      <c r="DRU26" s="148"/>
      <c r="DRV26" s="148"/>
      <c r="DRW26" s="148"/>
      <c r="DRX26" s="148"/>
      <c r="DRY26" s="148"/>
      <c r="DRZ26" s="148"/>
      <c r="DSA26" s="148"/>
      <c r="DSB26" s="148"/>
      <c r="DSC26" s="148"/>
      <c r="DSD26" s="148"/>
      <c r="DSE26" s="148"/>
      <c r="DSF26" s="148"/>
      <c r="DSG26" s="148"/>
      <c r="DSH26" s="148"/>
      <c r="DSI26" s="148"/>
      <c r="DSJ26" s="148"/>
      <c r="DSK26" s="148"/>
      <c r="DSL26" s="148"/>
      <c r="DSM26" s="148"/>
      <c r="DSN26" s="148"/>
      <c r="DSO26" s="148"/>
      <c r="DSP26" s="148"/>
      <c r="DSQ26" s="148"/>
      <c r="DSR26" s="148"/>
      <c r="DSS26" s="148"/>
      <c r="DST26" s="148"/>
      <c r="DSU26" s="148"/>
      <c r="DSV26" s="148"/>
      <c r="DSW26" s="148"/>
      <c r="DSX26" s="148"/>
      <c r="DSY26" s="148"/>
      <c r="DSZ26" s="148"/>
      <c r="DTA26" s="148"/>
      <c r="DTB26" s="148"/>
      <c r="DTC26" s="148"/>
      <c r="DTD26" s="148"/>
      <c r="DTE26" s="148"/>
      <c r="DTF26" s="148"/>
      <c r="DTG26" s="148"/>
      <c r="DTH26" s="148"/>
      <c r="DTI26" s="148"/>
      <c r="DTJ26" s="148"/>
      <c r="DTK26" s="148"/>
      <c r="DTL26" s="148"/>
      <c r="DTM26" s="148"/>
      <c r="DTN26" s="148"/>
      <c r="DTO26" s="148"/>
      <c r="DTP26" s="148"/>
      <c r="DTQ26" s="148"/>
      <c r="DTR26" s="148"/>
      <c r="DTS26" s="148"/>
      <c r="DTT26" s="148"/>
      <c r="DTU26" s="148"/>
      <c r="DTV26" s="148"/>
      <c r="DTW26" s="148"/>
      <c r="DTX26" s="148"/>
      <c r="DTY26" s="148"/>
      <c r="DTZ26" s="148"/>
      <c r="DUA26" s="148"/>
      <c r="DUB26" s="148"/>
      <c r="DUC26" s="148"/>
      <c r="DUD26" s="148"/>
      <c r="DUE26" s="148"/>
      <c r="DUF26" s="148"/>
      <c r="DUG26" s="148"/>
      <c r="DUH26" s="148"/>
      <c r="DUI26" s="148"/>
      <c r="DUJ26" s="148"/>
      <c r="DUK26" s="148"/>
      <c r="DUL26" s="148"/>
      <c r="DUM26" s="148"/>
      <c r="DUN26" s="148"/>
      <c r="DUO26" s="148"/>
      <c r="DUP26" s="148"/>
      <c r="DUQ26" s="148"/>
      <c r="DUR26" s="148"/>
      <c r="DUS26" s="148"/>
      <c r="DUT26" s="148"/>
      <c r="DUU26" s="148"/>
      <c r="DUV26" s="148"/>
      <c r="DUW26" s="148"/>
      <c r="DUX26" s="148"/>
      <c r="DUY26" s="148"/>
      <c r="DUZ26" s="148"/>
      <c r="DVA26" s="148"/>
      <c r="DVB26" s="148"/>
      <c r="DVC26" s="148"/>
      <c r="DVD26" s="148"/>
      <c r="DVE26" s="148"/>
      <c r="DVF26" s="148"/>
      <c r="DVG26" s="148"/>
      <c r="DVH26" s="148"/>
      <c r="DVI26" s="148"/>
      <c r="DVJ26" s="148"/>
      <c r="DVK26" s="148"/>
      <c r="DVL26" s="148"/>
      <c r="DVM26" s="148"/>
      <c r="DVN26" s="148"/>
      <c r="DVO26" s="148"/>
      <c r="DVP26" s="148"/>
      <c r="DVQ26" s="148"/>
      <c r="DVR26" s="148"/>
      <c r="DVS26" s="148"/>
      <c r="DVT26" s="148"/>
      <c r="DVU26" s="148"/>
      <c r="DVV26" s="148"/>
      <c r="DVW26" s="148"/>
      <c r="DVX26" s="148"/>
      <c r="DVY26" s="148"/>
      <c r="DVZ26" s="148"/>
      <c r="DWA26" s="148"/>
      <c r="DWB26" s="148"/>
      <c r="DWC26" s="148"/>
      <c r="DWD26" s="148"/>
      <c r="DWE26" s="148"/>
      <c r="DWF26" s="148"/>
      <c r="DWG26" s="148"/>
      <c r="DWH26" s="148"/>
      <c r="DWI26" s="148"/>
      <c r="DWJ26" s="148"/>
      <c r="DWK26" s="148"/>
      <c r="DWL26" s="148"/>
      <c r="DWM26" s="148"/>
      <c r="DWN26" s="148"/>
      <c r="DWO26" s="148"/>
      <c r="DWP26" s="148"/>
      <c r="DWQ26" s="148"/>
      <c r="DWR26" s="148"/>
      <c r="DWS26" s="148"/>
      <c r="DWT26" s="148"/>
      <c r="DWU26" s="148"/>
      <c r="DWV26" s="148"/>
      <c r="DWW26" s="148"/>
      <c r="DWX26" s="148"/>
      <c r="DWY26" s="148"/>
      <c r="DWZ26" s="148"/>
      <c r="DXA26" s="148"/>
      <c r="DXB26" s="148"/>
      <c r="DXC26" s="148"/>
      <c r="DXD26" s="148"/>
      <c r="DXE26" s="148"/>
      <c r="DXF26" s="148"/>
      <c r="DXG26" s="148"/>
      <c r="DXH26" s="148"/>
      <c r="DXI26" s="148"/>
      <c r="DXJ26" s="148"/>
      <c r="DXK26" s="148"/>
      <c r="DXL26" s="148"/>
      <c r="DXM26" s="148"/>
      <c r="DXN26" s="148"/>
      <c r="DXO26" s="148"/>
      <c r="DXP26" s="148"/>
      <c r="DXQ26" s="148"/>
      <c r="DXR26" s="148"/>
      <c r="DXS26" s="148"/>
      <c r="DXT26" s="148"/>
      <c r="DXU26" s="148"/>
      <c r="DXV26" s="148"/>
      <c r="DXW26" s="148"/>
      <c r="DXX26" s="148"/>
      <c r="DXY26" s="148"/>
      <c r="DXZ26" s="148"/>
      <c r="DYA26" s="148"/>
      <c r="DYB26" s="148"/>
      <c r="DYC26" s="148"/>
      <c r="DYD26" s="148"/>
      <c r="DYE26" s="148"/>
      <c r="DYF26" s="148"/>
      <c r="DYG26" s="148"/>
      <c r="DYH26" s="148"/>
      <c r="DYI26" s="148"/>
      <c r="DYJ26" s="148"/>
      <c r="DYK26" s="148"/>
      <c r="DYL26" s="148"/>
      <c r="DYM26" s="148"/>
      <c r="DYN26" s="148"/>
      <c r="DYO26" s="148"/>
      <c r="DYP26" s="148"/>
      <c r="DYQ26" s="148"/>
      <c r="DYR26" s="148"/>
      <c r="DYS26" s="148"/>
      <c r="DYT26" s="148"/>
      <c r="DYU26" s="148"/>
      <c r="DYV26" s="148"/>
      <c r="DYW26" s="148"/>
      <c r="DYX26" s="148"/>
      <c r="DYY26" s="148"/>
      <c r="DYZ26" s="148"/>
      <c r="DZA26" s="148"/>
      <c r="DZB26" s="148"/>
      <c r="DZC26" s="148"/>
      <c r="DZD26" s="148"/>
      <c r="DZE26" s="148"/>
      <c r="DZF26" s="148"/>
      <c r="DZG26" s="148"/>
      <c r="DZH26" s="148"/>
      <c r="DZI26" s="148"/>
      <c r="DZJ26" s="148"/>
      <c r="DZK26" s="148"/>
      <c r="DZL26" s="148"/>
      <c r="DZM26" s="148"/>
      <c r="DZN26" s="148"/>
      <c r="DZO26" s="148"/>
      <c r="DZP26" s="148"/>
      <c r="DZQ26" s="148"/>
      <c r="DZR26" s="148"/>
      <c r="DZS26" s="148"/>
      <c r="DZT26" s="148"/>
      <c r="DZU26" s="148"/>
      <c r="DZV26" s="148"/>
      <c r="DZW26" s="148"/>
      <c r="DZX26" s="148"/>
      <c r="DZY26" s="148"/>
      <c r="DZZ26" s="148"/>
      <c r="EAA26" s="148"/>
      <c r="EAB26" s="148"/>
      <c r="EAC26" s="148"/>
      <c r="EAD26" s="148"/>
      <c r="EAE26" s="148"/>
      <c r="EAF26" s="148"/>
      <c r="EAG26" s="148"/>
      <c r="EAH26" s="148"/>
      <c r="EAI26" s="148"/>
      <c r="EAJ26" s="148"/>
      <c r="EAK26" s="148"/>
      <c r="EAL26" s="148"/>
      <c r="EAM26" s="148"/>
      <c r="EAN26" s="148"/>
      <c r="EAO26" s="148"/>
      <c r="EAP26" s="148"/>
      <c r="EAQ26" s="148"/>
      <c r="EAR26" s="148"/>
      <c r="EAS26" s="148"/>
      <c r="EAT26" s="148"/>
      <c r="EAU26" s="148"/>
      <c r="EAV26" s="148"/>
      <c r="EAW26" s="148"/>
      <c r="EAX26" s="148"/>
      <c r="EAY26" s="148"/>
      <c r="EAZ26" s="148"/>
      <c r="EBA26" s="148"/>
      <c r="EBB26" s="148"/>
      <c r="EBC26" s="148"/>
      <c r="EBD26" s="148"/>
      <c r="EBE26" s="148"/>
      <c r="EBF26" s="148"/>
      <c r="EBG26" s="148"/>
      <c r="EBH26" s="148"/>
      <c r="EBI26" s="148"/>
      <c r="EBJ26" s="148"/>
      <c r="EBK26" s="148"/>
      <c r="EBL26" s="148"/>
      <c r="EBM26" s="148"/>
      <c r="EBN26" s="148"/>
      <c r="EBO26" s="148"/>
      <c r="EBP26" s="148"/>
      <c r="EBQ26" s="148"/>
      <c r="EBR26" s="148"/>
      <c r="EBS26" s="148"/>
      <c r="EBT26" s="148"/>
      <c r="EBU26" s="148"/>
      <c r="EBV26" s="148"/>
      <c r="EBW26" s="148"/>
      <c r="EBX26" s="148"/>
      <c r="EBY26" s="148"/>
      <c r="EBZ26" s="148"/>
      <c r="ECA26" s="148"/>
      <c r="ECB26" s="148"/>
      <c r="ECC26" s="148"/>
      <c r="ECD26" s="148"/>
      <c r="ECE26" s="148"/>
      <c r="ECF26" s="148"/>
      <c r="ECG26" s="148"/>
      <c r="ECH26" s="148"/>
      <c r="ECI26" s="148"/>
      <c r="ECJ26" s="148"/>
      <c r="ECK26" s="148"/>
      <c r="ECL26" s="148"/>
      <c r="ECM26" s="148"/>
      <c r="ECN26" s="148"/>
      <c r="ECO26" s="148"/>
      <c r="ECP26" s="148"/>
      <c r="ECQ26" s="148"/>
      <c r="ECR26" s="148"/>
      <c r="ECS26" s="148"/>
      <c r="ECT26" s="148"/>
      <c r="ECU26" s="148"/>
      <c r="ECV26" s="148"/>
      <c r="ECW26" s="148"/>
      <c r="ECX26" s="148"/>
      <c r="ECY26" s="148"/>
      <c r="ECZ26" s="148"/>
      <c r="EDA26" s="148"/>
      <c r="EDB26" s="148"/>
      <c r="EDC26" s="148"/>
      <c r="EDD26" s="148"/>
      <c r="EDE26" s="148"/>
      <c r="EDF26" s="148"/>
      <c r="EDG26" s="148"/>
      <c r="EDH26" s="148"/>
      <c r="EDI26" s="148"/>
      <c r="EDJ26" s="148"/>
      <c r="EDK26" s="148"/>
      <c r="EDL26" s="148"/>
      <c r="EDM26" s="148"/>
      <c r="EDN26" s="148"/>
      <c r="EDO26" s="148"/>
      <c r="EDP26" s="148"/>
      <c r="EDQ26" s="148"/>
      <c r="EDR26" s="148"/>
      <c r="EDS26" s="148"/>
      <c r="EDT26" s="148"/>
      <c r="EDU26" s="148"/>
      <c r="EDV26" s="148"/>
      <c r="EDW26" s="148"/>
      <c r="EDX26" s="148"/>
      <c r="EDY26" s="148"/>
      <c r="EDZ26" s="148"/>
      <c r="EEA26" s="148"/>
      <c r="EEB26" s="148"/>
      <c r="EEC26" s="148"/>
      <c r="EED26" s="148"/>
      <c r="EEE26" s="148"/>
      <c r="EEF26" s="148"/>
      <c r="EEG26" s="148"/>
      <c r="EEH26" s="148"/>
      <c r="EEI26" s="148"/>
      <c r="EEJ26" s="148"/>
      <c r="EEK26" s="148"/>
      <c r="EEL26" s="148"/>
      <c r="EEM26" s="148"/>
      <c r="EEN26" s="148"/>
      <c r="EEO26" s="148"/>
      <c r="EEP26" s="148"/>
      <c r="EEQ26" s="148"/>
      <c r="EER26" s="148"/>
      <c r="EES26" s="148"/>
      <c r="EET26" s="148"/>
      <c r="EEU26" s="148"/>
      <c r="EEV26" s="148"/>
      <c r="EEW26" s="148"/>
      <c r="EEX26" s="148"/>
      <c r="EEY26" s="148"/>
      <c r="EEZ26" s="148"/>
      <c r="EFA26" s="148"/>
      <c r="EFB26" s="148"/>
      <c r="EFC26" s="148"/>
      <c r="EFD26" s="148"/>
      <c r="EFE26" s="148"/>
      <c r="EFF26" s="148"/>
      <c r="EFG26" s="148"/>
      <c r="EFH26" s="148"/>
      <c r="EFI26" s="148"/>
      <c r="EFJ26" s="148"/>
      <c r="EFK26" s="148"/>
      <c r="EFL26" s="148"/>
      <c r="EFM26" s="148"/>
      <c r="EFN26" s="148"/>
      <c r="EFO26" s="148"/>
      <c r="EFP26" s="148"/>
      <c r="EFQ26" s="148"/>
      <c r="EFR26" s="148"/>
      <c r="EFS26" s="148"/>
      <c r="EFT26" s="148"/>
      <c r="EFU26" s="148"/>
      <c r="EFV26" s="148"/>
      <c r="EFW26" s="148"/>
      <c r="EFX26" s="148"/>
      <c r="EFY26" s="148"/>
      <c r="EFZ26" s="148"/>
      <c r="EGA26" s="148"/>
      <c r="EGB26" s="148"/>
      <c r="EGC26" s="148"/>
      <c r="EGD26" s="148"/>
      <c r="EGE26" s="148"/>
      <c r="EGF26" s="148"/>
      <c r="EGG26" s="148"/>
      <c r="EGH26" s="148"/>
      <c r="EGI26" s="148"/>
      <c r="EGJ26" s="148"/>
      <c r="EGK26" s="148"/>
      <c r="EGL26" s="148"/>
      <c r="EGM26" s="148"/>
      <c r="EGN26" s="148"/>
      <c r="EGO26" s="148"/>
      <c r="EGP26" s="148"/>
      <c r="EGQ26" s="148"/>
      <c r="EGR26" s="148"/>
      <c r="EGS26" s="148"/>
      <c r="EGT26" s="148"/>
      <c r="EGU26" s="148"/>
      <c r="EGV26" s="148"/>
      <c r="EGW26" s="148"/>
      <c r="EGX26" s="148"/>
      <c r="EGY26" s="148"/>
      <c r="EGZ26" s="148"/>
      <c r="EHA26" s="148"/>
      <c r="EHB26" s="148"/>
      <c r="EHC26" s="148"/>
      <c r="EHD26" s="148"/>
      <c r="EHE26" s="148"/>
      <c r="EHF26" s="148"/>
      <c r="EHG26" s="148"/>
      <c r="EHH26" s="148"/>
      <c r="EHI26" s="148"/>
      <c r="EHJ26" s="148"/>
      <c r="EHK26" s="148"/>
      <c r="EHL26" s="148"/>
      <c r="EHM26" s="148"/>
      <c r="EHN26" s="148"/>
      <c r="EHO26" s="148"/>
      <c r="EHP26" s="148"/>
      <c r="EHQ26" s="148"/>
      <c r="EHR26" s="148"/>
      <c r="EHS26" s="148"/>
      <c r="EHT26" s="148"/>
      <c r="EHU26" s="148"/>
      <c r="EHV26" s="148"/>
      <c r="EHW26" s="148"/>
      <c r="EHX26" s="148"/>
      <c r="EHY26" s="148"/>
      <c r="EHZ26" s="148"/>
      <c r="EIA26" s="148"/>
      <c r="EIB26" s="148"/>
      <c r="EIC26" s="148"/>
      <c r="EID26" s="148"/>
      <c r="EIE26" s="148"/>
      <c r="EIF26" s="148"/>
      <c r="EIG26" s="148"/>
      <c r="EIH26" s="148"/>
      <c r="EII26" s="148"/>
      <c r="EIJ26" s="148"/>
      <c r="EIK26" s="148"/>
      <c r="EIL26" s="148"/>
      <c r="EIM26" s="148"/>
      <c r="EIN26" s="148"/>
      <c r="EIO26" s="148"/>
      <c r="EIP26" s="148"/>
      <c r="EIQ26" s="148"/>
      <c r="EIR26" s="148"/>
      <c r="EIS26" s="148"/>
      <c r="EIT26" s="148"/>
      <c r="EIU26" s="148"/>
      <c r="EIV26" s="148"/>
      <c r="EIW26" s="148"/>
      <c r="EIX26" s="148"/>
      <c r="EIY26" s="148"/>
      <c r="EIZ26" s="148"/>
      <c r="EJA26" s="148"/>
      <c r="EJB26" s="148"/>
      <c r="EJC26" s="148"/>
      <c r="EJD26" s="148"/>
      <c r="EJE26" s="148"/>
      <c r="EJF26" s="148"/>
      <c r="EJG26" s="148"/>
      <c r="EJH26" s="148"/>
      <c r="EJI26" s="148"/>
      <c r="EJJ26" s="148"/>
      <c r="EJK26" s="148"/>
      <c r="EJL26" s="148"/>
      <c r="EJM26" s="148"/>
      <c r="EJN26" s="148"/>
      <c r="EJO26" s="148"/>
      <c r="EJP26" s="148"/>
      <c r="EJQ26" s="148"/>
      <c r="EJR26" s="148"/>
      <c r="EJS26" s="148"/>
      <c r="EJT26" s="148"/>
      <c r="EJU26" s="148"/>
      <c r="EJV26" s="148"/>
      <c r="EJW26" s="148"/>
      <c r="EJX26" s="148"/>
      <c r="EJY26" s="148"/>
      <c r="EJZ26" s="148"/>
      <c r="EKA26" s="148"/>
      <c r="EKB26" s="148"/>
      <c r="EKC26" s="148"/>
      <c r="EKD26" s="148"/>
      <c r="EKE26" s="148"/>
      <c r="EKF26" s="148"/>
      <c r="EKG26" s="148"/>
      <c r="EKH26" s="148"/>
      <c r="EKI26" s="148"/>
      <c r="EKJ26" s="148"/>
      <c r="EKK26" s="148"/>
      <c r="EKL26" s="148"/>
      <c r="EKM26" s="148"/>
      <c r="EKN26" s="148"/>
      <c r="EKO26" s="148"/>
      <c r="EKP26" s="148"/>
      <c r="EKQ26" s="148"/>
      <c r="EKR26" s="148"/>
      <c r="EKS26" s="148"/>
      <c r="EKT26" s="148"/>
      <c r="EKU26" s="148"/>
      <c r="EKV26" s="148"/>
      <c r="EKW26" s="148"/>
      <c r="EKX26" s="148"/>
      <c r="EKY26" s="148"/>
      <c r="EKZ26" s="148"/>
      <c r="ELA26" s="148"/>
      <c r="ELB26" s="148"/>
      <c r="ELC26" s="148"/>
      <c r="ELD26" s="148"/>
      <c r="ELE26" s="148"/>
      <c r="ELF26" s="148"/>
      <c r="ELG26" s="148"/>
      <c r="ELH26" s="148"/>
      <c r="ELI26" s="148"/>
      <c r="ELJ26" s="148"/>
      <c r="ELK26" s="148"/>
      <c r="ELL26" s="148"/>
      <c r="ELM26" s="148"/>
      <c r="ELN26" s="148"/>
      <c r="ELO26" s="148"/>
      <c r="ELP26" s="148"/>
      <c r="ELQ26" s="148"/>
      <c r="ELR26" s="148"/>
      <c r="ELS26" s="148"/>
      <c r="ELT26" s="148"/>
      <c r="ELU26" s="148"/>
      <c r="ELV26" s="148"/>
      <c r="ELW26" s="148"/>
      <c r="ELX26" s="148"/>
      <c r="ELY26" s="148"/>
      <c r="ELZ26" s="148"/>
      <c r="EMA26" s="148"/>
      <c r="EMB26" s="148"/>
      <c r="EMC26" s="148"/>
      <c r="EMD26" s="148"/>
      <c r="EME26" s="148"/>
      <c r="EMF26" s="148"/>
      <c r="EMG26" s="148"/>
      <c r="EMH26" s="148"/>
      <c r="EMI26" s="148"/>
    </row>
    <row r="27" spans="1:14718" s="107" customFormat="1" ht="15.75">
      <c r="A27" s="151"/>
      <c r="B27" s="152"/>
      <c r="C27" s="152"/>
      <c r="D27" s="152"/>
      <c r="E27" s="152"/>
      <c r="F27" s="334"/>
      <c r="G27" s="334"/>
      <c r="H27" s="334"/>
      <c r="I27" s="334"/>
      <c r="J27" s="334"/>
      <c r="K27" s="334"/>
      <c r="L27" s="334"/>
      <c r="M27" s="334"/>
      <c r="N27" s="334"/>
      <c r="O27" s="152"/>
      <c r="P27" s="152"/>
      <c r="Q27" s="152"/>
      <c r="R27" s="151"/>
      <c r="S27" s="153"/>
      <c r="T27" s="329"/>
      <c r="U27" s="329"/>
      <c r="V27" s="334"/>
      <c r="W27" s="334"/>
      <c r="X27" s="334"/>
      <c r="Y27" s="334"/>
      <c r="Z27" s="334"/>
      <c r="AA27" s="152"/>
      <c r="AB27" s="152"/>
      <c r="AC27" s="334"/>
      <c r="AD27" s="334"/>
      <c r="AE27" s="334"/>
      <c r="AF27" s="334"/>
      <c r="AG27" s="335"/>
      <c r="AH27" s="335"/>
      <c r="AI27" s="334"/>
      <c r="AJ27" s="334"/>
      <c r="AK27" s="334"/>
      <c r="AL27" s="334"/>
      <c r="AM27" s="334"/>
      <c r="AN27" s="336"/>
      <c r="AO27" s="336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  <c r="BE27" s="329"/>
      <c r="BF27" s="329"/>
      <c r="BG27" s="329"/>
      <c r="BH27" s="329"/>
      <c r="BI27" s="329"/>
      <c r="BJ27" s="329"/>
      <c r="BK27" s="329"/>
      <c r="BL27" s="329"/>
      <c r="BM27" s="329"/>
      <c r="BN27" s="329"/>
      <c r="BO27" s="153"/>
      <c r="BP27" s="329"/>
      <c r="BQ27" s="329"/>
      <c r="BR27" s="153"/>
      <c r="BS27" s="153"/>
      <c r="BT27" s="153"/>
      <c r="BU27" s="329"/>
      <c r="BV27" s="329"/>
      <c r="BW27" s="329"/>
      <c r="BX27" s="339"/>
      <c r="BY27" s="339"/>
      <c r="BZ27" s="152"/>
      <c r="CA27" s="135"/>
      <c r="CB27" s="334"/>
      <c r="CC27" s="334"/>
      <c r="CD27" s="329"/>
      <c r="CE27" s="329"/>
      <c r="CF27" s="338"/>
      <c r="CG27" s="338"/>
      <c r="CH27" s="338"/>
      <c r="CI27" s="338"/>
      <c r="CJ27" s="338"/>
      <c r="CK27" s="338"/>
      <c r="CL27" s="338"/>
      <c r="CM27" s="327"/>
      <c r="CN27" s="327"/>
      <c r="CO27" s="327"/>
      <c r="CP27" s="326"/>
      <c r="CQ27" s="326"/>
      <c r="CR27" s="108"/>
      <c r="CS27" s="326"/>
      <c r="CT27" s="326"/>
      <c r="CU27" s="336"/>
      <c r="CV27" s="336"/>
      <c r="CW27" s="329"/>
      <c r="CX27" s="329"/>
      <c r="CY27" s="329"/>
      <c r="CZ27" s="153"/>
      <c r="DA27" s="329"/>
      <c r="DB27" s="329"/>
      <c r="DC27" s="329"/>
      <c r="DD27" s="329"/>
      <c r="DE27" s="329"/>
      <c r="DF27" s="329"/>
      <c r="DG27" s="329"/>
      <c r="DH27" s="329"/>
    </row>
    <row r="28" spans="1:14718" s="107" customFormat="1" ht="15.75">
      <c r="A28" s="130"/>
      <c r="B28" s="126"/>
      <c r="C28" s="320" t="s">
        <v>242</v>
      </c>
      <c r="D28" s="320"/>
      <c r="E28" s="320"/>
      <c r="F28" s="328" t="s">
        <v>242</v>
      </c>
      <c r="G28" s="328"/>
      <c r="H28" s="328" t="s">
        <v>242</v>
      </c>
      <c r="I28" s="328"/>
      <c r="J28" s="332" t="s">
        <v>242</v>
      </c>
      <c r="K28" s="332"/>
      <c r="L28" s="332"/>
      <c r="M28" s="337" t="s">
        <v>128</v>
      </c>
      <c r="N28" s="337"/>
      <c r="O28" s="328" t="s">
        <v>242</v>
      </c>
      <c r="P28" s="328"/>
      <c r="Q28" s="328"/>
      <c r="R28" s="321" t="s">
        <v>128</v>
      </c>
      <c r="S28" s="321"/>
      <c r="T28" s="320" t="s">
        <v>242</v>
      </c>
      <c r="U28" s="320"/>
      <c r="V28" s="320" t="s">
        <v>242</v>
      </c>
      <c r="W28" s="320"/>
      <c r="X28" s="320" t="s">
        <v>242</v>
      </c>
      <c r="Y28" s="320"/>
      <c r="Z28" s="320"/>
      <c r="AA28" s="332" t="s">
        <v>242</v>
      </c>
      <c r="AB28" s="332"/>
      <c r="AC28" s="333" t="s">
        <v>242</v>
      </c>
      <c r="AD28" s="333"/>
      <c r="AE28" s="333"/>
      <c r="AF28" s="333"/>
      <c r="AG28" s="320" t="s">
        <v>242</v>
      </c>
      <c r="AH28" s="320"/>
      <c r="AI28" s="320" t="s">
        <v>242</v>
      </c>
      <c r="AJ28" s="320"/>
      <c r="AK28" s="320"/>
      <c r="AL28" s="320" t="s">
        <v>242</v>
      </c>
      <c r="AM28" s="320"/>
      <c r="AN28" s="328" t="s">
        <v>242</v>
      </c>
      <c r="AO28" s="328"/>
      <c r="AP28" s="320" t="s">
        <v>242</v>
      </c>
      <c r="AQ28" s="320"/>
      <c r="AR28" s="320" t="s">
        <v>242</v>
      </c>
      <c r="AS28" s="320"/>
      <c r="AT28" s="328" t="s">
        <v>242</v>
      </c>
      <c r="AU28" s="328"/>
      <c r="AV28" s="328"/>
      <c r="AW28" s="320" t="s">
        <v>242</v>
      </c>
      <c r="AX28" s="320"/>
      <c r="AY28" s="332" t="s">
        <v>242</v>
      </c>
      <c r="AZ28" s="332"/>
      <c r="BA28" s="332"/>
      <c r="BB28" s="320" t="s">
        <v>242</v>
      </c>
      <c r="BC28" s="320"/>
      <c r="BD28" s="331" t="s">
        <v>128</v>
      </c>
      <c r="BE28" s="331"/>
      <c r="BF28" s="331"/>
      <c r="BG28" s="321" t="s">
        <v>128</v>
      </c>
      <c r="BH28" s="321"/>
      <c r="BI28" s="331" t="s">
        <v>128</v>
      </c>
      <c r="BJ28" s="331"/>
      <c r="BK28" s="322" t="s">
        <v>242</v>
      </c>
      <c r="BL28" s="322"/>
      <c r="BM28" s="322" t="s">
        <v>242</v>
      </c>
      <c r="BN28" s="322"/>
      <c r="BO28" s="130" t="s">
        <v>242</v>
      </c>
      <c r="BP28" s="329" t="s">
        <v>242</v>
      </c>
      <c r="BQ28" s="329"/>
      <c r="BR28" s="321" t="s">
        <v>128</v>
      </c>
      <c r="BS28" s="321"/>
      <c r="BT28" s="321"/>
      <c r="BU28" s="328" t="s">
        <v>242</v>
      </c>
      <c r="BV28" s="328"/>
      <c r="BW28" s="328"/>
      <c r="BX28" s="328" t="s">
        <v>242</v>
      </c>
      <c r="BY28" s="328"/>
      <c r="BZ28" s="329" t="s">
        <v>242</v>
      </c>
      <c r="CA28" s="329"/>
      <c r="CB28" s="329" t="s">
        <v>242</v>
      </c>
      <c r="CC28" s="329"/>
      <c r="CD28" s="329" t="s">
        <v>242</v>
      </c>
      <c r="CE28" s="329"/>
      <c r="CF28" s="320" t="s">
        <v>242</v>
      </c>
      <c r="CG28" s="320"/>
      <c r="CH28" s="320"/>
      <c r="CI28" s="330" t="s">
        <v>242</v>
      </c>
      <c r="CJ28" s="330"/>
      <c r="CK28" s="326" t="s">
        <v>242</v>
      </c>
      <c r="CL28" s="326"/>
      <c r="CM28" s="327" t="s">
        <v>242</v>
      </c>
      <c r="CN28" s="327"/>
      <c r="CO28" s="327"/>
      <c r="CP28" s="328" t="s">
        <v>242</v>
      </c>
      <c r="CQ28" s="328"/>
      <c r="CR28" s="108" t="s">
        <v>242</v>
      </c>
      <c r="CS28" s="326" t="s">
        <v>242</v>
      </c>
      <c r="CT28" s="326"/>
      <c r="CU28" s="328" t="s">
        <v>242</v>
      </c>
      <c r="CV28" s="328"/>
      <c r="CW28" s="321" t="s">
        <v>128</v>
      </c>
      <c r="CX28" s="321"/>
      <c r="CY28" s="321"/>
      <c r="CZ28" s="130" t="s">
        <v>242</v>
      </c>
      <c r="DA28" s="320" t="s">
        <v>242</v>
      </c>
      <c r="DB28" s="320"/>
      <c r="DC28" s="321" t="s">
        <v>128</v>
      </c>
      <c r="DD28" s="321"/>
      <c r="DE28" s="320" t="s">
        <v>242</v>
      </c>
      <c r="DF28" s="320"/>
      <c r="DG28" s="322" t="s">
        <v>242</v>
      </c>
      <c r="DH28" s="322"/>
    </row>
    <row r="29" spans="1:14718" s="107" customFormat="1" ht="15.75">
      <c r="A29" s="114"/>
      <c r="B29" s="124"/>
      <c r="C29" s="124"/>
      <c r="D29" s="124"/>
      <c r="E29" s="105"/>
      <c r="F29" s="113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54"/>
      <c r="AH29" s="105"/>
      <c r="AI29" s="105"/>
      <c r="AJ29" s="105"/>
      <c r="AK29" s="105"/>
      <c r="AL29" s="105"/>
      <c r="AM29" s="105"/>
      <c r="AN29" s="105"/>
      <c r="AO29" s="105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R29" s="108"/>
      <c r="CS29" s="108"/>
      <c r="CT29" s="108"/>
      <c r="CU29" s="155"/>
      <c r="CV29" s="156"/>
      <c r="CW29" s="157"/>
      <c r="CX29" s="157"/>
      <c r="CY29" s="157"/>
      <c r="CZ29" s="156"/>
      <c r="DA29" s="156"/>
      <c r="DB29" s="156"/>
      <c r="DC29" s="156"/>
      <c r="DD29" s="156"/>
      <c r="DE29" s="156"/>
      <c r="DF29" s="156"/>
      <c r="DG29" s="156"/>
      <c r="DH29" s="156"/>
    </row>
    <row r="30" spans="1:14718" s="148" customFormat="1" ht="15.75">
      <c r="A30" s="158"/>
      <c r="B30" s="158"/>
      <c r="C30" s="158"/>
      <c r="D30" s="158"/>
      <c r="E30" s="159"/>
      <c r="F30" s="160"/>
      <c r="G30" s="158"/>
      <c r="H30" s="159"/>
      <c r="I30" s="158"/>
      <c r="J30" s="158"/>
      <c r="K30" s="159"/>
      <c r="L30" s="159"/>
      <c r="M30" s="158"/>
      <c r="N30" s="159"/>
      <c r="O30" s="158"/>
      <c r="P30" s="158"/>
      <c r="Q30" s="159"/>
      <c r="R30" s="159"/>
      <c r="S30" s="159"/>
      <c r="T30" s="159"/>
      <c r="U30" s="158"/>
      <c r="V30" s="159"/>
      <c r="W30" s="159"/>
      <c r="X30" s="158"/>
      <c r="Y30" s="158"/>
      <c r="Z30" s="158"/>
      <c r="AA30" s="159"/>
      <c r="AB30" s="159"/>
      <c r="AC30" s="159"/>
      <c r="AD30" s="158"/>
      <c r="AE30" s="158"/>
      <c r="AF30" s="159"/>
      <c r="AG30" s="159"/>
      <c r="AH30" s="159"/>
      <c r="AI30" s="158"/>
      <c r="AJ30" s="158"/>
      <c r="AK30" s="159"/>
      <c r="AL30" s="159"/>
      <c r="AM30" s="159"/>
      <c r="AN30" s="159"/>
      <c r="AO30" s="159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06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R30" s="142"/>
      <c r="CS30" s="142"/>
      <c r="CT30" s="142"/>
      <c r="CU30" s="162"/>
      <c r="CV30" s="163"/>
      <c r="CW30" s="161"/>
      <c r="CX30" s="161"/>
      <c r="CY30" s="161"/>
      <c r="CZ30" s="163"/>
      <c r="DA30" s="163"/>
      <c r="DB30" s="163"/>
      <c r="DC30" s="163"/>
      <c r="DD30" s="163"/>
      <c r="DE30" s="163"/>
      <c r="DF30" s="110"/>
      <c r="DG30" s="163"/>
      <c r="DH30" s="163"/>
    </row>
    <row r="31" spans="1:14718" s="107" customFormat="1" ht="15.75">
      <c r="A31" s="124"/>
      <c r="B31" s="124"/>
      <c r="C31" s="124"/>
      <c r="D31" s="124"/>
      <c r="E31" s="105"/>
      <c r="F31" s="113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R31" s="108"/>
      <c r="CS31" s="108"/>
      <c r="CT31" s="108"/>
      <c r="CU31" s="109"/>
      <c r="CV31" s="110"/>
      <c r="CW31" s="106"/>
      <c r="CX31" s="106"/>
      <c r="CY31" s="106"/>
      <c r="CZ31" s="110"/>
      <c r="DA31" s="110"/>
      <c r="DB31" s="110"/>
      <c r="DC31" s="110"/>
      <c r="DD31" s="110"/>
      <c r="DE31" s="110"/>
      <c r="DF31" s="110"/>
      <c r="DG31" s="110"/>
      <c r="DH31" s="110"/>
    </row>
    <row r="32" spans="1:14718" s="107" customFormat="1" ht="15.75">
      <c r="A32" s="124"/>
      <c r="B32" s="124"/>
      <c r="C32" s="114"/>
      <c r="D32" s="114"/>
      <c r="E32" s="114"/>
      <c r="F32" s="114"/>
      <c r="G32" s="105"/>
      <c r="H32" s="105"/>
      <c r="I32" s="114"/>
      <c r="J32" s="114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R32" s="108"/>
      <c r="CS32" s="108"/>
      <c r="CT32" s="108"/>
      <c r="CU32" s="109"/>
      <c r="CV32" s="110"/>
      <c r="CW32" s="106"/>
      <c r="CX32" s="106"/>
      <c r="CY32" s="106"/>
      <c r="CZ32" s="110"/>
      <c r="DA32" s="110"/>
      <c r="DB32" s="110"/>
      <c r="DC32" s="110"/>
      <c r="DD32" s="110"/>
      <c r="DE32" s="110"/>
      <c r="DF32" s="110"/>
      <c r="DG32" s="110"/>
      <c r="DH32" s="110"/>
    </row>
    <row r="33" spans="1:112" s="107" customFormat="1" ht="15.75">
      <c r="A33" s="124"/>
      <c r="B33" s="124"/>
      <c r="C33" s="124"/>
      <c r="D33" s="124"/>
      <c r="E33" s="105"/>
      <c r="F33" s="113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R33" s="108"/>
      <c r="CS33" s="108"/>
      <c r="CT33" s="108"/>
      <c r="CU33" s="109"/>
      <c r="CV33" s="110"/>
      <c r="CW33" s="106"/>
      <c r="CX33" s="106"/>
      <c r="CY33" s="106"/>
      <c r="CZ33" s="110"/>
      <c r="DA33" s="110"/>
      <c r="DB33" s="110"/>
      <c r="DC33" s="110"/>
      <c r="DD33" s="110"/>
      <c r="DE33" s="110"/>
      <c r="DF33" s="110"/>
      <c r="DG33" s="110"/>
      <c r="DH33" s="110"/>
    </row>
    <row r="34" spans="1:112" s="107" customFormat="1" ht="15.75">
      <c r="A34" s="124"/>
      <c r="B34" s="124"/>
      <c r="C34" s="124"/>
      <c r="D34" s="124"/>
      <c r="E34" s="105"/>
      <c r="F34" s="113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R34" s="108"/>
      <c r="CS34" s="108"/>
      <c r="CT34" s="108"/>
      <c r="CU34" s="109"/>
      <c r="CV34" s="110"/>
      <c r="CW34" s="106"/>
      <c r="CX34" s="106"/>
      <c r="CY34" s="106"/>
      <c r="CZ34" s="110"/>
      <c r="DA34" s="110"/>
      <c r="DB34" s="110"/>
      <c r="DC34" s="110"/>
      <c r="DD34" s="110"/>
      <c r="DE34" s="110"/>
      <c r="DF34" s="110"/>
      <c r="DG34" s="110"/>
      <c r="DH34" s="110"/>
    </row>
    <row r="35" spans="1:112" s="107" customFormat="1" ht="15.75">
      <c r="A35" s="124"/>
      <c r="B35" s="124"/>
      <c r="C35" s="124"/>
      <c r="D35" s="124"/>
      <c r="E35" s="105"/>
      <c r="F35" s="113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R35" s="108"/>
      <c r="CS35" s="108"/>
      <c r="CT35" s="108"/>
      <c r="CU35" s="109"/>
      <c r="CV35" s="110"/>
      <c r="CW35" s="106"/>
      <c r="CX35" s="106"/>
      <c r="CY35" s="106"/>
      <c r="CZ35" s="110"/>
      <c r="DA35" s="110"/>
      <c r="DB35" s="110"/>
      <c r="DC35" s="110"/>
      <c r="DD35" s="110"/>
      <c r="DE35" s="110"/>
      <c r="DF35" s="110"/>
      <c r="DG35" s="110"/>
      <c r="DH35" s="110"/>
    </row>
    <row r="36" spans="1:112" s="166" customFormat="1" ht="15.75">
      <c r="A36" s="164"/>
      <c r="B36" s="323" t="s">
        <v>577</v>
      </c>
      <c r="C36" s="324"/>
      <c r="D36" s="32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165"/>
      <c r="BB36" s="165"/>
      <c r="BC36" s="165"/>
      <c r="BD36" s="165"/>
      <c r="BE36" s="165"/>
      <c r="BF36" s="165"/>
      <c r="BG36" s="165"/>
      <c r="BH36" s="165"/>
      <c r="BI36" s="165"/>
      <c r="BJ36" s="165"/>
      <c r="BK36" s="165"/>
      <c r="BL36" s="165"/>
      <c r="BM36" s="165"/>
      <c r="BN36" s="165"/>
      <c r="BO36" s="165"/>
      <c r="BP36" s="165"/>
      <c r="BQ36" s="165"/>
      <c r="BR36" s="165"/>
      <c r="BS36" s="165"/>
      <c r="BT36" s="165"/>
      <c r="BU36" s="165"/>
      <c r="BV36" s="165"/>
      <c r="BW36" s="165"/>
      <c r="BX36" s="165"/>
      <c r="BY36" s="165"/>
      <c r="BZ36" s="165"/>
      <c r="CA36" s="165"/>
      <c r="CB36" s="165"/>
      <c r="CC36" s="165"/>
      <c r="CD36" s="165"/>
      <c r="CE36" s="165"/>
      <c r="CF36" s="165"/>
      <c r="CG36" s="165"/>
      <c r="CH36" s="165"/>
      <c r="CI36" s="165"/>
      <c r="CJ36" s="165"/>
      <c r="CR36" s="167"/>
      <c r="CS36" s="168"/>
      <c r="CT36" s="168"/>
      <c r="CU36" s="165"/>
      <c r="CV36" s="165"/>
      <c r="CW36" s="165"/>
      <c r="CX36" s="165"/>
      <c r="CY36" s="165"/>
      <c r="CZ36" s="165"/>
      <c r="DA36" s="165"/>
      <c r="DB36" s="165"/>
      <c r="DC36" s="165"/>
      <c r="DD36" s="165"/>
      <c r="DE36" s="165"/>
      <c r="DF36" s="165"/>
      <c r="DG36" s="165"/>
      <c r="DH36" s="165"/>
    </row>
  </sheetData>
  <mergeCells count="308">
    <mergeCell ref="CW15:CY15"/>
    <mergeCell ref="CM14:CO14"/>
    <mergeCell ref="A1:F1"/>
    <mergeCell ref="A2:F2"/>
    <mergeCell ref="A3:F3"/>
    <mergeCell ref="A4:F4"/>
    <mergeCell ref="A5:F5"/>
    <mergeCell ref="A6:F6"/>
    <mergeCell ref="AG14:AH14"/>
    <mergeCell ref="A7:F7"/>
    <mergeCell ref="A12:XFD12"/>
    <mergeCell ref="A13:CE13"/>
    <mergeCell ref="C14:E14"/>
    <mergeCell ref="F14:G14"/>
    <mergeCell ref="H14:I14"/>
    <mergeCell ref="J14:L14"/>
    <mergeCell ref="M14:N14"/>
    <mergeCell ref="O14:Q14"/>
    <mergeCell ref="R14:S14"/>
    <mergeCell ref="DG14:DH14"/>
    <mergeCell ref="X14:Z14"/>
    <mergeCell ref="AA14:AB14"/>
    <mergeCell ref="AC14:AF14"/>
    <mergeCell ref="DC14:DD14"/>
    <mergeCell ref="X17:Z17"/>
    <mergeCell ref="AA17:AB17"/>
    <mergeCell ref="CP14:CQ14"/>
    <mergeCell ref="CS14:CT14"/>
    <mergeCell ref="BZ14:CA14"/>
    <mergeCell ref="CB14:CC14"/>
    <mergeCell ref="CD14:CE14"/>
    <mergeCell ref="CF14:CH14"/>
    <mergeCell ref="CI14:CJ14"/>
    <mergeCell ref="CK14:CL14"/>
    <mergeCell ref="AC17:AF17"/>
    <mergeCell ref="AG17:AH17"/>
    <mergeCell ref="Y16:Z16"/>
    <mergeCell ref="Y15:Z15"/>
    <mergeCell ref="C17:E17"/>
    <mergeCell ref="F17:G17"/>
    <mergeCell ref="H17:I17"/>
    <mergeCell ref="J17:L17"/>
    <mergeCell ref="M17:N17"/>
    <mergeCell ref="O17:Q17"/>
    <mergeCell ref="R17:S17"/>
    <mergeCell ref="T14:U14"/>
    <mergeCell ref="V14:W14"/>
    <mergeCell ref="K16:L16"/>
    <mergeCell ref="K15:L15"/>
    <mergeCell ref="T17:U17"/>
    <mergeCell ref="V17:W17"/>
    <mergeCell ref="DE14:DF14"/>
    <mergeCell ref="BB14:BC14"/>
    <mergeCell ref="BD14:BF14"/>
    <mergeCell ref="BG14:BH14"/>
    <mergeCell ref="BI14:BJ14"/>
    <mergeCell ref="AI14:AK14"/>
    <mergeCell ref="AL14:AM14"/>
    <mergeCell ref="AN14:AO14"/>
    <mergeCell ref="AP14:AQ14"/>
    <mergeCell ref="AR14:AS14"/>
    <mergeCell ref="AT14:AV14"/>
    <mergeCell ref="BK14:BL14"/>
    <mergeCell ref="BM14:BN14"/>
    <mergeCell ref="BP14:BQ14"/>
    <mergeCell ref="BR14:BT14"/>
    <mergeCell ref="BU14:BW14"/>
    <mergeCell ref="BX14:BY14"/>
    <mergeCell ref="AW14:AX14"/>
    <mergeCell ref="AY14:BA14"/>
    <mergeCell ref="CU14:CV14"/>
    <mergeCell ref="CW14:CY14"/>
    <mergeCell ref="DA14:DB14"/>
    <mergeCell ref="CW16:CY16"/>
    <mergeCell ref="AW17:AX17"/>
    <mergeCell ref="AY17:BA17"/>
    <mergeCell ref="BB17:BC17"/>
    <mergeCell ref="BD17:BF17"/>
    <mergeCell ref="BG17:BH17"/>
    <mergeCell ref="BI17:BJ17"/>
    <mergeCell ref="AI17:AK17"/>
    <mergeCell ref="AL17:AM17"/>
    <mergeCell ref="AN17:AO17"/>
    <mergeCell ref="AP17:AQ17"/>
    <mergeCell ref="AR17:AS17"/>
    <mergeCell ref="AT17:AV17"/>
    <mergeCell ref="DC17:DD17"/>
    <mergeCell ref="DE17:DF17"/>
    <mergeCell ref="DG17:DH17"/>
    <mergeCell ref="K18:L18"/>
    <mergeCell ref="Y18:Z18"/>
    <mergeCell ref="CW18:CY18"/>
    <mergeCell ref="CM17:CO17"/>
    <mergeCell ref="CP17:CQ17"/>
    <mergeCell ref="CS17:CT17"/>
    <mergeCell ref="CU17:CV17"/>
    <mergeCell ref="CW17:CY17"/>
    <mergeCell ref="DA17:DB17"/>
    <mergeCell ref="BZ17:CA17"/>
    <mergeCell ref="CB17:CC17"/>
    <mergeCell ref="CD17:CE17"/>
    <mergeCell ref="CF17:CH17"/>
    <mergeCell ref="CI17:CJ17"/>
    <mergeCell ref="CK17:CL17"/>
    <mergeCell ref="BK17:BL17"/>
    <mergeCell ref="BM17:BN17"/>
    <mergeCell ref="BP17:BQ17"/>
    <mergeCell ref="BR17:BT17"/>
    <mergeCell ref="BU17:BW17"/>
    <mergeCell ref="BX17:BY17"/>
    <mergeCell ref="K19:L19"/>
    <mergeCell ref="Y19:Z19"/>
    <mergeCell ref="CW19:CY19"/>
    <mergeCell ref="C20:E20"/>
    <mergeCell ref="H20:I20"/>
    <mergeCell ref="J20:L20"/>
    <mergeCell ref="M20:N20"/>
    <mergeCell ref="O20:Q20"/>
    <mergeCell ref="R20:S20"/>
    <mergeCell ref="T20:U20"/>
    <mergeCell ref="AL20:AM20"/>
    <mergeCell ref="AN20:AO20"/>
    <mergeCell ref="AP20:AQ20"/>
    <mergeCell ref="AR20:AS20"/>
    <mergeCell ref="AT20:AV20"/>
    <mergeCell ref="AW20:AX20"/>
    <mergeCell ref="V20:W20"/>
    <mergeCell ref="X20:Z20"/>
    <mergeCell ref="AA20:AB20"/>
    <mergeCell ref="AC20:AF20"/>
    <mergeCell ref="AG20:AH20"/>
    <mergeCell ref="AI20:AJ20"/>
    <mergeCell ref="CM20:CO20"/>
    <mergeCell ref="BM20:BN20"/>
    <mergeCell ref="BP20:BQ20"/>
    <mergeCell ref="BR20:BT20"/>
    <mergeCell ref="BU20:BW20"/>
    <mergeCell ref="BX20:BY20"/>
    <mergeCell ref="BZ20:CA20"/>
    <mergeCell ref="AY20:BA20"/>
    <mergeCell ref="BB20:BC20"/>
    <mergeCell ref="BD20:BF20"/>
    <mergeCell ref="BG20:BH20"/>
    <mergeCell ref="BI20:BJ20"/>
    <mergeCell ref="BK20:BL20"/>
    <mergeCell ref="V22:W22"/>
    <mergeCell ref="X22:Z22"/>
    <mergeCell ref="AA22:AB22"/>
    <mergeCell ref="DE20:DF20"/>
    <mergeCell ref="DG20:DH20"/>
    <mergeCell ref="K21:L21"/>
    <mergeCell ref="Y21:Z21"/>
    <mergeCell ref="CW21:CY21"/>
    <mergeCell ref="C22:E22"/>
    <mergeCell ref="F22:G22"/>
    <mergeCell ref="H22:I22"/>
    <mergeCell ref="J22:L22"/>
    <mergeCell ref="M22:N22"/>
    <mergeCell ref="CP20:CQ20"/>
    <mergeCell ref="CS20:CT20"/>
    <mergeCell ref="CU20:CV20"/>
    <mergeCell ref="CW20:CY20"/>
    <mergeCell ref="DA20:DB20"/>
    <mergeCell ref="DC20:DD20"/>
    <mergeCell ref="CB20:CC20"/>
    <mergeCell ref="CD20:CE20"/>
    <mergeCell ref="CF20:CH20"/>
    <mergeCell ref="CI20:CJ20"/>
    <mergeCell ref="CK20:CL20"/>
    <mergeCell ref="DC22:DD22"/>
    <mergeCell ref="DE22:DF22"/>
    <mergeCell ref="DG22:DH22"/>
    <mergeCell ref="K23:L23"/>
    <mergeCell ref="Y23:Z23"/>
    <mergeCell ref="CW23:CY23"/>
    <mergeCell ref="CI22:CJ22"/>
    <mergeCell ref="CK22:CL22"/>
    <mergeCell ref="CM22:CO22"/>
    <mergeCell ref="CP22:CQ22"/>
    <mergeCell ref="CS22:CT22"/>
    <mergeCell ref="CU22:CV22"/>
    <mergeCell ref="BU22:BW22"/>
    <mergeCell ref="BX22:BY22"/>
    <mergeCell ref="BZ22:CA22"/>
    <mergeCell ref="CB22:CC22"/>
    <mergeCell ref="CD22:CE22"/>
    <mergeCell ref="CF22:CH22"/>
    <mergeCell ref="BG22:BH22"/>
    <mergeCell ref="BI22:BJ22"/>
    <mergeCell ref="BK22:BL22"/>
    <mergeCell ref="BM22:BN22"/>
    <mergeCell ref="BP22:BQ22"/>
    <mergeCell ref="BR22:BT22"/>
    <mergeCell ref="H24:I24"/>
    <mergeCell ref="K24:L24"/>
    <mergeCell ref="Y24:Z24"/>
    <mergeCell ref="CW24:CY24"/>
    <mergeCell ref="K25:L25"/>
    <mergeCell ref="Y25:Z25"/>
    <mergeCell ref="CW25:CY25"/>
    <mergeCell ref="CW22:CY22"/>
    <mergeCell ref="DA22:DB22"/>
    <mergeCell ref="AR22:AS22"/>
    <mergeCell ref="AT22:AV22"/>
    <mergeCell ref="AW22:AX22"/>
    <mergeCell ref="AY22:BA22"/>
    <mergeCell ref="BB22:BC22"/>
    <mergeCell ref="BD22:BF22"/>
    <mergeCell ref="AC22:AF22"/>
    <mergeCell ref="AG22:AH22"/>
    <mergeCell ref="AI22:AK22"/>
    <mergeCell ref="AL22:AM22"/>
    <mergeCell ref="AN22:AO22"/>
    <mergeCell ref="AP22:AQ22"/>
    <mergeCell ref="O22:Q22"/>
    <mergeCell ref="R22:S22"/>
    <mergeCell ref="T22:U22"/>
    <mergeCell ref="H26:I26"/>
    <mergeCell ref="K26:L26"/>
    <mergeCell ref="Y26:Z26"/>
    <mergeCell ref="CW26:CY26"/>
    <mergeCell ref="F27:G27"/>
    <mergeCell ref="H27:I27"/>
    <mergeCell ref="J27:L27"/>
    <mergeCell ref="M27:N27"/>
    <mergeCell ref="T27:U27"/>
    <mergeCell ref="V27:W27"/>
    <mergeCell ref="DG27:DH27"/>
    <mergeCell ref="C28:E28"/>
    <mergeCell ref="F28:G28"/>
    <mergeCell ref="H28:I28"/>
    <mergeCell ref="J28:L28"/>
    <mergeCell ref="M28:N28"/>
    <mergeCell ref="O28:Q28"/>
    <mergeCell ref="CK27:CL27"/>
    <mergeCell ref="CM27:CO27"/>
    <mergeCell ref="CP27:CQ27"/>
    <mergeCell ref="CS27:CT27"/>
    <mergeCell ref="CU27:CV27"/>
    <mergeCell ref="CW27:CY27"/>
    <mergeCell ref="BU27:BW27"/>
    <mergeCell ref="BX27:BY27"/>
    <mergeCell ref="CB27:CC27"/>
    <mergeCell ref="CD27:CE27"/>
    <mergeCell ref="CF27:CH27"/>
    <mergeCell ref="CI27:CJ27"/>
    <mergeCell ref="BD27:BF27"/>
    <mergeCell ref="BG27:BH27"/>
    <mergeCell ref="BI27:BJ27"/>
    <mergeCell ref="BK27:BL27"/>
    <mergeCell ref="BM27:BN27"/>
    <mergeCell ref="R28:S28"/>
    <mergeCell ref="T28:U28"/>
    <mergeCell ref="V28:W28"/>
    <mergeCell ref="X28:Z28"/>
    <mergeCell ref="AA28:AB28"/>
    <mergeCell ref="AC28:AF28"/>
    <mergeCell ref="DA27:DB27"/>
    <mergeCell ref="DC27:DD27"/>
    <mergeCell ref="DE27:DF27"/>
    <mergeCell ref="BP27:BQ27"/>
    <mergeCell ref="AP27:AQ27"/>
    <mergeCell ref="AR27:AS27"/>
    <mergeCell ref="AT27:AV27"/>
    <mergeCell ref="AW27:AX27"/>
    <mergeCell ref="AY27:BA27"/>
    <mergeCell ref="BB27:BC27"/>
    <mergeCell ref="X27:Z27"/>
    <mergeCell ref="AC27:AF27"/>
    <mergeCell ref="AG27:AH27"/>
    <mergeCell ref="AI27:AK27"/>
    <mergeCell ref="AL27:AM27"/>
    <mergeCell ref="AN27:AO27"/>
    <mergeCell ref="AW28:AX28"/>
    <mergeCell ref="AY28:BA28"/>
    <mergeCell ref="BB28:BC28"/>
    <mergeCell ref="BD28:BF28"/>
    <mergeCell ref="BG28:BH28"/>
    <mergeCell ref="AG28:AH28"/>
    <mergeCell ref="AI28:AK28"/>
    <mergeCell ref="AL28:AM28"/>
    <mergeCell ref="AN28:AO28"/>
    <mergeCell ref="AP28:AQ28"/>
    <mergeCell ref="AR28:AS28"/>
    <mergeCell ref="DA28:DB28"/>
    <mergeCell ref="DC28:DD28"/>
    <mergeCell ref="DE28:DF28"/>
    <mergeCell ref="DG28:DH28"/>
    <mergeCell ref="B36:D36"/>
    <mergeCell ref="CK28:CL28"/>
    <mergeCell ref="CM28:CO28"/>
    <mergeCell ref="CP28:CQ28"/>
    <mergeCell ref="CS28:CT28"/>
    <mergeCell ref="CU28:CV28"/>
    <mergeCell ref="CW28:CY28"/>
    <mergeCell ref="BX28:BY28"/>
    <mergeCell ref="BZ28:CA28"/>
    <mergeCell ref="CB28:CC28"/>
    <mergeCell ref="CD28:CE28"/>
    <mergeCell ref="CF28:CH28"/>
    <mergeCell ref="CI28:CJ28"/>
    <mergeCell ref="BI28:BJ28"/>
    <mergeCell ref="BK28:BL28"/>
    <mergeCell ref="BM28:BN28"/>
    <mergeCell ref="BP28:BQ28"/>
    <mergeCell ref="BR28:BT28"/>
    <mergeCell ref="BU28:BW28"/>
    <mergeCell ref="AT28:AV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60"/>
  <sheetViews>
    <sheetView topLeftCell="A17" zoomScale="85" zoomScaleNormal="85" workbookViewId="0">
      <selection activeCell="B41" sqref="B41:B42"/>
    </sheetView>
  </sheetViews>
  <sheetFormatPr baseColWidth="10" defaultColWidth="11.42578125" defaultRowHeight="15"/>
  <cols>
    <col min="2" max="2" width="37.5703125" style="281" customWidth="1"/>
    <col min="3" max="3" width="17.5703125" style="21" customWidth="1"/>
    <col min="4" max="4" width="16" style="21" customWidth="1"/>
    <col min="5" max="5" width="23.7109375" style="71" customWidth="1"/>
    <col min="6" max="6" width="15.7109375" style="21" customWidth="1"/>
    <col min="7" max="7" width="16.42578125" style="21" customWidth="1"/>
    <col min="8" max="8" width="14.28515625" style="21" customWidth="1"/>
    <col min="9" max="9" width="12" hidden="1" customWidth="1"/>
    <col min="10" max="10" width="15.42578125" hidden="1" customWidth="1"/>
    <col min="11" max="11" width="20.42578125" hidden="1" customWidth="1"/>
    <col min="12" max="12" width="16.42578125" hidden="1" customWidth="1"/>
    <col min="13" max="13" width="12.5703125" hidden="1" customWidth="1"/>
    <col min="14" max="14" width="13.42578125" hidden="1" customWidth="1"/>
    <col min="15" max="15" width="93.85546875" style="72" customWidth="1"/>
  </cols>
  <sheetData>
    <row r="1" spans="1:15" ht="15" customHeight="1">
      <c r="A1" s="389" t="s">
        <v>106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</row>
    <row r="2" spans="1:15" ht="15" customHeight="1">
      <c r="A2" s="391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</row>
    <row r="3" spans="1:15" ht="15" customHeight="1">
      <c r="A3" s="391"/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1:15" ht="30" customHeight="1" thickBot="1">
      <c r="A4" s="391"/>
      <c r="B4" s="392"/>
      <c r="C4" s="392"/>
      <c r="D4" s="392"/>
      <c r="E4" s="392"/>
      <c r="F4" s="392"/>
      <c r="G4" s="392"/>
      <c r="H4" s="392"/>
      <c r="I4" s="393"/>
      <c r="J4" s="393"/>
      <c r="K4" s="393"/>
      <c r="L4" s="393"/>
      <c r="M4" s="393"/>
      <c r="N4" s="393"/>
      <c r="O4" s="392"/>
    </row>
    <row r="5" spans="1:15" ht="30" customHeight="1" thickBot="1">
      <c r="A5" s="29"/>
      <c r="B5" s="272"/>
      <c r="C5" s="379" t="s">
        <v>107</v>
      </c>
      <c r="D5" s="379"/>
      <c r="E5" s="379"/>
      <c r="F5" s="379"/>
      <c r="G5" s="379"/>
      <c r="H5" s="379"/>
      <c r="I5" s="380" t="s">
        <v>108</v>
      </c>
      <c r="J5" s="380"/>
      <c r="K5" s="380"/>
      <c r="L5" s="380"/>
      <c r="M5" s="380"/>
      <c r="N5" s="380"/>
      <c r="O5" s="381" t="s">
        <v>3</v>
      </c>
    </row>
    <row r="6" spans="1:15" ht="33.75" customHeight="1">
      <c r="A6" s="383" t="s">
        <v>109</v>
      </c>
      <c r="B6" s="385" t="s">
        <v>110</v>
      </c>
      <c r="C6" s="387" t="s">
        <v>111</v>
      </c>
      <c r="D6" s="387"/>
      <c r="E6" s="387"/>
      <c r="F6" s="387"/>
      <c r="G6" s="387" t="s">
        <v>112</v>
      </c>
      <c r="H6" s="387"/>
      <c r="I6" s="388" t="s">
        <v>111</v>
      </c>
      <c r="J6" s="376"/>
      <c r="K6" s="376"/>
      <c r="L6" s="376"/>
      <c r="M6" s="376" t="s">
        <v>112</v>
      </c>
      <c r="N6" s="377"/>
      <c r="O6" s="381"/>
    </row>
    <row r="7" spans="1:15" ht="45">
      <c r="A7" s="383"/>
      <c r="B7" s="385"/>
      <c r="C7" s="266" t="s">
        <v>113</v>
      </c>
      <c r="D7" s="266" t="s">
        <v>114</v>
      </c>
      <c r="E7" s="30" t="s">
        <v>115</v>
      </c>
      <c r="F7" s="266" t="s">
        <v>116</v>
      </c>
      <c r="G7" s="266" t="s">
        <v>117</v>
      </c>
      <c r="H7" s="266" t="s">
        <v>118</v>
      </c>
      <c r="I7" s="267" t="s">
        <v>113</v>
      </c>
      <c r="J7" s="264" t="s">
        <v>114</v>
      </c>
      <c r="K7" s="264" t="s">
        <v>115</v>
      </c>
      <c r="L7" s="264" t="s">
        <v>116</v>
      </c>
      <c r="M7" s="264" t="s">
        <v>117</v>
      </c>
      <c r="N7" s="265" t="s">
        <v>118</v>
      </c>
      <c r="O7" s="381"/>
    </row>
    <row r="8" spans="1:15" ht="18.75" customHeight="1">
      <c r="A8" s="384"/>
      <c r="B8" s="386"/>
      <c r="C8" s="31" t="s">
        <v>119</v>
      </c>
      <c r="D8" s="31" t="s">
        <v>120</v>
      </c>
      <c r="E8" s="32" t="s">
        <v>121</v>
      </c>
      <c r="F8" s="31" t="s">
        <v>122</v>
      </c>
      <c r="G8" s="31" t="s">
        <v>123</v>
      </c>
      <c r="H8" s="31" t="s">
        <v>124</v>
      </c>
      <c r="I8" s="270" t="s">
        <v>125</v>
      </c>
      <c r="J8" s="270" t="s">
        <v>120</v>
      </c>
      <c r="K8" s="270" t="s">
        <v>121</v>
      </c>
      <c r="L8" s="270" t="s">
        <v>126</v>
      </c>
      <c r="M8" s="270" t="s">
        <v>127</v>
      </c>
      <c r="N8" s="33" t="s">
        <v>123</v>
      </c>
      <c r="O8" s="382"/>
    </row>
    <row r="9" spans="1:15">
      <c r="A9" s="354">
        <v>1</v>
      </c>
      <c r="B9" s="356" t="str">
        <f>+[2]INDICADORES!E1</f>
        <v>CONSORCIO PLC</v>
      </c>
      <c r="C9" s="34">
        <f>+[2]INDICADORES!G4</f>
        <v>4.5400160300152246</v>
      </c>
      <c r="D9" s="35">
        <f>+[2]INDICADORES!G7</f>
        <v>0.22778012228529768</v>
      </c>
      <c r="E9" s="36">
        <f>+[2]INDICADORES!F10</f>
        <v>8471633560</v>
      </c>
      <c r="F9" s="34">
        <f>+[2]INDICADORES!G13</f>
        <v>5.4024509705754369</v>
      </c>
      <c r="G9" s="35">
        <f>+[2]INDICADORES!G16</f>
        <v>0.22497963795148329</v>
      </c>
      <c r="H9" s="35">
        <f>+[2]INDICADORES!G19</f>
        <v>0.17373374850719242</v>
      </c>
      <c r="I9" s="37"/>
      <c r="J9" s="38"/>
      <c r="K9" s="39"/>
      <c r="L9" s="37"/>
      <c r="M9" s="40"/>
      <c r="N9" s="41"/>
      <c r="O9" s="359"/>
    </row>
    <row r="10" spans="1:15">
      <c r="A10" s="363"/>
      <c r="B10" s="378"/>
      <c r="C10" s="58" t="str">
        <f t="shared" ref="C10:C12" si="0">IF(C9&gt;=1.2,"CUMPLE","NO CUMPLE")</f>
        <v>CUMPLE</v>
      </c>
      <c r="D10" s="58" t="str">
        <f t="shared" ref="D10:D12" si="1">IF(D9&lt;=0.75,"CUMPLE","NO CUMPLE")</f>
        <v>CUMPLE</v>
      </c>
      <c r="E10" s="59" t="str">
        <f t="shared" ref="E10:E12" si="2">IF(E9&gt;=3634088913,"CUMPLE","NO CUMPLE")</f>
        <v>CUMPLE</v>
      </c>
      <c r="F10" s="58" t="str">
        <f t="shared" ref="F10:F12" si="3">IF(F9&gt;=0.5,"CUMPLE","NO CUMPLE")</f>
        <v>CUMPLE</v>
      </c>
      <c r="G10" s="58" t="str">
        <f t="shared" ref="G10:G12" si="4">IF(G9&gt;=2%,"CUMPLE","NO CUMPLE")</f>
        <v>CUMPLE</v>
      </c>
      <c r="H10" s="58" t="str">
        <f t="shared" ref="H10:H12" si="5">IF(H9&gt;=1%,"CUMPLE","NO CUMPLE")</f>
        <v>CUMPLE</v>
      </c>
      <c r="I10" s="42" t="str">
        <f>IF(I9&gt;=1.3,"CUMPLE","NO CUMPLE")</f>
        <v>NO CUMPLE</v>
      </c>
      <c r="J10" s="263" t="str">
        <f>IF(J9&lt;=0.75,"CUMPLE","NO CUMPLE")</f>
        <v>CUMPLE</v>
      </c>
      <c r="K10" s="263" t="str">
        <f>IF(K9&gt;1617568284,"CUMPLE","NO CUMPLE")</f>
        <v>NO CUMPLE</v>
      </c>
      <c r="L10" s="263" t="str">
        <f>IF(L9&gt;1.5,"CUMPLE","NO CUMPLE")</f>
        <v>NO CUMPLE</v>
      </c>
      <c r="M10" s="263" t="str">
        <f>IF(M9&gt;=6%,"CUMPLE","NO CUMPLE")</f>
        <v>NO CUMPLE</v>
      </c>
      <c r="N10" s="43" t="str">
        <f>IF(N9&gt;=3%,"CUMPLE","NO CUMPLE")</f>
        <v>NO CUMPLE</v>
      </c>
      <c r="O10" s="358"/>
    </row>
    <row r="11" spans="1:15" ht="20.45" customHeight="1">
      <c r="A11" s="354">
        <f>+A9+1</f>
        <v>2</v>
      </c>
      <c r="B11" s="356" t="str">
        <f>+[2]INDICADORES!H1</f>
        <v>CONSORCIO NEXUS JUDICIAL</v>
      </c>
      <c r="C11" s="34">
        <f>+[2]INDICADORES!J4</f>
        <v>7.1620155370985117</v>
      </c>
      <c r="D11" s="35">
        <f>+[2]INDICADORES!J7</f>
        <v>0.13800782962388464</v>
      </c>
      <c r="E11" s="36">
        <f>+[2]INDICADORES!I10</f>
        <v>37826918085</v>
      </c>
      <c r="F11" s="34">
        <f>+[2]INDICADORES!J13</f>
        <v>143.86914824943693</v>
      </c>
      <c r="G11" s="35">
        <f>+[2]INDICADORES!J16</f>
        <v>0.48488312883263202</v>
      </c>
      <c r="H11" s="35">
        <f>+[2]INDICADORES!J19</f>
        <v>0.41796546060120204</v>
      </c>
      <c r="I11" s="44"/>
      <c r="J11" s="45"/>
      <c r="K11" s="46"/>
      <c r="L11" s="44"/>
      <c r="M11" s="47"/>
      <c r="N11" s="48"/>
      <c r="O11" s="359"/>
    </row>
    <row r="12" spans="1:15" ht="20.45" customHeight="1">
      <c r="A12" s="360"/>
      <c r="B12" s="361"/>
      <c r="C12" s="58" t="str">
        <f t="shared" si="0"/>
        <v>CUMPLE</v>
      </c>
      <c r="D12" s="58" t="str">
        <f t="shared" si="1"/>
        <v>CUMPLE</v>
      </c>
      <c r="E12" s="59" t="str">
        <f t="shared" si="2"/>
        <v>CUMPLE</v>
      </c>
      <c r="F12" s="58" t="str">
        <f t="shared" si="3"/>
        <v>CUMPLE</v>
      </c>
      <c r="G12" s="58" t="str">
        <f t="shared" si="4"/>
        <v>CUMPLE</v>
      </c>
      <c r="H12" s="58" t="str">
        <f t="shared" si="5"/>
        <v>CUMPLE</v>
      </c>
      <c r="I12" s="44"/>
      <c r="J12" s="45"/>
      <c r="K12" s="46"/>
      <c r="L12" s="44"/>
      <c r="M12" s="47"/>
      <c r="N12" s="48"/>
      <c r="O12" s="362"/>
    </row>
    <row r="13" spans="1:15" ht="18.75" customHeight="1">
      <c r="A13" s="355">
        <f>+A11+1</f>
        <v>3</v>
      </c>
      <c r="B13" s="365" t="str">
        <f>+[2]INDICADORES!K1</f>
        <v>UNION TEMPORAL CARINCEL 2.0</v>
      </c>
      <c r="C13" s="52">
        <f>+[2]INDICADORES!M4</f>
        <v>94.058522327883466</v>
      </c>
      <c r="D13" s="53">
        <f>+[2]INDICADORES!M7</f>
        <v>0.43902962400466777</v>
      </c>
      <c r="E13" s="54">
        <f>+[2]INDICADORES!L10</f>
        <v>16064461818</v>
      </c>
      <c r="F13" s="52">
        <f>+[2]INDICADORES!M13</f>
        <v>35.672336926789811</v>
      </c>
      <c r="G13" s="55">
        <f>+[2]INDICADORES!M16</f>
        <v>0.39717516152739774</v>
      </c>
      <c r="H13" s="55">
        <f>+[2]INDICADORES!M19</f>
        <v>0.22280349969803112</v>
      </c>
      <c r="I13" s="44"/>
      <c r="J13" s="45"/>
      <c r="K13" s="46"/>
      <c r="L13" s="44"/>
      <c r="M13" s="47"/>
      <c r="N13" s="48"/>
      <c r="O13" s="367"/>
    </row>
    <row r="14" spans="1:15" ht="18.75" customHeight="1">
      <c r="A14" s="363"/>
      <c r="B14" s="366"/>
      <c r="C14" s="58" t="str">
        <f t="shared" ref="C14:C16" si="6">IF(C13&gt;=1.2,"CUMPLE","NO CUMPLE")</f>
        <v>CUMPLE</v>
      </c>
      <c r="D14" s="58" t="str">
        <f t="shared" ref="D14:D16" si="7">IF(D13&lt;=0.75,"CUMPLE","NO CUMPLE")</f>
        <v>CUMPLE</v>
      </c>
      <c r="E14" s="59" t="str">
        <f t="shared" ref="E14:E16" si="8">IF(E13&gt;=3634088913,"CUMPLE","NO CUMPLE")</f>
        <v>CUMPLE</v>
      </c>
      <c r="F14" s="58" t="str">
        <f t="shared" ref="F14:F16" si="9">IF(F13&gt;=0.5,"CUMPLE","NO CUMPLE")</f>
        <v>CUMPLE</v>
      </c>
      <c r="G14" s="58" t="str">
        <f t="shared" ref="G14:G16" si="10">IF(G13&gt;=2%,"CUMPLE","NO CUMPLE")</f>
        <v>CUMPLE</v>
      </c>
      <c r="H14" s="58" t="str">
        <f t="shared" ref="H14:H16" si="11">IF(H13&gt;=1%,"CUMPLE","NO CUMPLE")</f>
        <v>CUMPLE</v>
      </c>
      <c r="I14" s="42" t="str">
        <f t="shared" ref="I14" si="12">IF(I13&gt;=1.3,"CUMPLE","NO CUMPLE")</f>
        <v>NO CUMPLE</v>
      </c>
      <c r="J14" s="263" t="str">
        <f t="shared" ref="J14" si="13">IF(J13&lt;=0.75,"CUMPLE","NO CUMPLE")</f>
        <v>CUMPLE</v>
      </c>
      <c r="K14" s="263" t="str">
        <f t="shared" ref="K14" si="14">IF(K13&gt;1617568284,"CUMPLE","NO CUMPLE")</f>
        <v>NO CUMPLE</v>
      </c>
      <c r="L14" s="263" t="str">
        <f t="shared" ref="L14" si="15">IF(L13&gt;1.5,"CUMPLE","NO CUMPLE")</f>
        <v>NO CUMPLE</v>
      </c>
      <c r="M14" s="263" t="str">
        <f t="shared" ref="M14" si="16">IF(M13&gt;=6%,"CUMPLE","NO CUMPLE")</f>
        <v>NO CUMPLE</v>
      </c>
      <c r="N14" s="43" t="str">
        <f t="shared" ref="N14" si="17">IF(N13&gt;=3%,"CUMPLE","NO CUMPLE")</f>
        <v>NO CUMPLE</v>
      </c>
      <c r="O14" s="358"/>
    </row>
    <row r="15" spans="1:15" ht="18.75" customHeight="1">
      <c r="A15" s="355">
        <f t="shared" ref="A15" si="18">+A13+1</f>
        <v>4</v>
      </c>
      <c r="B15" s="365" t="str">
        <f>+[2]INDICADORES!N1</f>
        <v>CONSORCIO PALACIO KASAF</v>
      </c>
      <c r="C15" s="31">
        <f>+[2]INDICADORES!P4</f>
        <v>75.177973216928734</v>
      </c>
      <c r="D15" s="56">
        <f>+[2]INDICADORES!P7</f>
        <v>0.45890674209098636</v>
      </c>
      <c r="E15" s="57">
        <f>+[2]INDICADORES!O10</f>
        <v>26673210049</v>
      </c>
      <c r="F15" s="31">
        <f>+[2]INDICADORES!P13</f>
        <v>58.422744344956605</v>
      </c>
      <c r="G15" s="56">
        <f>+[2]INDICADORES!P16</f>
        <v>0.49019100927987458</v>
      </c>
      <c r="H15" s="56">
        <f>+[2]INDICADORES!P19</f>
        <v>0.26523905020895489</v>
      </c>
      <c r="I15" s="44"/>
      <c r="J15" s="45"/>
      <c r="K15" s="46"/>
      <c r="L15" s="44"/>
      <c r="M15" s="47"/>
      <c r="N15" s="48"/>
      <c r="O15" s="362"/>
    </row>
    <row r="16" spans="1:15" ht="18.75" customHeight="1">
      <c r="A16" s="360"/>
      <c r="B16" s="368"/>
      <c r="C16" s="58" t="str">
        <f t="shared" si="6"/>
        <v>CUMPLE</v>
      </c>
      <c r="D16" s="58" t="str">
        <f t="shared" si="7"/>
        <v>CUMPLE</v>
      </c>
      <c r="E16" s="59" t="str">
        <f t="shared" si="8"/>
        <v>CUMPLE</v>
      </c>
      <c r="F16" s="58" t="str">
        <f t="shared" si="9"/>
        <v>CUMPLE</v>
      </c>
      <c r="G16" s="58" t="str">
        <f t="shared" si="10"/>
        <v>CUMPLE</v>
      </c>
      <c r="H16" s="58" t="str">
        <f t="shared" si="11"/>
        <v>CUMPLE</v>
      </c>
      <c r="I16" s="263" t="str">
        <f t="shared" ref="I16" si="19">IF(I15&gt;=1.3,"CUMPLE","NO CUMPLE")</f>
        <v>NO CUMPLE</v>
      </c>
      <c r="J16" s="263" t="str">
        <f t="shared" ref="J16" si="20">IF(J15&lt;=0.75,"CUMPLE","NO CUMPLE")</f>
        <v>CUMPLE</v>
      </c>
      <c r="K16" s="263" t="str">
        <f t="shared" ref="K16" si="21">IF(K15&gt;1617568284,"CUMPLE","NO CUMPLE")</f>
        <v>NO CUMPLE</v>
      </c>
      <c r="L16" s="263" t="str">
        <f t="shared" ref="L16" si="22">IF(L15&gt;1.5,"CUMPLE","NO CUMPLE")</f>
        <v>NO CUMPLE</v>
      </c>
      <c r="M16" s="263" t="str">
        <f t="shared" ref="M16" si="23">IF(M15&gt;=6%,"CUMPLE","NO CUMPLE")</f>
        <v>NO CUMPLE</v>
      </c>
      <c r="N16" s="43" t="str">
        <f t="shared" ref="N16" si="24">IF(N15&gt;=3%,"CUMPLE","NO CUMPLE")</f>
        <v>NO CUMPLE</v>
      </c>
      <c r="O16" s="358"/>
    </row>
    <row r="17" spans="1:15" ht="18.75" customHeight="1">
      <c r="A17" s="354">
        <f t="shared" ref="A17" si="25">+A15+1</f>
        <v>5</v>
      </c>
      <c r="B17" s="356" t="str">
        <f>+[2]INDICADORES!Q1</f>
        <v>CONSORCIO CONSTRUCCIONES CIS</v>
      </c>
      <c r="C17" s="60">
        <f>+[2]INDICADORES!S4</f>
        <v>2.7327165628984758</v>
      </c>
      <c r="D17" s="38">
        <f>+[2]INDICADORES!S7</f>
        <v>0.31678392805612648</v>
      </c>
      <c r="E17" s="61">
        <f>+[2]INDICADORES!R10</f>
        <v>1928709149</v>
      </c>
      <c r="F17" s="60">
        <f>+[2]INDICADORES!S13</f>
        <v>7773.4939708561014</v>
      </c>
      <c r="G17" s="38">
        <f>+[2]INDICADORES!S16</f>
        <v>0.16523024829378286</v>
      </c>
      <c r="H17" s="38">
        <f>+[2]INDICADORES!S19</f>
        <v>0.11288796120558924</v>
      </c>
      <c r="I17" s="37"/>
      <c r="J17" s="38"/>
      <c r="K17" s="39"/>
      <c r="L17" s="37"/>
      <c r="M17" s="40"/>
      <c r="N17" s="41"/>
      <c r="O17" s="358" t="s">
        <v>650</v>
      </c>
    </row>
    <row r="18" spans="1:15" ht="18.75" customHeight="1">
      <c r="A18" s="360"/>
      <c r="B18" s="368"/>
      <c r="C18" s="58" t="str">
        <f t="shared" ref="C18:C22" si="26">IF(C17&gt;=1.2,"CUMPLE","NO CUMPLE")</f>
        <v>CUMPLE</v>
      </c>
      <c r="D18" s="58" t="str">
        <f t="shared" ref="D18:D22" si="27">IF(D17&lt;=0.75,"CUMPLE","NO CUMPLE")</f>
        <v>CUMPLE</v>
      </c>
      <c r="E18" s="175" t="str">
        <f>IF(E17&gt;=3634088913,"CUMPLE","NO CUMPLE")</f>
        <v>NO CUMPLE</v>
      </c>
      <c r="F18" s="58" t="str">
        <f t="shared" ref="F18:F22" si="28">IF(F17&gt;=0.5,"CUMPLE","NO CUMPLE")</f>
        <v>CUMPLE</v>
      </c>
      <c r="G18" s="58" t="str">
        <f t="shared" ref="G18:G22" si="29">IF(G17&gt;=2%,"CUMPLE","NO CUMPLE")</f>
        <v>CUMPLE</v>
      </c>
      <c r="H18" s="58" t="str">
        <f t="shared" ref="H18:H22" si="30">IF(H17&gt;=1%,"CUMPLE","NO CUMPLE")</f>
        <v>CUMPLE</v>
      </c>
      <c r="I18" s="263" t="str">
        <f t="shared" ref="I18" si="31">IF(I17&gt;=1.3,"CUMPLE","NO CUMPLE")</f>
        <v>NO CUMPLE</v>
      </c>
      <c r="J18" s="263" t="str">
        <f t="shared" ref="J18" si="32">IF(J17&lt;=0.75,"CUMPLE","NO CUMPLE")</f>
        <v>CUMPLE</v>
      </c>
      <c r="K18" s="263" t="str">
        <f t="shared" ref="K18" si="33">IF(K17&gt;1617568284,"CUMPLE","NO CUMPLE")</f>
        <v>NO CUMPLE</v>
      </c>
      <c r="L18" s="263" t="str">
        <f t="shared" ref="L18" si="34">IF(L17&gt;1.5,"CUMPLE","NO CUMPLE")</f>
        <v>NO CUMPLE</v>
      </c>
      <c r="M18" s="263" t="str">
        <f t="shared" ref="M18" si="35">IF(M17&gt;=6%,"CUMPLE","NO CUMPLE")</f>
        <v>NO CUMPLE</v>
      </c>
      <c r="N18" s="43" t="str">
        <f t="shared" ref="N18" si="36">IF(N17&gt;=3%,"CUMPLE","NO CUMPLE")</f>
        <v>NO CUMPLE</v>
      </c>
      <c r="O18" s="358"/>
    </row>
    <row r="19" spans="1:15" ht="18.75" customHeight="1">
      <c r="A19" s="354">
        <f t="shared" ref="A19" si="37">+A17+1</f>
        <v>6</v>
      </c>
      <c r="B19" s="356" t="str">
        <f>+[2]INDICADORES!T1</f>
        <v>CONSORCIO TEMIS</v>
      </c>
      <c r="C19" s="176">
        <f>+[2]INDICADORES!V4</f>
        <v>6.8919681785880984</v>
      </c>
      <c r="D19" s="177">
        <f>+[2]INDICADORES!V7</f>
        <v>0.62492475847085815</v>
      </c>
      <c r="E19" s="273">
        <f>+[2]INDICADORES!U10</f>
        <v>16588945866</v>
      </c>
      <c r="F19" s="177">
        <f>+[2]INDICADORES!V13</f>
        <v>24.310422157580252</v>
      </c>
      <c r="G19" s="177">
        <f>+[2]INDICADORES!V16</f>
        <v>0.19775859264933573</v>
      </c>
      <c r="H19" s="178">
        <f>+[2]INDICADORES!V19</f>
        <v>7.4174351902412769E-2</v>
      </c>
      <c r="I19" s="37"/>
      <c r="J19" s="38"/>
      <c r="K19" s="39"/>
      <c r="L19" s="37"/>
      <c r="M19" s="40"/>
      <c r="N19" s="41"/>
      <c r="O19" s="359"/>
    </row>
    <row r="20" spans="1:15">
      <c r="A20" s="363"/>
      <c r="B20" s="364"/>
      <c r="C20" s="58" t="str">
        <f t="shared" si="26"/>
        <v>CUMPLE</v>
      </c>
      <c r="D20" s="58" t="str">
        <f t="shared" si="27"/>
        <v>CUMPLE</v>
      </c>
      <c r="E20" s="59" t="str">
        <f t="shared" ref="E20:E22" si="38">IF(E19&gt;=3634088913,"CUMPLE","NO CUMPLE")</f>
        <v>CUMPLE</v>
      </c>
      <c r="F20" s="58" t="str">
        <f t="shared" si="28"/>
        <v>CUMPLE</v>
      </c>
      <c r="G20" s="58" t="str">
        <f t="shared" si="29"/>
        <v>CUMPLE</v>
      </c>
      <c r="H20" s="58" t="str">
        <f t="shared" si="30"/>
        <v>CUMPLE</v>
      </c>
      <c r="I20" s="42" t="str">
        <f>IF(I19&gt;=1.3,"CUMPLE","NO CUMPLE")</f>
        <v>NO CUMPLE</v>
      </c>
      <c r="J20" s="263" t="str">
        <f>IF(J19&lt;=0.75,"CUMPLE","NO CUMPLE")</f>
        <v>CUMPLE</v>
      </c>
      <c r="K20" s="263" t="str">
        <f>IF(K19&gt;1617568284,"CUMPLE","NO CUMPLE")</f>
        <v>NO CUMPLE</v>
      </c>
      <c r="L20" s="263" t="str">
        <f>IF(L19&gt;1.5,"CUMPLE","NO CUMPLE")</f>
        <v>NO CUMPLE</v>
      </c>
      <c r="M20" s="263" t="str">
        <f>IF(M19&gt;=6%,"CUMPLE","NO CUMPLE")</f>
        <v>NO CUMPLE</v>
      </c>
      <c r="N20" s="43" t="str">
        <f>IF(N19&gt;=3%,"CUMPLE","NO CUMPLE")</f>
        <v>NO CUMPLE</v>
      </c>
      <c r="O20" s="358"/>
    </row>
    <row r="21" spans="1:15">
      <c r="A21" s="355">
        <f>+A19+1</f>
        <v>7</v>
      </c>
      <c r="B21" s="365" t="str">
        <f>+[2]INDICADORES!E23</f>
        <v>CONSORCIO INGENIERIA DEL CARIBE</v>
      </c>
      <c r="C21" s="179">
        <f>+[2]INDICADORES!G26</f>
        <v>7.8752532383605676</v>
      </c>
      <c r="D21" s="179">
        <f>+[2]INDICADORES!G29</f>
        <v>0.47162820997255067</v>
      </c>
      <c r="E21" s="274">
        <f>+[2]INDICADORES!F32</f>
        <v>7630361694</v>
      </c>
      <c r="F21" s="179">
        <f>+[2]INDICADORES!G35</f>
        <v>108.64005344315711</v>
      </c>
      <c r="G21" s="179">
        <f>+[2]INDICADORES!G38</f>
        <v>0.7215878935227602</v>
      </c>
      <c r="H21" s="179">
        <f>+[2]INDICADORES!G41</f>
        <v>0.38126668696275734</v>
      </c>
      <c r="I21" s="44"/>
      <c r="J21" s="45"/>
      <c r="K21" s="46"/>
      <c r="L21" s="44"/>
      <c r="M21" s="47"/>
      <c r="N21" s="48"/>
      <c r="O21" s="367"/>
    </row>
    <row r="22" spans="1:15" ht="18.75" customHeight="1">
      <c r="A22" s="363"/>
      <c r="B22" s="366"/>
      <c r="C22" s="58" t="str">
        <f t="shared" si="26"/>
        <v>CUMPLE</v>
      </c>
      <c r="D22" s="58" t="str">
        <f t="shared" si="27"/>
        <v>CUMPLE</v>
      </c>
      <c r="E22" s="59" t="str">
        <f t="shared" si="38"/>
        <v>CUMPLE</v>
      </c>
      <c r="F22" s="58" t="str">
        <f t="shared" si="28"/>
        <v>CUMPLE</v>
      </c>
      <c r="G22" s="58" t="str">
        <f t="shared" si="29"/>
        <v>CUMPLE</v>
      </c>
      <c r="H22" s="58" t="str">
        <f t="shared" si="30"/>
        <v>CUMPLE</v>
      </c>
      <c r="I22" s="42" t="str">
        <f t="shared" ref="I22" si="39">IF(I21&gt;=1.3,"CUMPLE","NO CUMPLE")</f>
        <v>NO CUMPLE</v>
      </c>
      <c r="J22" s="263" t="str">
        <f t="shared" ref="J22" si="40">IF(J21&lt;=0.75,"CUMPLE","NO CUMPLE")</f>
        <v>CUMPLE</v>
      </c>
      <c r="K22" s="263" t="str">
        <f t="shared" ref="K22" si="41">IF(K21&gt;1617568284,"CUMPLE","NO CUMPLE")</f>
        <v>NO CUMPLE</v>
      </c>
      <c r="L22" s="263" t="str">
        <f t="shared" ref="L22" si="42">IF(L21&gt;1.5,"CUMPLE","NO CUMPLE")</f>
        <v>NO CUMPLE</v>
      </c>
      <c r="M22" s="263" t="str">
        <f t="shared" ref="M22" si="43">IF(M21&gt;=6%,"CUMPLE","NO CUMPLE")</f>
        <v>NO CUMPLE</v>
      </c>
      <c r="N22" s="43" t="str">
        <f t="shared" ref="N22" si="44">IF(N21&gt;=3%,"CUMPLE","NO CUMPLE")</f>
        <v>NO CUMPLE</v>
      </c>
      <c r="O22" s="358"/>
    </row>
    <row r="23" spans="1:15" ht="40.5" customHeight="1">
      <c r="A23" s="355">
        <f>+A21+1</f>
        <v>8</v>
      </c>
      <c r="B23" s="356" t="str">
        <f>+[2]INDICADORES!H23</f>
        <v>CONSORCIO PALACIO LC</v>
      </c>
      <c r="C23" s="179">
        <f>+[2]INDICADORES!J26</f>
        <v>6.2049401132524773</v>
      </c>
      <c r="D23" s="179">
        <f>+[2]INDICADORES!J29</f>
        <v>0.33185311762237962</v>
      </c>
      <c r="E23" s="274">
        <f>+[2]INDICADORES!I32</f>
        <v>31044588837</v>
      </c>
      <c r="F23" s="179">
        <f>+[2]INDICADORES!J35</f>
        <v>3.6659836425497767</v>
      </c>
      <c r="G23" s="179">
        <f>+[2]INDICADORES!J38</f>
        <v>0.16940408084230177</v>
      </c>
      <c r="H23" s="179">
        <f>+[2]INDICADORES!J41</f>
        <v>0.1131868084768303</v>
      </c>
      <c r="I23" s="37"/>
      <c r="J23" s="38"/>
      <c r="K23" s="39"/>
      <c r="L23" s="37"/>
      <c r="M23" s="40"/>
      <c r="N23" s="41"/>
      <c r="O23" s="359"/>
    </row>
    <row r="24" spans="1:15" ht="18.75" customHeight="1">
      <c r="A24" s="363"/>
      <c r="B24" s="361"/>
      <c r="C24" s="58" t="str">
        <f>IF(C23&gt;=1.2,"CUMPLE","NO CUMPLE")</f>
        <v>CUMPLE</v>
      </c>
      <c r="D24" s="58" t="str">
        <f>IF(D23&lt;=0.75,"CUMPLE","NO CUMPLE")</f>
        <v>CUMPLE</v>
      </c>
      <c r="E24" s="59" t="str">
        <f>IF(E23&gt;=3634088913,"CUMPLE","NO CUMPLE")</f>
        <v>CUMPLE</v>
      </c>
      <c r="F24" s="58" t="str">
        <f>IF(F23&gt;=0.5,"CUMPLE","NO CUMPLE")</f>
        <v>CUMPLE</v>
      </c>
      <c r="G24" s="58" t="str">
        <f>IF(G23&gt;=2%,"CUMPLE","NO CUMPLE")</f>
        <v>CUMPLE</v>
      </c>
      <c r="H24" s="58" t="str">
        <f>IF(H23&gt;=1%,"CUMPLE","NO CUMPLE")</f>
        <v>CUMPLE</v>
      </c>
      <c r="I24" s="42" t="e">
        <f>IF(#REF!&gt;=1.3,"CUMPLE","NO CUMPLE")</f>
        <v>#REF!</v>
      </c>
      <c r="J24" s="263" t="e">
        <f>IF(#REF!&lt;=0.75,"CUMPLE","NO CUMPLE")</f>
        <v>#REF!</v>
      </c>
      <c r="K24" s="263" t="e">
        <f>IF(#REF!&gt;1617568284,"CUMPLE","NO CUMPLE")</f>
        <v>#REF!</v>
      </c>
      <c r="L24" s="263" t="e">
        <f>IF(#REF!&gt;1.5,"CUMPLE","NO CUMPLE")</f>
        <v>#REF!</v>
      </c>
      <c r="M24" s="263" t="e">
        <f>IF(#REF!&gt;=6%,"CUMPLE","NO CUMPLE")</f>
        <v>#REF!</v>
      </c>
      <c r="N24" s="43" t="e">
        <f>IF(#REF!&gt;=3%,"CUMPLE","NO CUMPLE")</f>
        <v>#REF!</v>
      </c>
      <c r="O24" s="362"/>
    </row>
    <row r="25" spans="1:15">
      <c r="A25" s="354">
        <f>+A23+1</f>
        <v>9</v>
      </c>
      <c r="B25" s="356" t="str">
        <f>+[2]INDICADORES!K23</f>
        <v xml:space="preserve">CONSORCIO PRO PALACIO </v>
      </c>
      <c r="C25" s="179">
        <f>+[2]INDICADORES!M26</f>
        <v>2.7425619398967562</v>
      </c>
      <c r="D25" s="179">
        <f>+[2]INDICADORES!M29</f>
        <v>0.61621739229497763</v>
      </c>
      <c r="E25" s="274">
        <f>+[2]INDICADORES!L32</f>
        <v>47026067106</v>
      </c>
      <c r="F25" s="179">
        <f>+[2]INDICADORES!M35</f>
        <v>4.9375256559597531</v>
      </c>
      <c r="G25" s="179">
        <f>+[2]INDICADORES!M38</f>
        <v>0.32627291471878139</v>
      </c>
      <c r="H25" s="179">
        <f>+[2]INDICADORES!M41</f>
        <v>0.1252178700342923</v>
      </c>
      <c r="I25" s="44"/>
      <c r="J25" s="45"/>
      <c r="K25" s="46"/>
      <c r="L25" s="44"/>
      <c r="M25" s="47"/>
      <c r="N25" s="48"/>
      <c r="O25" s="359"/>
    </row>
    <row r="26" spans="1:15" ht="18.75" customHeight="1">
      <c r="A26" s="360"/>
      <c r="B26" s="361"/>
      <c r="C26" s="58" t="str">
        <f>IF(C25&gt;=1.2,"CUMPLE","NO CUMPLE")</f>
        <v>CUMPLE</v>
      </c>
      <c r="D26" s="58" t="str">
        <f>IF(D25&lt;=0.75,"CUMPLE","NO CUMPLE")</f>
        <v>CUMPLE</v>
      </c>
      <c r="E26" s="59" t="str">
        <f>IF(E25&gt;=3634088913,"CUMPLE","NO CUMPLE")</f>
        <v>CUMPLE</v>
      </c>
      <c r="F26" s="58" t="str">
        <f>IF(F25&gt;=0.5,"CUMPLE","NO CUMPLE")</f>
        <v>CUMPLE</v>
      </c>
      <c r="G26" s="58" t="str">
        <f>IF(G25&gt;=2%,"CUMPLE","NO CUMPLE")</f>
        <v>CUMPLE</v>
      </c>
      <c r="H26" s="58" t="str">
        <f>IF(H25&gt;=1%,"CUMPLE","NO CUMPLE")</f>
        <v>CUMPLE</v>
      </c>
      <c r="I26" s="42" t="e">
        <f>IF(#REF!&gt;=1.3,"CUMPLE","NO CUMPLE")</f>
        <v>#REF!</v>
      </c>
      <c r="J26" s="263" t="e">
        <f>IF(#REF!&lt;=0.75,"CUMPLE","NO CUMPLE")</f>
        <v>#REF!</v>
      </c>
      <c r="K26" s="263" t="e">
        <f>IF(#REF!&gt;1617568284,"CUMPLE","NO CUMPLE")</f>
        <v>#REF!</v>
      </c>
      <c r="L26" s="263" t="e">
        <f>IF(#REF!&gt;1.5,"CUMPLE","NO CUMPLE")</f>
        <v>#REF!</v>
      </c>
      <c r="M26" s="263" t="e">
        <f>IF(#REF!&gt;=6%,"CUMPLE","NO CUMPLE")</f>
        <v>#REF!</v>
      </c>
      <c r="N26" s="43" t="e">
        <f>IF(#REF!&gt;=3%,"CUMPLE","NO CUMPLE")</f>
        <v>#REF!</v>
      </c>
      <c r="O26" s="362"/>
    </row>
    <row r="27" spans="1:15" ht="18.75" customHeight="1">
      <c r="A27" s="355">
        <f>+A25+1</f>
        <v>10</v>
      </c>
      <c r="B27" s="365" t="str">
        <f>+[2]INDICADORES!N23</f>
        <v>CONSORCIO CONACERO 2026</v>
      </c>
      <c r="C27" s="52">
        <f>+[2]INDICADORES!P26</f>
        <v>5.2762620449804434</v>
      </c>
      <c r="D27" s="53">
        <f>+[2]INDICADORES!P29</f>
        <v>0.52522218777608964</v>
      </c>
      <c r="E27" s="54">
        <f>+[2]INDICADORES!O32</f>
        <v>8051559212</v>
      </c>
      <c r="F27" s="52">
        <f>+[2]INDICADORES!P35</f>
        <v>4.577892741084213</v>
      </c>
      <c r="G27" s="53">
        <f>+[2]INDICADORES!P38</f>
        <v>0.2465490776786223</v>
      </c>
      <c r="H27" s="53">
        <f>+[2]INDICADORES!P41</f>
        <v>0.11705603170607923</v>
      </c>
      <c r="I27" s="44"/>
      <c r="J27" s="45"/>
      <c r="K27" s="46"/>
      <c r="L27" s="44"/>
      <c r="M27" s="47"/>
      <c r="N27" s="48"/>
      <c r="O27" s="367"/>
    </row>
    <row r="28" spans="1:15" ht="18.75" customHeight="1">
      <c r="A28" s="363"/>
      <c r="B28" s="366"/>
      <c r="C28" s="58" t="str">
        <f>IF(C27&gt;=1.2,"CUMPLE","NO CUMPLE")</f>
        <v>CUMPLE</v>
      </c>
      <c r="D28" s="58" t="str">
        <f>IF(D27&lt;=0.75,"CUMPLE","NO CUMPLE")</f>
        <v>CUMPLE</v>
      </c>
      <c r="E28" s="59" t="str">
        <f>IF(E27&gt;=3634088913,"CUMPLE","NO CUMPLE")</f>
        <v>CUMPLE</v>
      </c>
      <c r="F28" s="58" t="str">
        <f>IF(F27&gt;=0.5,"CUMPLE","NO CUMPLE")</f>
        <v>CUMPLE</v>
      </c>
      <c r="G28" s="58" t="str">
        <f>IF(G27&gt;=2%,"CUMPLE","NO CUMPLE")</f>
        <v>CUMPLE</v>
      </c>
      <c r="H28" s="58" t="str">
        <f>IF(H27&gt;=1%,"CUMPLE","NO CUMPLE")</f>
        <v>CUMPLE</v>
      </c>
      <c r="I28" s="42" t="str">
        <f t="shared" ref="I28" si="45">IF(I27&gt;=1.3,"CUMPLE","NO CUMPLE")</f>
        <v>NO CUMPLE</v>
      </c>
      <c r="J28" s="263" t="str">
        <f t="shared" ref="J28" si="46">IF(J27&lt;=0.75,"CUMPLE","NO CUMPLE")</f>
        <v>CUMPLE</v>
      </c>
      <c r="K28" s="263" t="str">
        <f t="shared" ref="K28" si="47">IF(K27&gt;1617568284,"CUMPLE","NO CUMPLE")</f>
        <v>NO CUMPLE</v>
      </c>
      <c r="L28" s="263" t="str">
        <f t="shared" ref="L28" si="48">IF(L27&gt;1.5,"CUMPLE","NO CUMPLE")</f>
        <v>NO CUMPLE</v>
      </c>
      <c r="M28" s="263" t="str">
        <f t="shared" ref="M28" si="49">IF(M27&gt;=6%,"CUMPLE","NO CUMPLE")</f>
        <v>NO CUMPLE</v>
      </c>
      <c r="N28" s="43" t="str">
        <f t="shared" ref="N28" si="50">IF(N27&gt;=3%,"CUMPLE","NO CUMPLE")</f>
        <v>NO CUMPLE</v>
      </c>
      <c r="O28" s="358"/>
    </row>
    <row r="29" spans="1:15" ht="18.75" customHeight="1">
      <c r="A29" s="355">
        <f t="shared" ref="A29" si="51">+A27+1</f>
        <v>11</v>
      </c>
      <c r="B29" s="365" t="str">
        <f>+[2]INDICADORES!Q23</f>
        <v xml:space="preserve">CONSORCIO PALATIUM CS. </v>
      </c>
      <c r="C29" s="52">
        <f>+[2]INDICADORES!S26</f>
        <v>2.4154847586564436</v>
      </c>
      <c r="D29" s="53">
        <f>+[2]INDICADORES!S29</f>
        <v>0.60705076057490992</v>
      </c>
      <c r="E29" s="54">
        <f>+[2]INDICADORES!R32</f>
        <v>16145899581</v>
      </c>
      <c r="F29" s="52" t="str">
        <f>+[2]INDICADORES!S35</f>
        <v>INDETERMINADO</v>
      </c>
      <c r="G29" s="53">
        <f>+[2]INDICADORES!S38</f>
        <v>0.4834350639306213</v>
      </c>
      <c r="H29" s="53">
        <f>+[2]INDICADORES!S41</f>
        <v>0.18996544068295745</v>
      </c>
      <c r="I29" s="44"/>
      <c r="J29" s="45"/>
      <c r="K29" s="46"/>
      <c r="L29" s="44"/>
      <c r="M29" s="47"/>
      <c r="N29" s="48"/>
      <c r="O29" s="367"/>
    </row>
    <row r="30" spans="1:15" ht="18.75" customHeight="1">
      <c r="A30" s="363"/>
      <c r="B30" s="366"/>
      <c r="C30" s="58" t="str">
        <f>IF(C29&gt;=1.2,"CUMPLE","NO CUMPLE")</f>
        <v>CUMPLE</v>
      </c>
      <c r="D30" s="58" t="str">
        <f>IF(D29&lt;=0.75,"CUMPLE","NO CUMPLE")</f>
        <v>CUMPLE</v>
      </c>
      <c r="E30" s="59" t="str">
        <f>IF(E29&gt;=3634088913,"CUMPLE","NO CUMPLE")</f>
        <v>CUMPLE</v>
      </c>
      <c r="F30" s="58" t="str">
        <f>IF(F29&gt;=0.5,"CUMPLE","NO CUMPLE")</f>
        <v>CUMPLE</v>
      </c>
      <c r="G30" s="58" t="str">
        <f>IF(G29&gt;=2%,"CUMPLE","NO CUMPLE")</f>
        <v>CUMPLE</v>
      </c>
      <c r="H30" s="58" t="str">
        <f>IF(H29&gt;=1%,"CUMPLE","NO CUMPLE")</f>
        <v>CUMPLE</v>
      </c>
      <c r="I30" s="42" t="str">
        <f t="shared" ref="I30" si="52">IF(I29&gt;=1.3,"CUMPLE","NO CUMPLE")</f>
        <v>NO CUMPLE</v>
      </c>
      <c r="J30" s="263" t="str">
        <f t="shared" ref="J30" si="53">IF(J29&lt;=0.75,"CUMPLE","NO CUMPLE")</f>
        <v>CUMPLE</v>
      </c>
      <c r="K30" s="263" t="str">
        <f t="shared" ref="K30" si="54">IF(K29&gt;1617568284,"CUMPLE","NO CUMPLE")</f>
        <v>NO CUMPLE</v>
      </c>
      <c r="L30" s="263" t="str">
        <f t="shared" ref="L30" si="55">IF(L29&gt;1.5,"CUMPLE","NO CUMPLE")</f>
        <v>NO CUMPLE</v>
      </c>
      <c r="M30" s="263" t="str">
        <f t="shared" ref="M30" si="56">IF(M29&gt;=6%,"CUMPLE","NO CUMPLE")</f>
        <v>NO CUMPLE</v>
      </c>
      <c r="N30" s="43" t="str">
        <f t="shared" ref="N30" si="57">IF(N29&gt;=3%,"CUMPLE","NO CUMPLE")</f>
        <v>NO CUMPLE</v>
      </c>
      <c r="O30" s="358"/>
    </row>
    <row r="31" spans="1:15" ht="18.75" customHeight="1">
      <c r="A31" s="355">
        <f t="shared" ref="A31" si="58">+A29+1</f>
        <v>12</v>
      </c>
      <c r="B31" s="365" t="str">
        <f>+[2]INDICADORES!T23</f>
        <v>CONSORCIO CONSTRUCTORES 2026</v>
      </c>
      <c r="C31" s="52">
        <f>+[2]INDICADORES!V26</f>
        <v>88.394493168871591</v>
      </c>
      <c r="D31" s="53">
        <f>+[2]INDICADORES!V29</f>
        <v>0.29067069249657507</v>
      </c>
      <c r="E31" s="54">
        <f>+[2]INDICADORES!U32</f>
        <v>6310668835.8999996</v>
      </c>
      <c r="F31" s="52" t="str">
        <f>+[2]INDICADORES!V35</f>
        <v>INDETERMINADO</v>
      </c>
      <c r="G31" s="53">
        <f>+[2]INDICADORES!V38</f>
        <v>0.21395271514703357</v>
      </c>
      <c r="H31" s="53">
        <f>+[2]INDICADORES!V41</f>
        <v>0.15176293127372287</v>
      </c>
      <c r="I31" s="44"/>
      <c r="J31" s="45"/>
      <c r="K31" s="46"/>
      <c r="L31" s="44"/>
      <c r="M31" s="47"/>
      <c r="N31" s="48"/>
      <c r="O31" s="367"/>
    </row>
    <row r="32" spans="1:15" ht="18.75" customHeight="1">
      <c r="A32" s="363"/>
      <c r="B32" s="366"/>
      <c r="C32" s="58" t="str">
        <f>IF(C31&gt;=1.2,"CUMPLE","NO CUMPLE")</f>
        <v>CUMPLE</v>
      </c>
      <c r="D32" s="58" t="str">
        <f>IF(D31&lt;=0.75,"CUMPLE","NO CUMPLE")</f>
        <v>CUMPLE</v>
      </c>
      <c r="E32" s="59" t="str">
        <f>IF(E31&gt;=3634088913,"CUMPLE","NO CUMPLE")</f>
        <v>CUMPLE</v>
      </c>
      <c r="F32" s="58" t="str">
        <f>IF(F31&gt;=0.5,"CUMPLE","NO CUMPLE")</f>
        <v>CUMPLE</v>
      </c>
      <c r="G32" s="58" t="str">
        <f>IF(G31&gt;=2%,"CUMPLE","NO CUMPLE")</f>
        <v>CUMPLE</v>
      </c>
      <c r="H32" s="58" t="str">
        <f>IF(H31&gt;=1%,"CUMPLE","NO CUMPLE")</f>
        <v>CUMPLE</v>
      </c>
      <c r="I32" s="42" t="str">
        <f t="shared" ref="I32" si="59">IF(I31&gt;=1.3,"CUMPLE","NO CUMPLE")</f>
        <v>NO CUMPLE</v>
      </c>
      <c r="J32" s="263" t="str">
        <f t="shared" ref="J32" si="60">IF(J31&lt;=0.75,"CUMPLE","NO CUMPLE")</f>
        <v>CUMPLE</v>
      </c>
      <c r="K32" s="263" t="str">
        <f t="shared" ref="K32" si="61">IF(K31&gt;1617568284,"CUMPLE","NO CUMPLE")</f>
        <v>NO CUMPLE</v>
      </c>
      <c r="L32" s="263" t="str">
        <f t="shared" ref="L32" si="62">IF(L31&gt;1.5,"CUMPLE","NO CUMPLE")</f>
        <v>NO CUMPLE</v>
      </c>
      <c r="M32" s="263" t="str">
        <f t="shared" ref="M32" si="63">IF(M31&gt;=6%,"CUMPLE","NO CUMPLE")</f>
        <v>NO CUMPLE</v>
      </c>
      <c r="N32" s="43" t="str">
        <f t="shared" ref="N32" si="64">IF(N31&gt;=3%,"CUMPLE","NO CUMPLE")</f>
        <v>NO CUMPLE</v>
      </c>
      <c r="O32" s="358"/>
    </row>
    <row r="33" spans="1:15" ht="18.75" customHeight="1">
      <c r="A33" s="355">
        <f t="shared" ref="A33" si="65">+A31+1</f>
        <v>13</v>
      </c>
      <c r="B33" s="365" t="str">
        <f>+[2]INDICADORES!E45</f>
        <v>CONSORCIO PALACIO 2027</v>
      </c>
      <c r="C33" s="52">
        <f>+[2]INDICADORES!G48</f>
        <v>22.30339654000867</v>
      </c>
      <c r="D33" s="53">
        <f>+[2]INDICADORES!G51</f>
        <v>0.53435018253883593</v>
      </c>
      <c r="E33" s="54">
        <f>+[2]INDICADORES!F54</f>
        <v>24119341168</v>
      </c>
      <c r="F33" s="52">
        <f>+[2]INDICADORES!G57</f>
        <v>2.309082018920396</v>
      </c>
      <c r="G33" s="53">
        <f>+[2]INDICADORES!G60</f>
        <v>0.30286205379261066</v>
      </c>
      <c r="H33" s="53">
        <f>+[2]INDICADORES!G63</f>
        <v>0.14102766006444239</v>
      </c>
      <c r="I33" s="44"/>
      <c r="J33" s="45"/>
      <c r="K33" s="46"/>
      <c r="L33" s="44"/>
      <c r="M33" s="47"/>
      <c r="N33" s="48"/>
      <c r="O33" s="367"/>
    </row>
    <row r="34" spans="1:15" ht="18.75" customHeight="1">
      <c r="A34" s="363"/>
      <c r="B34" s="366"/>
      <c r="C34" s="58" t="str">
        <f t="shared" ref="C34:C36" si="66">IF(C33&gt;=1.2,"CUMPLE","NO CUMPLE")</f>
        <v>CUMPLE</v>
      </c>
      <c r="D34" s="58" t="str">
        <f>IF(D33&lt;=0.75,"CUMPLE","NO CUMPLE")</f>
        <v>CUMPLE</v>
      </c>
      <c r="E34" s="59" t="str">
        <f t="shared" ref="E34:E36" si="67">IF(E33&gt;=3634088913,"CUMPLE","NO CUMPLE")</f>
        <v>CUMPLE</v>
      </c>
      <c r="F34" s="58" t="str">
        <f t="shared" ref="F34:F36" si="68">IF(F33&gt;=0.5,"CUMPLE","NO CUMPLE")</f>
        <v>CUMPLE</v>
      </c>
      <c r="G34" s="58" t="str">
        <f t="shared" ref="G34:G36" si="69">IF(G33&gt;=2%,"CUMPLE","NO CUMPLE")</f>
        <v>CUMPLE</v>
      </c>
      <c r="H34" s="58" t="str">
        <f t="shared" ref="H34:H36" si="70">IF(H33&gt;=1%,"CUMPLE","NO CUMPLE")</f>
        <v>CUMPLE</v>
      </c>
      <c r="I34" s="42" t="str">
        <f t="shared" ref="I34" si="71">IF(I33&gt;=1.3,"CUMPLE","NO CUMPLE")</f>
        <v>NO CUMPLE</v>
      </c>
      <c r="J34" s="263" t="str">
        <f t="shared" ref="J34" si="72">IF(J33&lt;=0.75,"CUMPLE","NO CUMPLE")</f>
        <v>CUMPLE</v>
      </c>
      <c r="K34" s="263" t="str">
        <f t="shared" ref="K34" si="73">IF(K33&gt;1617568284,"CUMPLE","NO CUMPLE")</f>
        <v>NO CUMPLE</v>
      </c>
      <c r="L34" s="263" t="str">
        <f t="shared" ref="L34" si="74">IF(L33&gt;1.5,"CUMPLE","NO CUMPLE")</f>
        <v>NO CUMPLE</v>
      </c>
      <c r="M34" s="263" t="str">
        <f t="shared" ref="M34" si="75">IF(M33&gt;=6%,"CUMPLE","NO CUMPLE")</f>
        <v>NO CUMPLE</v>
      </c>
      <c r="N34" s="43" t="str">
        <f t="shared" ref="N34" si="76">IF(N33&gt;=3%,"CUMPLE","NO CUMPLE")</f>
        <v>NO CUMPLE</v>
      </c>
      <c r="O34" s="358"/>
    </row>
    <row r="35" spans="1:15" ht="18.75" customHeight="1">
      <c r="A35" s="355">
        <f t="shared" ref="A35" si="77">+A33+1</f>
        <v>14</v>
      </c>
      <c r="B35" s="365" t="str">
        <f>+[2]INDICADORES!H45</f>
        <v>CONSORCIO R.M.C. 2026</v>
      </c>
      <c r="C35" s="31">
        <f>+[2]INDICADORES!J48</f>
        <v>20.66296081926988</v>
      </c>
      <c r="D35" s="56">
        <f>+[2]INDICADORES!J51</f>
        <v>0.16043249306215865</v>
      </c>
      <c r="E35" s="57">
        <f>+[2]INDICADORES!I54</f>
        <v>6375171487</v>
      </c>
      <c r="F35" s="31">
        <f>+[2]INDICADORES!J57</f>
        <v>23.599529467172982</v>
      </c>
      <c r="G35" s="56">
        <f>+[2]INDICADORES!J60</f>
        <v>7.9317449260327369E-2</v>
      </c>
      <c r="H35" s="56">
        <f>+[2]INDICADORES!J63</f>
        <v>6.6592353132161788E-2</v>
      </c>
      <c r="I35" s="44"/>
      <c r="J35" s="45"/>
      <c r="K35" s="46"/>
      <c r="L35" s="44"/>
      <c r="M35" s="47"/>
      <c r="N35" s="48"/>
      <c r="O35" s="362"/>
    </row>
    <row r="36" spans="1:15" ht="18.75" customHeight="1">
      <c r="A36" s="360"/>
      <c r="B36" s="368"/>
      <c r="C36" s="58" t="str">
        <f t="shared" si="66"/>
        <v>CUMPLE</v>
      </c>
      <c r="D36" s="58" t="str">
        <f t="shared" ref="D36" si="78">IF(D35&lt;=0.75,"CUMPLE","NO CUMPLE")</f>
        <v>CUMPLE</v>
      </c>
      <c r="E36" s="59" t="str">
        <f t="shared" si="67"/>
        <v>CUMPLE</v>
      </c>
      <c r="F36" s="58" t="str">
        <f t="shared" si="68"/>
        <v>CUMPLE</v>
      </c>
      <c r="G36" s="58" t="str">
        <f t="shared" si="69"/>
        <v>CUMPLE</v>
      </c>
      <c r="H36" s="58" t="str">
        <f t="shared" si="70"/>
        <v>CUMPLE</v>
      </c>
      <c r="I36" s="263" t="str">
        <f t="shared" ref="I36" si="79">IF(I35&gt;=1.3,"CUMPLE","NO CUMPLE")</f>
        <v>NO CUMPLE</v>
      </c>
      <c r="J36" s="263" t="str">
        <f t="shared" ref="J36" si="80">IF(J35&lt;=0.75,"CUMPLE","NO CUMPLE")</f>
        <v>CUMPLE</v>
      </c>
      <c r="K36" s="263" t="str">
        <f t="shared" ref="K36" si="81">IF(K35&gt;1617568284,"CUMPLE","NO CUMPLE")</f>
        <v>NO CUMPLE</v>
      </c>
      <c r="L36" s="263" t="str">
        <f t="shared" ref="L36" si="82">IF(L35&gt;1.5,"CUMPLE","NO CUMPLE")</f>
        <v>NO CUMPLE</v>
      </c>
      <c r="M36" s="263" t="str">
        <f t="shared" ref="M36" si="83">IF(M35&gt;=6%,"CUMPLE","NO CUMPLE")</f>
        <v>NO CUMPLE</v>
      </c>
      <c r="N36" s="43" t="str">
        <f t="shared" ref="N36" si="84">IF(N35&gt;=3%,"CUMPLE","NO CUMPLE")</f>
        <v>NO CUMPLE</v>
      </c>
      <c r="O36" s="358"/>
    </row>
    <row r="37" spans="1:15">
      <c r="A37" s="363">
        <f>+A35+1</f>
        <v>15</v>
      </c>
      <c r="B37" s="364" t="str">
        <f>+[2]INDICADORES!K45</f>
        <v>CONSORCIO PALACIO JUDICIAL</v>
      </c>
      <c r="C37" s="369" t="s">
        <v>128</v>
      </c>
      <c r="D37" s="370"/>
      <c r="E37" s="370"/>
      <c r="F37" s="370"/>
      <c r="G37" s="370"/>
      <c r="H37" s="371"/>
      <c r="I37" s="44"/>
      <c r="J37" s="45"/>
      <c r="K37" s="46"/>
      <c r="L37" s="44"/>
      <c r="M37" s="47"/>
      <c r="N37" s="48"/>
      <c r="O37" s="359" t="s">
        <v>651</v>
      </c>
    </row>
    <row r="38" spans="1:15" ht="18.75" customHeight="1">
      <c r="A38" s="363"/>
      <c r="B38" s="364"/>
      <c r="C38" s="372"/>
      <c r="D38" s="373"/>
      <c r="E38" s="373"/>
      <c r="F38" s="373"/>
      <c r="G38" s="373"/>
      <c r="H38" s="374"/>
      <c r="I38" s="42" t="e">
        <f>IF(#REF!&gt;=1.3,"CUMPLE","NO CUMPLE")</f>
        <v>#REF!</v>
      </c>
      <c r="J38" s="263" t="e">
        <f>IF(#REF!&lt;=0.75,"CUMPLE","NO CUMPLE")</f>
        <v>#REF!</v>
      </c>
      <c r="K38" s="263" t="e">
        <f>IF(#REF!&gt;1617568284,"CUMPLE","NO CUMPLE")</f>
        <v>#REF!</v>
      </c>
      <c r="L38" s="263" t="e">
        <f>IF(#REF!&gt;1.5,"CUMPLE","NO CUMPLE")</f>
        <v>#REF!</v>
      </c>
      <c r="M38" s="263" t="e">
        <f>IF(#REF!&gt;=6%,"CUMPLE","NO CUMPLE")</f>
        <v>#REF!</v>
      </c>
      <c r="N38" s="43" t="e">
        <f>IF(#REF!&gt;=3%,"CUMPLE","NO CUMPLE")</f>
        <v>#REF!</v>
      </c>
      <c r="O38" s="362"/>
    </row>
    <row r="39" spans="1:15" ht="18.75" customHeight="1">
      <c r="A39" s="355">
        <f>+A37+1</f>
        <v>16</v>
      </c>
      <c r="B39" s="365" t="str">
        <f>+[2]INDICADORES!N45</f>
        <v>CONSORCIO JUSTICIA</v>
      </c>
      <c r="C39" s="31">
        <f>+[2]INDICADORES!P48</f>
        <v>202.20690426738418</v>
      </c>
      <c r="D39" s="56">
        <f>+[2]INDICADORES!P51</f>
        <v>0.4797031331398679</v>
      </c>
      <c r="E39" s="57">
        <f>+[2]INDICADORES!O54</f>
        <v>16361500712</v>
      </c>
      <c r="F39" s="31">
        <f>+[2]INDICADORES!P57</f>
        <v>13.3713724990935</v>
      </c>
      <c r="G39" s="56">
        <f>+[2]INDICADORES!P60</f>
        <v>0.25858916791467457</v>
      </c>
      <c r="H39" s="56">
        <f>+[2]INDICADORES!P63</f>
        <v>0.13454313386997377</v>
      </c>
      <c r="I39" s="44"/>
      <c r="J39" s="45"/>
      <c r="K39" s="46"/>
      <c r="L39" s="44"/>
      <c r="M39" s="47"/>
      <c r="N39" s="48"/>
      <c r="O39" s="362"/>
    </row>
    <row r="40" spans="1:15" ht="18.75" customHeight="1">
      <c r="A40" s="360"/>
      <c r="B40" s="368"/>
      <c r="C40" s="58" t="str">
        <f t="shared" ref="C40:C42" si="85">IF(C39&gt;=1.2,"CUMPLE","NO CUMPLE")</f>
        <v>CUMPLE</v>
      </c>
      <c r="D40" s="58" t="str">
        <f t="shared" ref="D40:D42" si="86">IF(D39&lt;=0.75,"CUMPLE","NO CUMPLE")</f>
        <v>CUMPLE</v>
      </c>
      <c r="E40" s="59" t="str">
        <f t="shared" ref="E40:E42" si="87">IF(E39&gt;=3634088913,"CUMPLE","NO CUMPLE")</f>
        <v>CUMPLE</v>
      </c>
      <c r="F40" s="58" t="str">
        <f t="shared" ref="F40:F42" si="88">IF(F39&gt;=0.5,"CUMPLE","NO CUMPLE")</f>
        <v>CUMPLE</v>
      </c>
      <c r="G40" s="58" t="str">
        <f t="shared" ref="G40:G42" si="89">IF(G39&gt;=2%,"CUMPLE","NO CUMPLE")</f>
        <v>CUMPLE</v>
      </c>
      <c r="H40" s="58" t="str">
        <f t="shared" ref="H40:H42" si="90">IF(H39&gt;=1%,"CUMPLE","NO CUMPLE")</f>
        <v>CUMPLE</v>
      </c>
      <c r="I40" s="263" t="str">
        <f t="shared" ref="I40" si="91">IF(I39&gt;=1.3,"CUMPLE","NO CUMPLE")</f>
        <v>NO CUMPLE</v>
      </c>
      <c r="J40" s="263" t="str">
        <f t="shared" ref="J40" si="92">IF(J39&lt;=0.75,"CUMPLE","NO CUMPLE")</f>
        <v>CUMPLE</v>
      </c>
      <c r="K40" s="263" t="str">
        <f t="shared" ref="K40" si="93">IF(K39&gt;1617568284,"CUMPLE","NO CUMPLE")</f>
        <v>NO CUMPLE</v>
      </c>
      <c r="L40" s="263" t="str">
        <f t="shared" ref="L40" si="94">IF(L39&gt;1.5,"CUMPLE","NO CUMPLE")</f>
        <v>NO CUMPLE</v>
      </c>
      <c r="M40" s="263" t="str">
        <f t="shared" ref="M40" si="95">IF(M39&gt;=6%,"CUMPLE","NO CUMPLE")</f>
        <v>NO CUMPLE</v>
      </c>
      <c r="N40" s="43" t="str">
        <f t="shared" ref="N40" si="96">IF(N39&gt;=3%,"CUMPLE","NO CUMPLE")</f>
        <v>NO CUMPLE</v>
      </c>
      <c r="O40" s="358"/>
    </row>
    <row r="41" spans="1:15">
      <c r="A41" s="363">
        <f>+A39+1</f>
        <v>17</v>
      </c>
      <c r="B41" s="364" t="str">
        <f>+[2]INDICADORES!Q45</f>
        <v>CONSORCIO PALACIO DE JUSTICIA</v>
      </c>
      <c r="C41" s="179">
        <f>+[2]INDICADORES!S48</f>
        <v>2.1878671942168864</v>
      </c>
      <c r="D41" s="179">
        <f>+[2]INDICADORES!S51</f>
        <v>0.42438394520571476</v>
      </c>
      <c r="E41" s="274">
        <f>+[2]INDICADORES!R54</f>
        <v>87776767574</v>
      </c>
      <c r="F41" s="179">
        <f>+[2]INDICADORES!S57</f>
        <v>107.68897930919431</v>
      </c>
      <c r="G41" s="179">
        <f>+[2]INDICADORES!S60</f>
        <v>0.35963715180630962</v>
      </c>
      <c r="H41" s="179">
        <f>+[2]INDICADORES!S63</f>
        <v>0.20701291848020137</v>
      </c>
      <c r="I41" s="44"/>
      <c r="J41" s="45"/>
      <c r="K41" s="46"/>
      <c r="L41" s="44"/>
      <c r="M41" s="47"/>
      <c r="N41" s="47"/>
      <c r="O41" s="359"/>
    </row>
    <row r="42" spans="1:15">
      <c r="A42" s="363"/>
      <c r="B42" s="364"/>
      <c r="C42" s="58" t="str">
        <f t="shared" si="85"/>
        <v>CUMPLE</v>
      </c>
      <c r="D42" s="58" t="str">
        <f t="shared" si="86"/>
        <v>CUMPLE</v>
      </c>
      <c r="E42" s="59" t="str">
        <f t="shared" si="87"/>
        <v>CUMPLE</v>
      </c>
      <c r="F42" s="58" t="str">
        <f t="shared" si="88"/>
        <v>CUMPLE</v>
      </c>
      <c r="G42" s="58" t="str">
        <f t="shared" si="89"/>
        <v>CUMPLE</v>
      </c>
      <c r="H42" s="58" t="str">
        <f t="shared" si="90"/>
        <v>CUMPLE</v>
      </c>
      <c r="I42" s="263" t="e">
        <f>IF(#REF!&gt;=1.3,"CUMPLE","NO CUMPLE")</f>
        <v>#REF!</v>
      </c>
      <c r="J42" s="263" t="e">
        <f>IF(#REF!&lt;=0.75,"CUMPLE","NO CUMPLE")</f>
        <v>#REF!</v>
      </c>
      <c r="K42" s="263" t="e">
        <f>IF(#REF!&gt;1617568284,"CUMPLE","NO CUMPLE")</f>
        <v>#REF!</v>
      </c>
      <c r="L42" s="263" t="e">
        <f>IF(#REF!&gt;1.5,"CUMPLE","NO CUMPLE")</f>
        <v>#REF!</v>
      </c>
      <c r="M42" s="263" t="e">
        <f>IF(#REF!&gt;=6%,"CUMPLE","NO CUMPLE")</f>
        <v>#REF!</v>
      </c>
      <c r="N42" s="263" t="e">
        <f>IF(#REF!&gt;=3%,"CUMPLE","NO CUMPLE")</f>
        <v>#REF!</v>
      </c>
      <c r="O42" s="362"/>
    </row>
    <row r="43" spans="1:15" ht="18.75" customHeight="1">
      <c r="A43" s="363">
        <f>+A41+1</f>
        <v>18</v>
      </c>
      <c r="B43" s="364" t="str">
        <f>+[2]INDICADORES!T45</f>
        <v>CONSORCIO ID PALACIO</v>
      </c>
      <c r="C43" s="60">
        <f>+[2]INDICADORES!V48</f>
        <v>6.6482683010129584</v>
      </c>
      <c r="D43" s="38">
        <f>+[2]INDICADORES!V51</f>
        <v>0.21612601763884581</v>
      </c>
      <c r="E43" s="61">
        <f>+[2]INDICADORES!U54</f>
        <v>11157899949</v>
      </c>
      <c r="F43" s="60">
        <f>+[2]INDICADORES!V57</f>
        <v>79.191501339169676</v>
      </c>
      <c r="G43" s="38">
        <f>+[2]INDICADORES!V60</f>
        <v>0.41159921128237026</v>
      </c>
      <c r="H43" s="38">
        <f>+[2]INDICADORES!V63</f>
        <v>0.32264191288462168</v>
      </c>
      <c r="I43" s="44"/>
      <c r="J43" s="45"/>
      <c r="K43" s="46"/>
      <c r="L43" s="44"/>
      <c r="M43" s="47"/>
      <c r="N43" s="47"/>
      <c r="O43" s="358"/>
    </row>
    <row r="44" spans="1:15" ht="18.75" customHeight="1">
      <c r="A44" s="363"/>
      <c r="B44" s="366"/>
      <c r="C44" s="58" t="str">
        <f t="shared" ref="C44:C50" si="97">IF(C43&gt;=1.2,"CUMPLE","NO CUMPLE")</f>
        <v>CUMPLE</v>
      </c>
      <c r="D44" s="58" t="str">
        <f t="shared" ref="D44:D50" si="98">IF(D43&lt;=0.75,"CUMPLE","NO CUMPLE")</f>
        <v>CUMPLE</v>
      </c>
      <c r="E44" s="59" t="str">
        <f t="shared" ref="E44:E50" si="99">IF(E43&gt;=3634088913,"CUMPLE","NO CUMPLE")</f>
        <v>CUMPLE</v>
      </c>
      <c r="F44" s="58" t="str">
        <f t="shared" ref="F44:F50" si="100">IF(F43&gt;=0.5,"CUMPLE","NO CUMPLE")</f>
        <v>CUMPLE</v>
      </c>
      <c r="G44" s="58" t="str">
        <f t="shared" ref="G44:G50" si="101">IF(G43&gt;=2%,"CUMPLE","NO CUMPLE")</f>
        <v>CUMPLE</v>
      </c>
      <c r="H44" s="58" t="str">
        <f t="shared" ref="H44:H50" si="102">IF(H43&gt;=1%,"CUMPLE","NO CUMPLE")</f>
        <v>CUMPLE</v>
      </c>
      <c r="I44" s="263" t="str">
        <f t="shared" ref="I44" si="103">IF(I43&gt;=1.3,"CUMPLE","NO CUMPLE")</f>
        <v>NO CUMPLE</v>
      </c>
      <c r="J44" s="263" t="str">
        <f t="shared" ref="J44" si="104">IF(J43&lt;=0.75,"CUMPLE","NO CUMPLE")</f>
        <v>CUMPLE</v>
      </c>
      <c r="K44" s="263" t="str">
        <f t="shared" ref="K44" si="105">IF(K43&gt;1617568284,"CUMPLE","NO CUMPLE")</f>
        <v>NO CUMPLE</v>
      </c>
      <c r="L44" s="263" t="str">
        <f t="shared" ref="L44" si="106">IF(L43&gt;1.5,"CUMPLE","NO CUMPLE")</f>
        <v>NO CUMPLE</v>
      </c>
      <c r="M44" s="263" t="str">
        <f t="shared" ref="M44" si="107">IF(M43&gt;=6%,"CUMPLE","NO CUMPLE")</f>
        <v>NO CUMPLE</v>
      </c>
      <c r="N44" s="263" t="str">
        <f t="shared" ref="N44" si="108">IF(N43&gt;=3%,"CUMPLE","NO CUMPLE")</f>
        <v>NO CUMPLE</v>
      </c>
      <c r="O44" s="358"/>
    </row>
    <row r="45" spans="1:15">
      <c r="A45" s="354">
        <f t="shared" ref="A45" si="109">+A43+1</f>
        <v>19</v>
      </c>
      <c r="B45" s="356" t="str">
        <f>+[2]INDICADORES!E67</f>
        <v>CONSORCIO YOSHER</v>
      </c>
      <c r="C45" s="176">
        <f>+[2]INDICADORES!G70</f>
        <v>6.4990595755009641</v>
      </c>
      <c r="D45" s="177">
        <f>+[2]INDICADORES!G73</f>
        <v>0.52681812558526819</v>
      </c>
      <c r="E45" s="273">
        <f>+[2]INDICADORES!F76</f>
        <v>4480892363</v>
      </c>
      <c r="F45" s="177">
        <f>+[2]INDICADORES!G79</f>
        <v>17.826190905289646</v>
      </c>
      <c r="G45" s="177">
        <f>+[2]INDICADORES!G82</f>
        <v>0.2367502412205002</v>
      </c>
      <c r="H45" s="178">
        <f>+[2]INDICADORES!G85</f>
        <v>0.1120259229088562</v>
      </c>
      <c r="I45" s="44"/>
      <c r="J45" s="45"/>
      <c r="K45" s="46"/>
      <c r="L45" s="44"/>
      <c r="M45" s="47"/>
      <c r="N45" s="48"/>
      <c r="O45" s="50"/>
    </row>
    <row r="46" spans="1:15" ht="18.75" customHeight="1">
      <c r="A46" s="360"/>
      <c r="B46" s="361"/>
      <c r="C46" s="58" t="str">
        <f t="shared" si="97"/>
        <v>CUMPLE</v>
      </c>
      <c r="D46" s="58" t="str">
        <f t="shared" si="98"/>
        <v>CUMPLE</v>
      </c>
      <c r="E46" s="59" t="str">
        <f t="shared" si="99"/>
        <v>CUMPLE</v>
      </c>
      <c r="F46" s="58" t="str">
        <f t="shared" si="100"/>
        <v>CUMPLE</v>
      </c>
      <c r="G46" s="58" t="str">
        <f t="shared" si="101"/>
        <v>CUMPLE</v>
      </c>
      <c r="H46" s="58" t="str">
        <f t="shared" si="102"/>
        <v>CUMPLE</v>
      </c>
      <c r="I46" s="42" t="str">
        <f>IF(I45&gt;=1.3,"CUMPLE","NO CUMPLE")</f>
        <v>NO CUMPLE</v>
      </c>
      <c r="J46" s="263" t="str">
        <f>IF(J45&lt;=0.75,"CUMPLE","NO CUMPLE")</f>
        <v>CUMPLE</v>
      </c>
      <c r="K46" s="263" t="str">
        <f>IF(K45&gt;1617568284,"CUMPLE","NO CUMPLE")</f>
        <v>NO CUMPLE</v>
      </c>
      <c r="L46" s="263" t="str">
        <f>IF(L45&gt;1.5,"CUMPLE","NO CUMPLE")</f>
        <v>NO CUMPLE</v>
      </c>
      <c r="M46" s="263" t="str">
        <f>IF(M45&gt;=6%,"CUMPLE","NO CUMPLE")</f>
        <v>NO CUMPLE</v>
      </c>
      <c r="N46" s="43" t="str">
        <f>IF(N45&gt;=3%,"CUMPLE","NO CUMPLE")</f>
        <v>NO CUMPLE</v>
      </c>
      <c r="O46" s="50"/>
    </row>
    <row r="47" spans="1:15">
      <c r="A47" s="363">
        <f>+A45+1</f>
        <v>20</v>
      </c>
      <c r="B47" s="364" t="str">
        <f>+[2]INDICADORES!H67</f>
        <v>CONSORCIO PMB</v>
      </c>
      <c r="C47" s="179">
        <f>+[2]INDICADORES!J70</f>
        <v>31.456058080166887</v>
      </c>
      <c r="D47" s="179">
        <f>+[2]INDICADORES!J73</f>
        <v>9.1971867014962017E-2</v>
      </c>
      <c r="E47" s="274">
        <f>+[2]INDICADORES!I76</f>
        <v>22678883004</v>
      </c>
      <c r="F47" s="179">
        <f>+[2]INDICADORES!J79</f>
        <v>8773.7216170498032</v>
      </c>
      <c r="G47" s="179">
        <f>+[2]INDICADORES!J82</f>
        <v>4.5616053374410964E-2</v>
      </c>
      <c r="H47" s="179">
        <f>+[2]INDICADORES!J85</f>
        <v>4.1420659779712231E-2</v>
      </c>
      <c r="I47" s="37"/>
      <c r="J47" s="38"/>
      <c r="K47" s="39"/>
      <c r="L47" s="37"/>
      <c r="M47" s="40"/>
      <c r="N47" s="41"/>
      <c r="O47" s="359"/>
    </row>
    <row r="48" spans="1:15" ht="18.75" customHeight="1">
      <c r="A48" s="363"/>
      <c r="B48" s="364"/>
      <c r="C48" s="58" t="str">
        <f t="shared" si="97"/>
        <v>CUMPLE</v>
      </c>
      <c r="D48" s="58" t="str">
        <f t="shared" si="98"/>
        <v>CUMPLE</v>
      </c>
      <c r="E48" s="59" t="str">
        <f t="shared" si="99"/>
        <v>CUMPLE</v>
      </c>
      <c r="F48" s="58" t="str">
        <f t="shared" si="100"/>
        <v>CUMPLE</v>
      </c>
      <c r="G48" s="58" t="str">
        <f t="shared" si="101"/>
        <v>CUMPLE</v>
      </c>
      <c r="H48" s="58" t="str">
        <f t="shared" si="102"/>
        <v>CUMPLE</v>
      </c>
      <c r="I48" s="42" t="e">
        <f>IF(#REF!&gt;=1.3,"CUMPLE","NO CUMPLE")</f>
        <v>#REF!</v>
      </c>
      <c r="J48" s="263" t="e">
        <f>IF(#REF!&lt;=0.75,"CUMPLE","NO CUMPLE")</f>
        <v>#REF!</v>
      </c>
      <c r="K48" s="263" t="e">
        <f>IF(#REF!&gt;1617568284,"CUMPLE","NO CUMPLE")</f>
        <v>#REF!</v>
      </c>
      <c r="L48" s="263" t="e">
        <f>IF(#REF!&gt;1.5,"CUMPLE","NO CUMPLE")</f>
        <v>#REF!</v>
      </c>
      <c r="M48" s="263" t="e">
        <f>IF(#REF!&gt;=6%,"CUMPLE","NO CUMPLE")</f>
        <v>#REF!</v>
      </c>
      <c r="N48" s="43" t="e">
        <f>IF(#REF!&gt;=3%,"CUMPLE","NO CUMPLE")</f>
        <v>#REF!</v>
      </c>
      <c r="O48" s="362"/>
    </row>
    <row r="49" spans="1:15" ht="18.75" customHeight="1">
      <c r="A49" s="355">
        <f>+A47+1</f>
        <v>21</v>
      </c>
      <c r="B49" s="365" t="str">
        <f>+[2]OFERENTES!A21</f>
        <v>Consorcio AE-2</v>
      </c>
      <c r="C49" s="179">
        <f>+[2]INDICADORES!M70</f>
        <v>6.8483720543792588</v>
      </c>
      <c r="D49" s="179">
        <f>+[2]INDICADORES!M73</f>
        <v>0.10295366732022801</v>
      </c>
      <c r="E49" s="274">
        <f>+[2]INDICADORES!L76</f>
        <v>4927582106</v>
      </c>
      <c r="F49" s="179">
        <f>+[2]INDICADORES!M79</f>
        <v>17.812562747433045</v>
      </c>
      <c r="G49" s="179">
        <f>+[2]INDICADORES!M82</f>
        <v>0.23603207023363365</v>
      </c>
      <c r="H49" s="179">
        <f>+[2]INDICADORES!M85</f>
        <v>0.21173170299789545</v>
      </c>
      <c r="I49" s="44"/>
      <c r="J49" s="45"/>
      <c r="K49" s="46"/>
      <c r="L49" s="44"/>
      <c r="M49" s="47"/>
      <c r="N49" s="48"/>
      <c r="O49" s="367"/>
    </row>
    <row r="50" spans="1:15" ht="18.75" customHeight="1">
      <c r="A50" s="363"/>
      <c r="B50" s="366"/>
      <c r="C50" s="58" t="str">
        <f t="shared" si="97"/>
        <v>CUMPLE</v>
      </c>
      <c r="D50" s="58" t="str">
        <f t="shared" si="98"/>
        <v>CUMPLE</v>
      </c>
      <c r="E50" s="59" t="str">
        <f t="shared" si="99"/>
        <v>CUMPLE</v>
      </c>
      <c r="F50" s="58" t="str">
        <f t="shared" si="100"/>
        <v>CUMPLE</v>
      </c>
      <c r="G50" s="58" t="str">
        <f t="shared" si="101"/>
        <v>CUMPLE</v>
      </c>
      <c r="H50" s="58" t="str">
        <f t="shared" si="102"/>
        <v>CUMPLE</v>
      </c>
      <c r="I50" s="42" t="str">
        <f t="shared" ref="I50" si="110">IF(I49&gt;=1.3,"CUMPLE","NO CUMPLE")</f>
        <v>NO CUMPLE</v>
      </c>
      <c r="J50" s="263" t="str">
        <f t="shared" ref="J50" si="111">IF(J49&lt;=0.75,"CUMPLE","NO CUMPLE")</f>
        <v>CUMPLE</v>
      </c>
      <c r="K50" s="263" t="str">
        <f t="shared" ref="K50" si="112">IF(K49&gt;1617568284,"CUMPLE","NO CUMPLE")</f>
        <v>NO CUMPLE</v>
      </c>
      <c r="L50" s="263" t="str">
        <f t="shared" ref="L50" si="113">IF(L49&gt;1.5,"CUMPLE","NO CUMPLE")</f>
        <v>NO CUMPLE</v>
      </c>
      <c r="M50" s="263" t="str">
        <f t="shared" ref="M50" si="114">IF(M49&gt;=6%,"CUMPLE","NO CUMPLE")</f>
        <v>NO CUMPLE</v>
      </c>
      <c r="N50" s="43" t="str">
        <f t="shared" ref="N50" si="115">IF(N49&gt;=3%,"CUMPLE","NO CUMPLE")</f>
        <v>NO CUMPLE</v>
      </c>
      <c r="O50" s="358"/>
    </row>
    <row r="51" spans="1:15" ht="18.75" customHeight="1">
      <c r="A51" s="355">
        <f t="shared" ref="A51" si="116">+A49+1</f>
        <v>22</v>
      </c>
      <c r="B51" s="365" t="str">
        <f>+[2]INDICADORES!N67</f>
        <v>CONSORCIO JUSTICIA Y PROGRESO</v>
      </c>
      <c r="C51" s="31">
        <f>+[2]INDICADORES!P70</f>
        <v>7.1531194070723876</v>
      </c>
      <c r="D51" s="56">
        <f>+[2]INDICADORES!P73</f>
        <v>0.25150890752674676</v>
      </c>
      <c r="E51" s="57">
        <f>+[2]INDICADORES!O76</f>
        <v>12107953398</v>
      </c>
      <c r="F51" s="31">
        <f>+[2]INDICADORES!P79</f>
        <v>58.81633736973432</v>
      </c>
      <c r="G51" s="56">
        <f>+[2]INDICADORES!P82</f>
        <v>0.39191691090695846</v>
      </c>
      <c r="H51" s="56">
        <f>+[2]INDICADORES!P85</f>
        <v>0.29334631680349199</v>
      </c>
      <c r="I51" s="44"/>
      <c r="J51" s="45"/>
      <c r="K51" s="46"/>
      <c r="L51" s="44"/>
      <c r="M51" s="47"/>
      <c r="N51" s="48"/>
      <c r="O51" s="362"/>
    </row>
    <row r="52" spans="1:15" ht="18.75" customHeight="1">
      <c r="A52" s="360"/>
      <c r="B52" s="368"/>
      <c r="C52" s="58" t="str">
        <f>IF(C51&gt;=1.2,"CUMPLE","NO CUMPLE")</f>
        <v>CUMPLE</v>
      </c>
      <c r="D52" s="58" t="str">
        <f t="shared" ref="D52:D54" si="117">IF(D51&lt;=0.75,"CUMPLE","NO CUMPLE")</f>
        <v>CUMPLE</v>
      </c>
      <c r="E52" s="59" t="str">
        <f t="shared" ref="E52:E54" si="118">IF(E51&gt;=3634088913,"CUMPLE","NO CUMPLE")</f>
        <v>CUMPLE</v>
      </c>
      <c r="F52" s="58" t="str">
        <f t="shared" ref="F52:F54" si="119">IF(F51&gt;=0.5,"CUMPLE","NO CUMPLE")</f>
        <v>CUMPLE</v>
      </c>
      <c r="G52" s="58" t="str">
        <f t="shared" ref="G52:G54" si="120">IF(G51&gt;=2%,"CUMPLE","NO CUMPLE")</f>
        <v>CUMPLE</v>
      </c>
      <c r="H52" s="58" t="str">
        <f t="shared" ref="H52:H54" si="121">IF(H51&gt;=1%,"CUMPLE","NO CUMPLE")</f>
        <v>CUMPLE</v>
      </c>
      <c r="I52" s="263" t="str">
        <f t="shared" ref="I52" si="122">IF(I51&gt;=1.3,"CUMPLE","NO CUMPLE")</f>
        <v>NO CUMPLE</v>
      </c>
      <c r="J52" s="263" t="str">
        <f t="shared" ref="J52" si="123">IF(J51&lt;=0.75,"CUMPLE","NO CUMPLE")</f>
        <v>CUMPLE</v>
      </c>
      <c r="K52" s="263" t="str">
        <f t="shared" ref="K52" si="124">IF(K51&gt;1617568284,"CUMPLE","NO CUMPLE")</f>
        <v>NO CUMPLE</v>
      </c>
      <c r="L52" s="263" t="str">
        <f t="shared" ref="L52" si="125">IF(L51&gt;1.5,"CUMPLE","NO CUMPLE")</f>
        <v>NO CUMPLE</v>
      </c>
      <c r="M52" s="263" t="str">
        <f t="shared" ref="M52" si="126">IF(M51&gt;=6%,"CUMPLE","NO CUMPLE")</f>
        <v>NO CUMPLE</v>
      </c>
      <c r="N52" s="43" t="str">
        <f t="shared" ref="N52" si="127">IF(N51&gt;=3%,"CUMPLE","NO CUMPLE")</f>
        <v>NO CUMPLE</v>
      </c>
      <c r="O52" s="358"/>
    </row>
    <row r="53" spans="1:15">
      <c r="A53" s="354">
        <f>+A51+1</f>
        <v>23</v>
      </c>
      <c r="B53" s="356" t="str">
        <f>+[2]INDICADORES!Q67</f>
        <v>CONSORCIO CONSTRUPALACIO SEV.</v>
      </c>
      <c r="C53" s="179">
        <f>+[2]INDICADORES!S70</f>
        <v>9.8466112426382786</v>
      </c>
      <c r="D53" s="179">
        <f>+[2]INDICADORES!S73</f>
        <v>0.16410964418439952</v>
      </c>
      <c r="E53" s="274">
        <f>+[2]INDICADORES!R76</f>
        <v>7382655170</v>
      </c>
      <c r="F53" s="179">
        <f>+[2]INDICADORES!S79</f>
        <v>3.7075386989174874</v>
      </c>
      <c r="G53" s="179">
        <f>+[2]INDICADORES!S82</f>
        <v>0.10351699475446056</v>
      </c>
      <c r="H53" s="179">
        <f>+[2]INDICADORES!S85</f>
        <v>8.6528857578267698E-2</v>
      </c>
      <c r="I53" s="37"/>
      <c r="J53" s="38"/>
      <c r="K53" s="39"/>
      <c r="L53" s="37"/>
      <c r="M53" s="40"/>
      <c r="N53" s="41"/>
      <c r="O53" s="49"/>
    </row>
    <row r="54" spans="1:15" ht="18.75" customHeight="1">
      <c r="A54" s="360"/>
      <c r="B54" s="361"/>
      <c r="C54" s="58" t="str">
        <f>IF(C53&gt;=1.2,"CUMPLE","NO CUMPLE")</f>
        <v>CUMPLE</v>
      </c>
      <c r="D54" s="58" t="str">
        <f t="shared" si="117"/>
        <v>CUMPLE</v>
      </c>
      <c r="E54" s="59" t="str">
        <f t="shared" si="118"/>
        <v>CUMPLE</v>
      </c>
      <c r="F54" s="58" t="str">
        <f t="shared" si="119"/>
        <v>CUMPLE</v>
      </c>
      <c r="G54" s="58" t="str">
        <f t="shared" si="120"/>
        <v>CUMPLE</v>
      </c>
      <c r="H54" s="58" t="str">
        <f t="shared" si="121"/>
        <v>CUMPLE</v>
      </c>
      <c r="I54" s="42" t="e">
        <f>IF(#REF!&gt;=1.3,"CUMPLE","NO CUMPLE")</f>
        <v>#REF!</v>
      </c>
      <c r="J54" s="263" t="e">
        <f>IF(#REF!&lt;=0.75,"CUMPLE","NO CUMPLE")</f>
        <v>#REF!</v>
      </c>
      <c r="K54" s="263" t="e">
        <f>IF(#REF!&gt;1617568284,"CUMPLE","NO CUMPLE")</f>
        <v>#REF!</v>
      </c>
      <c r="L54" s="263" t="e">
        <f>IF(#REF!&gt;1.5,"CUMPLE","NO CUMPLE")</f>
        <v>#REF!</v>
      </c>
      <c r="M54" s="263" t="e">
        <f>IF(#REF!&gt;=6%,"CUMPLE","NO CUMPLE")</f>
        <v>#REF!</v>
      </c>
      <c r="N54" s="43" t="e">
        <f>IF(#REF!&gt;=3%,"CUMPLE","NO CUMPLE")</f>
        <v>#REF!</v>
      </c>
      <c r="O54" s="50"/>
    </row>
    <row r="55" spans="1:15" ht="18.75" customHeight="1">
      <c r="A55" s="355">
        <f>+A53+1</f>
        <v>24</v>
      </c>
      <c r="B55" s="365" t="str">
        <f>+[2]INDICADORES!T67</f>
        <v>CONSORCIO OBRAS JUDICIALES</v>
      </c>
      <c r="C55" s="179">
        <f>+[2]INDICADORES!V70</f>
        <v>27.490642018628201</v>
      </c>
      <c r="D55" s="179">
        <f>+[2]INDICADORES!V73</f>
        <v>0.55879031477891694</v>
      </c>
      <c r="E55" s="274">
        <f>+[2]INDICADORES!U76</f>
        <v>11350737000</v>
      </c>
      <c r="F55" s="179">
        <f>+[2]INDICADORES!V79</f>
        <v>193.39839075716938</v>
      </c>
      <c r="G55" s="179">
        <f>+[2]INDICADORES!V82</f>
        <v>0.49035047399289516</v>
      </c>
      <c r="H55" s="179">
        <f>+[2]INDICADORES!V85</f>
        <v>0.21634737827841413</v>
      </c>
      <c r="I55" s="37"/>
      <c r="J55" s="38"/>
      <c r="K55" s="39"/>
      <c r="L55" s="37"/>
      <c r="M55" s="40"/>
      <c r="N55" s="41"/>
      <c r="O55" s="367"/>
    </row>
    <row r="56" spans="1:15" ht="18.75" customHeight="1">
      <c r="A56" s="363"/>
      <c r="B56" s="366"/>
      <c r="C56" s="58" t="str">
        <f>IF(C55&gt;=1.2,"CUMPLE","NO CUMPLE")</f>
        <v>CUMPLE</v>
      </c>
      <c r="D56" s="58" t="str">
        <f t="shared" ref="D56" si="128">IF(D55&lt;=0.75,"CUMPLE","NO CUMPLE")</f>
        <v>CUMPLE</v>
      </c>
      <c r="E56" s="59" t="str">
        <f t="shared" ref="E56" si="129">IF(E55&gt;=3634088913,"CUMPLE","NO CUMPLE")</f>
        <v>CUMPLE</v>
      </c>
      <c r="F56" s="58" t="str">
        <f t="shared" ref="F56" si="130">IF(F55&gt;=0.5,"CUMPLE","NO CUMPLE")</f>
        <v>CUMPLE</v>
      </c>
      <c r="G56" s="58" t="str">
        <f t="shared" ref="G56" si="131">IF(G55&gt;=2%,"CUMPLE","NO CUMPLE")</f>
        <v>CUMPLE</v>
      </c>
      <c r="H56" s="58" t="str">
        <f t="shared" ref="H56" si="132">IF(H55&gt;=1%,"CUMPLE","NO CUMPLE")</f>
        <v>CUMPLE</v>
      </c>
      <c r="I56" s="42" t="str">
        <f t="shared" ref="I56" si="133">IF(I55&gt;=1.3,"CUMPLE","NO CUMPLE")</f>
        <v>NO CUMPLE</v>
      </c>
      <c r="J56" s="263" t="str">
        <f t="shared" ref="J56" si="134">IF(J55&lt;=0.75,"CUMPLE","NO CUMPLE")</f>
        <v>CUMPLE</v>
      </c>
      <c r="K56" s="263" t="str">
        <f t="shared" ref="K56" si="135">IF(K55&gt;1617568284,"CUMPLE","NO CUMPLE")</f>
        <v>NO CUMPLE</v>
      </c>
      <c r="L56" s="263" t="str">
        <f t="shared" ref="L56" si="136">IF(L55&gt;1.5,"CUMPLE","NO CUMPLE")</f>
        <v>NO CUMPLE</v>
      </c>
      <c r="M56" s="263" t="str">
        <f t="shared" ref="M56" si="137">IF(M55&gt;=6%,"CUMPLE","NO CUMPLE")</f>
        <v>NO CUMPLE</v>
      </c>
      <c r="N56" s="43" t="str">
        <f t="shared" ref="N56" si="138">IF(N55&gt;=3%,"CUMPLE","NO CUMPLE")</f>
        <v>NO CUMPLE</v>
      </c>
      <c r="O56" s="358"/>
    </row>
    <row r="57" spans="1:15" ht="35.25" customHeight="1">
      <c r="A57" s="354">
        <f>+A55+1</f>
        <v>25</v>
      </c>
      <c r="B57" s="356" t="str">
        <f>+[2]INDICADORES!E89</f>
        <v>CONSORCIO PALACIO DE MAGANGUÉ.</v>
      </c>
      <c r="C57" s="179">
        <f>+[2]INDICADORES!G92</f>
        <v>3.2703670079457536</v>
      </c>
      <c r="D57" s="179">
        <f>+[2]INDICADORES!G95</f>
        <v>0.33563840917738852</v>
      </c>
      <c r="E57" s="274">
        <f>+[2]INDICADORES!F98</f>
        <v>19520846997</v>
      </c>
      <c r="F57" s="179">
        <f>+[2]INDICADORES!G101</f>
        <v>15.192644308363283</v>
      </c>
      <c r="G57" s="179">
        <f>+[2]INDICADORES!G104</f>
        <v>0.83717943908099468</v>
      </c>
      <c r="H57" s="179">
        <f>+[2]INDICADORES!G107</f>
        <v>0.55618986395183112</v>
      </c>
      <c r="I57" s="37"/>
      <c r="J57" s="38"/>
      <c r="K57" s="39"/>
      <c r="L57" s="37"/>
      <c r="M57" s="40"/>
      <c r="N57" s="41"/>
      <c r="O57" s="49"/>
    </row>
    <row r="58" spans="1:15" ht="18.75" customHeight="1">
      <c r="A58" s="360"/>
      <c r="B58" s="361"/>
      <c r="C58" s="58" t="str">
        <f>IF(C57&gt;=1.2,"CUMPLE","NO CUMPLE")</f>
        <v>CUMPLE</v>
      </c>
      <c r="D58" s="58" t="str">
        <f t="shared" ref="D58" si="139">IF(D57&lt;=0.75,"CUMPLE","NO CUMPLE")</f>
        <v>CUMPLE</v>
      </c>
      <c r="E58" s="59" t="str">
        <f t="shared" ref="E58" si="140">IF(E57&gt;=3634088913,"CUMPLE","NO CUMPLE")</f>
        <v>CUMPLE</v>
      </c>
      <c r="F58" s="58" t="str">
        <f t="shared" ref="F58" si="141">IF(F57&gt;=0.5,"CUMPLE","NO CUMPLE")</f>
        <v>CUMPLE</v>
      </c>
      <c r="G58" s="58" t="str">
        <f t="shared" ref="G58" si="142">IF(G57&gt;=2%,"CUMPLE","NO CUMPLE")</f>
        <v>CUMPLE</v>
      </c>
      <c r="H58" s="58" t="str">
        <f t="shared" ref="H58" si="143">IF(H57&gt;=1%,"CUMPLE","NO CUMPLE")</f>
        <v>CUMPLE</v>
      </c>
      <c r="I58" s="42" t="e">
        <f>IF(#REF!&gt;=1.3,"CUMPLE","NO CUMPLE")</f>
        <v>#REF!</v>
      </c>
      <c r="J58" s="263" t="e">
        <f>IF(#REF!&lt;=0.75,"CUMPLE","NO CUMPLE")</f>
        <v>#REF!</v>
      </c>
      <c r="K58" s="263" t="e">
        <f>IF(#REF!&gt;1617568284,"CUMPLE","NO CUMPLE")</f>
        <v>#REF!</v>
      </c>
      <c r="L58" s="263" t="e">
        <f>IF(#REF!&gt;1.5,"CUMPLE","NO CUMPLE")</f>
        <v>#REF!</v>
      </c>
      <c r="M58" s="263" t="e">
        <f>IF(#REF!&gt;=6%,"CUMPLE","NO CUMPLE")</f>
        <v>#REF!</v>
      </c>
      <c r="N58" s="43" t="e">
        <f>IF(#REF!&gt;=3%,"CUMPLE","NO CUMPLE")</f>
        <v>#REF!</v>
      </c>
      <c r="O58" s="50"/>
    </row>
    <row r="59" spans="1:15">
      <c r="A59" s="354">
        <f>+A57+1</f>
        <v>26</v>
      </c>
      <c r="B59" s="356" t="str">
        <f>+[2]INDICADORES!H89</f>
        <v>CONSORCIO SOCISER MAGANGUE</v>
      </c>
      <c r="C59" s="179">
        <f>+[2]INDICADORES!J92</f>
        <v>9.5625923909165884</v>
      </c>
      <c r="D59" s="179">
        <f>+[2]INDICADORES!J95</f>
        <v>9.6422625675220322E-2</v>
      </c>
      <c r="E59" s="274">
        <f>+[2]INDICADORES!I98</f>
        <v>26495687151</v>
      </c>
      <c r="F59" s="179">
        <f>+[2]INDICADORES!J101</f>
        <v>57.527837973608719</v>
      </c>
      <c r="G59" s="179">
        <f>+[2]INDICADORES!J104</f>
        <v>0.10709066639653511</v>
      </c>
      <c r="H59" s="179">
        <f>+[2]INDICADORES!J107</f>
        <v>9.6764703157272119E-2</v>
      </c>
      <c r="I59" s="37"/>
      <c r="J59" s="38"/>
      <c r="K59" s="39"/>
      <c r="L59" s="37"/>
      <c r="M59" s="40"/>
      <c r="N59" s="41"/>
      <c r="O59" s="49"/>
    </row>
    <row r="60" spans="1:15" ht="18.75" customHeight="1">
      <c r="A60" s="360"/>
      <c r="B60" s="361"/>
      <c r="C60" s="58" t="str">
        <f>IF(C59&gt;=1.2,"CUMPLE","NO CUMPLE")</f>
        <v>CUMPLE</v>
      </c>
      <c r="D60" s="58" t="str">
        <f t="shared" ref="D60" si="144">IF(D59&lt;=0.75,"CUMPLE","NO CUMPLE")</f>
        <v>CUMPLE</v>
      </c>
      <c r="E60" s="59" t="str">
        <f t="shared" ref="E60" si="145">IF(E59&gt;=3634088913,"CUMPLE","NO CUMPLE")</f>
        <v>CUMPLE</v>
      </c>
      <c r="F60" s="58" t="str">
        <f t="shared" ref="F60" si="146">IF(F59&gt;=0.5,"CUMPLE","NO CUMPLE")</f>
        <v>CUMPLE</v>
      </c>
      <c r="G60" s="58" t="str">
        <f t="shared" ref="G60" si="147">IF(G59&gt;=2%,"CUMPLE","NO CUMPLE")</f>
        <v>CUMPLE</v>
      </c>
      <c r="H60" s="58" t="str">
        <f t="shared" ref="H60" si="148">IF(H59&gt;=1%,"CUMPLE","NO CUMPLE")</f>
        <v>CUMPLE</v>
      </c>
      <c r="I60" s="42" t="e">
        <f>IF(#REF!&gt;=1.3,"CUMPLE","NO CUMPLE")</f>
        <v>#REF!</v>
      </c>
      <c r="J60" s="263" t="e">
        <f>IF(#REF!&lt;=0.75,"CUMPLE","NO CUMPLE")</f>
        <v>#REF!</v>
      </c>
      <c r="K60" s="263" t="e">
        <f>IF(#REF!&gt;1617568284,"CUMPLE","NO CUMPLE")</f>
        <v>#REF!</v>
      </c>
      <c r="L60" s="263" t="e">
        <f>IF(#REF!&gt;1.5,"CUMPLE","NO CUMPLE")</f>
        <v>#REF!</v>
      </c>
      <c r="M60" s="263" t="e">
        <f>IF(#REF!&gt;=6%,"CUMPLE","NO CUMPLE")</f>
        <v>#REF!</v>
      </c>
      <c r="N60" s="43" t="e">
        <f>IF(#REF!&gt;=3%,"CUMPLE","NO CUMPLE")</f>
        <v>#REF!</v>
      </c>
      <c r="O60" s="50"/>
    </row>
    <row r="61" spans="1:15" ht="18.75" customHeight="1">
      <c r="A61" s="355">
        <f>+A59+1</f>
        <v>27</v>
      </c>
      <c r="B61" s="365" t="str">
        <f>+[2]INDICADORES!K89</f>
        <v>CONSORCIO PALACIO XP</v>
      </c>
      <c r="C61" s="31">
        <f>+[2]INDICADORES!M92</f>
        <v>17.478430551258857</v>
      </c>
      <c r="D61" s="56">
        <f>+[2]INDICADORES!M95</f>
        <v>0.33224011025398997</v>
      </c>
      <c r="E61" s="57">
        <f>+[2]INDICADORES!L98</f>
        <v>24045900964</v>
      </c>
      <c r="F61" s="31">
        <f>+[2]INDICADORES!M101</f>
        <v>19.51760549093699</v>
      </c>
      <c r="G61" s="56">
        <f>+[2]INDICADORES!M104</f>
        <v>0.16252469362334859</v>
      </c>
      <c r="H61" s="56">
        <f>+[2]INDICADORES!M107</f>
        <v>0.10852747149493133</v>
      </c>
      <c r="I61" s="44"/>
      <c r="J61" s="45"/>
      <c r="K61" s="46"/>
      <c r="L61" s="44"/>
      <c r="M61" s="47"/>
      <c r="N61" s="48"/>
      <c r="O61" s="367"/>
    </row>
    <row r="62" spans="1:15" ht="18.75" customHeight="1">
      <c r="A62" s="363"/>
      <c r="B62" s="366"/>
      <c r="C62" s="58" t="str">
        <f t="shared" ref="C62:C64" si="149">IF(C61&gt;=1.2,"CUMPLE","NO CUMPLE")</f>
        <v>CUMPLE</v>
      </c>
      <c r="D62" s="58" t="str">
        <f t="shared" ref="D62:D64" si="150">IF(D61&lt;=0.75,"CUMPLE","NO CUMPLE")</f>
        <v>CUMPLE</v>
      </c>
      <c r="E62" s="59" t="str">
        <f t="shared" ref="E62:E64" si="151">IF(E61&gt;=3634088913,"CUMPLE","NO CUMPLE")</f>
        <v>CUMPLE</v>
      </c>
      <c r="F62" s="58" t="str">
        <f t="shared" ref="F62:F64" si="152">IF(F61&gt;=0.5,"CUMPLE","NO CUMPLE")</f>
        <v>CUMPLE</v>
      </c>
      <c r="G62" s="58" t="str">
        <f t="shared" ref="G62:G64" si="153">IF(G61&gt;=2%,"CUMPLE","NO CUMPLE")</f>
        <v>CUMPLE</v>
      </c>
      <c r="H62" s="58" t="str">
        <f t="shared" ref="H62:H64" si="154">IF(H61&gt;=1%,"CUMPLE","NO CUMPLE")</f>
        <v>CUMPLE</v>
      </c>
      <c r="I62" s="42" t="str">
        <f t="shared" ref="I62" si="155">IF(I61&gt;=1.3,"CUMPLE","NO CUMPLE")</f>
        <v>NO CUMPLE</v>
      </c>
      <c r="J62" s="263" t="str">
        <f t="shared" ref="J62" si="156">IF(J61&lt;=0.75,"CUMPLE","NO CUMPLE")</f>
        <v>CUMPLE</v>
      </c>
      <c r="K62" s="263" t="str">
        <f t="shared" ref="K62" si="157">IF(K61&gt;1617568284,"CUMPLE","NO CUMPLE")</f>
        <v>NO CUMPLE</v>
      </c>
      <c r="L62" s="263" t="str">
        <f t="shared" ref="L62" si="158">IF(L61&gt;1.5,"CUMPLE","NO CUMPLE")</f>
        <v>NO CUMPLE</v>
      </c>
      <c r="M62" s="263" t="str">
        <f t="shared" ref="M62" si="159">IF(M61&gt;=6%,"CUMPLE","NO CUMPLE")</f>
        <v>NO CUMPLE</v>
      </c>
      <c r="N62" s="43" t="str">
        <f t="shared" ref="N62" si="160">IF(N61&gt;=3%,"CUMPLE","NO CUMPLE")</f>
        <v>NO CUMPLE</v>
      </c>
      <c r="O62" s="358"/>
    </row>
    <row r="63" spans="1:15" ht="18.75" customHeight="1">
      <c r="A63" s="355">
        <f t="shared" ref="A63" si="161">+A61+1</f>
        <v>28</v>
      </c>
      <c r="B63" s="365" t="str">
        <f>+[2]INDICADORES!N89</f>
        <v>BROKA CONSTRUCCIONES E INTERVENTORIAS S.A.S NIT:901167911-0</v>
      </c>
      <c r="C63" s="31">
        <f>+[2]INDICADORES!P92</f>
        <v>12.074657489026901</v>
      </c>
      <c r="D63" s="56">
        <f>+[2]INDICADORES!P95</f>
        <v>0.18093108915916306</v>
      </c>
      <c r="E63" s="57">
        <f>+[2]INDICADORES!O98</f>
        <v>11934397702</v>
      </c>
      <c r="F63" s="31">
        <f>+[2]INDICADORES!P101</f>
        <v>76.177032181319049</v>
      </c>
      <c r="G63" s="56">
        <f>+[2]INDICADORES!P104</f>
        <v>0.21781606808382545</v>
      </c>
      <c r="H63" s="56">
        <f>+[2]INDICADORES!P107</f>
        <v>0.17840636964905252</v>
      </c>
      <c r="I63" s="44"/>
      <c r="J63" s="45"/>
      <c r="K63" s="46"/>
      <c r="L63" s="44"/>
      <c r="M63" s="47"/>
      <c r="N63" s="48"/>
      <c r="O63" s="362"/>
    </row>
    <row r="64" spans="1:15" ht="18.75" customHeight="1">
      <c r="A64" s="360"/>
      <c r="B64" s="368"/>
      <c r="C64" s="58" t="str">
        <f t="shared" si="149"/>
        <v>CUMPLE</v>
      </c>
      <c r="D64" s="58" t="str">
        <f t="shared" si="150"/>
        <v>CUMPLE</v>
      </c>
      <c r="E64" s="59" t="str">
        <f t="shared" si="151"/>
        <v>CUMPLE</v>
      </c>
      <c r="F64" s="58" t="str">
        <f t="shared" si="152"/>
        <v>CUMPLE</v>
      </c>
      <c r="G64" s="58" t="str">
        <f t="shared" si="153"/>
        <v>CUMPLE</v>
      </c>
      <c r="H64" s="58" t="str">
        <f t="shared" si="154"/>
        <v>CUMPLE</v>
      </c>
      <c r="I64" s="263" t="str">
        <f t="shared" ref="I64" si="162">IF(I63&gt;=1.3,"CUMPLE","NO CUMPLE")</f>
        <v>NO CUMPLE</v>
      </c>
      <c r="J64" s="263" t="str">
        <f t="shared" ref="J64" si="163">IF(J63&lt;=0.75,"CUMPLE","NO CUMPLE")</f>
        <v>CUMPLE</v>
      </c>
      <c r="K64" s="263" t="str">
        <f t="shared" ref="K64" si="164">IF(K63&gt;1617568284,"CUMPLE","NO CUMPLE")</f>
        <v>NO CUMPLE</v>
      </c>
      <c r="L64" s="263" t="str">
        <f t="shared" ref="L64" si="165">IF(L63&gt;1.5,"CUMPLE","NO CUMPLE")</f>
        <v>NO CUMPLE</v>
      </c>
      <c r="M64" s="263" t="str">
        <f t="shared" ref="M64" si="166">IF(M63&gt;=6%,"CUMPLE","NO CUMPLE")</f>
        <v>NO CUMPLE</v>
      </c>
      <c r="N64" s="43" t="str">
        <f t="shared" ref="N64" si="167">IF(N63&gt;=3%,"CUMPLE","NO CUMPLE")</f>
        <v>NO CUMPLE</v>
      </c>
      <c r="O64" s="358"/>
    </row>
    <row r="65" spans="1:15" ht="18.75" customHeight="1">
      <c r="A65" s="354">
        <f t="shared" ref="A65" si="168">+A63+1</f>
        <v>29</v>
      </c>
      <c r="B65" s="356" t="str">
        <f>+[2]INDICADORES!Q89</f>
        <v>CONSORCIO INFRAESTRUCTURA JUDICIAL</v>
      </c>
      <c r="C65" s="60">
        <f>+[2]INDICADORES!S92</f>
        <v>5.0016325650902562</v>
      </c>
      <c r="D65" s="38">
        <f>+[2]INDICADORES!S95</f>
        <v>0.29662181229425288</v>
      </c>
      <c r="E65" s="61">
        <f>+[2]INDICADORES!R98</f>
        <v>13698257091</v>
      </c>
      <c r="F65" s="60">
        <f>+[2]INDICADORES!S101</f>
        <v>69.41269426210043</v>
      </c>
      <c r="G65" s="38">
        <f>+[2]INDICADORES!S104</f>
        <v>0.51868432604305059</v>
      </c>
      <c r="H65" s="38">
        <f>+[2]INDICADORES!S107</f>
        <v>0.36483124124353777</v>
      </c>
      <c r="I65" s="44"/>
      <c r="J65" s="45"/>
      <c r="K65" s="46"/>
      <c r="L65" s="44"/>
      <c r="M65" s="47"/>
      <c r="N65" s="48"/>
      <c r="O65" s="358"/>
    </row>
    <row r="66" spans="1:15" ht="18.75" customHeight="1">
      <c r="A66" s="360"/>
      <c r="B66" s="368"/>
      <c r="C66" s="58" t="str">
        <f t="shared" ref="C66" si="169">IF(C65&gt;=1.2,"CUMPLE","NO CUMPLE")</f>
        <v>CUMPLE</v>
      </c>
      <c r="D66" s="58" t="str">
        <f t="shared" ref="D66" si="170">IF(D65&lt;=0.75,"CUMPLE","NO CUMPLE")</f>
        <v>CUMPLE</v>
      </c>
      <c r="E66" s="59" t="str">
        <f t="shared" ref="E66" si="171">IF(E65&gt;=3634088913,"CUMPLE","NO CUMPLE")</f>
        <v>CUMPLE</v>
      </c>
      <c r="F66" s="58" t="str">
        <f t="shared" ref="F66" si="172">IF(F65&gt;=0.5,"CUMPLE","NO CUMPLE")</f>
        <v>CUMPLE</v>
      </c>
      <c r="G66" s="58" t="str">
        <f>IF(G65&gt;=2%,"CUMPLE","NO CUMPLE")</f>
        <v>CUMPLE</v>
      </c>
      <c r="H66" s="58" t="str">
        <f t="shared" ref="H66" si="173">IF(H65&gt;=1%,"CUMPLE","NO CUMPLE")</f>
        <v>CUMPLE</v>
      </c>
      <c r="I66" s="263" t="str">
        <f t="shared" ref="I66" si="174">IF(I65&gt;=1.3,"CUMPLE","NO CUMPLE")</f>
        <v>NO CUMPLE</v>
      </c>
      <c r="J66" s="263" t="str">
        <f t="shared" ref="J66" si="175">IF(J65&lt;=0.75,"CUMPLE","NO CUMPLE")</f>
        <v>CUMPLE</v>
      </c>
      <c r="K66" s="263" t="str">
        <f t="shared" ref="K66" si="176">IF(K65&gt;1617568284,"CUMPLE","NO CUMPLE")</f>
        <v>NO CUMPLE</v>
      </c>
      <c r="L66" s="263" t="str">
        <f t="shared" ref="L66" si="177">IF(L65&gt;1.5,"CUMPLE","NO CUMPLE")</f>
        <v>NO CUMPLE</v>
      </c>
      <c r="M66" s="263" t="str">
        <f t="shared" ref="M66" si="178">IF(M65&gt;=6%,"CUMPLE","NO CUMPLE")</f>
        <v>NO CUMPLE</v>
      </c>
      <c r="N66" s="43" t="str">
        <f t="shared" ref="N66" si="179">IF(N65&gt;=3%,"CUMPLE","NO CUMPLE")</f>
        <v>NO CUMPLE</v>
      </c>
      <c r="O66" s="358"/>
    </row>
    <row r="67" spans="1:15">
      <c r="A67" s="354">
        <f>+A65+1</f>
        <v>30</v>
      </c>
      <c r="B67" s="356" t="str">
        <f>+[2]INDICADORES!T89</f>
        <v>CONSORCIO PALACIO MAGANGUE</v>
      </c>
      <c r="C67" s="179">
        <f>+[2]INDICADORES!V92</f>
        <v>4.5325823151041789</v>
      </c>
      <c r="D67" s="179">
        <f>+[2]INDICADORES!V95</f>
        <v>0.22996950339395547</v>
      </c>
      <c r="E67" s="274">
        <f>+[2]INDICADORES!U98</f>
        <v>49004714659</v>
      </c>
      <c r="F67" s="179">
        <f>+[2]INDICADORES!V101</f>
        <v>346.54197139308434</v>
      </c>
      <c r="G67" s="179">
        <f>+[2]INDICADORES!V104</f>
        <v>0.44312866463743322</v>
      </c>
      <c r="H67" s="179">
        <f>+[2]INDICADORES!V107</f>
        <v>0.34122258569113612</v>
      </c>
      <c r="I67" s="44"/>
      <c r="J67" s="45"/>
      <c r="K67" s="46"/>
      <c r="L67" s="44"/>
      <c r="M67" s="47"/>
      <c r="N67" s="48"/>
      <c r="O67" s="367"/>
    </row>
    <row r="68" spans="1:15">
      <c r="A68" s="360"/>
      <c r="B68" s="361"/>
      <c r="C68" s="58" t="str">
        <f t="shared" ref="C68" si="180">IF(C67&gt;=1.2,"CUMPLE","NO CUMPLE")</f>
        <v>CUMPLE</v>
      </c>
      <c r="D68" s="58" t="str">
        <f t="shared" ref="D68" si="181">IF(D67&lt;=0.75,"CUMPLE","NO CUMPLE")</f>
        <v>CUMPLE</v>
      </c>
      <c r="E68" s="59" t="str">
        <f t="shared" ref="E68" si="182">IF(E67&gt;=3634088913,"CUMPLE","NO CUMPLE")</f>
        <v>CUMPLE</v>
      </c>
      <c r="F68" s="58" t="str">
        <f t="shared" ref="F68" si="183">IF(F67&gt;=0.5,"CUMPLE","NO CUMPLE")</f>
        <v>CUMPLE</v>
      </c>
      <c r="G68" s="58" t="str">
        <f>IF(G67&gt;=2%,"CUMPLE","NO CUMPLE")</f>
        <v>CUMPLE</v>
      </c>
      <c r="H68" s="58" t="str">
        <f t="shared" ref="H68" si="184">IF(H67&gt;=1%,"CUMPLE","NO CUMPLE")</f>
        <v>CUMPLE</v>
      </c>
      <c r="I68" s="42" t="e">
        <f>IF(#REF!&gt;=1.3,"CUMPLE","NO CUMPLE")</f>
        <v>#REF!</v>
      </c>
      <c r="J68" s="263" t="e">
        <f>IF(#REF!&lt;=0.75,"CUMPLE","NO CUMPLE")</f>
        <v>#REF!</v>
      </c>
      <c r="K68" s="263" t="e">
        <f>IF(#REF!&gt;1617568284,"CUMPLE","NO CUMPLE")</f>
        <v>#REF!</v>
      </c>
      <c r="L68" s="263" t="e">
        <f>IF(#REF!&gt;1.5,"CUMPLE","NO CUMPLE")</f>
        <v>#REF!</v>
      </c>
      <c r="M68" s="263" t="e">
        <f>IF(#REF!&gt;=6%,"CUMPLE","NO CUMPLE")</f>
        <v>#REF!</v>
      </c>
      <c r="N68" s="43" t="e">
        <f>IF(#REF!&gt;=3%,"CUMPLE","NO CUMPLE")</f>
        <v>#REF!</v>
      </c>
      <c r="O68" s="362"/>
    </row>
    <row r="69" spans="1:15" ht="18.75" customHeight="1">
      <c r="A69" s="355">
        <f>+A67+1</f>
        <v>31</v>
      </c>
      <c r="B69" s="365" t="str">
        <f>+[2]INDICADORES!E111</f>
        <v>CONSORCIO JUSTICIA MAGANGUÉ 2026</v>
      </c>
      <c r="C69" s="31">
        <f>+[2]INDICADORES!G114</f>
        <v>110.48415616196247</v>
      </c>
      <c r="D69" s="56">
        <f>+[2]INDICADORES!G117</f>
        <v>0.44373238545978755</v>
      </c>
      <c r="E69" s="57">
        <f>+[2]INDICADORES!F120</f>
        <v>4793256777</v>
      </c>
      <c r="F69" s="31">
        <f>+[2]INDICADORES!G123</f>
        <v>705.00735033007061</v>
      </c>
      <c r="G69" s="56">
        <f>+[2]INDICADORES!G126</f>
        <v>0.30762686367447162</v>
      </c>
      <c r="H69" s="56">
        <f>+[2]INDICADORES!G129</f>
        <v>0.17112286162468546</v>
      </c>
      <c r="I69" s="44"/>
      <c r="J69" s="45"/>
      <c r="K69" s="46"/>
      <c r="L69" s="44"/>
      <c r="M69" s="47"/>
      <c r="N69" s="48"/>
      <c r="O69" s="362"/>
    </row>
    <row r="70" spans="1:15" ht="18.75" customHeight="1">
      <c r="A70" s="360"/>
      <c r="B70" s="368"/>
      <c r="C70" s="58" t="str">
        <f t="shared" ref="C70" si="185">IF(C69&gt;=1.2,"CUMPLE","NO CUMPLE")</f>
        <v>CUMPLE</v>
      </c>
      <c r="D70" s="58" t="str">
        <f t="shared" ref="D70" si="186">IF(D69&lt;=0.75,"CUMPLE","NO CUMPLE")</f>
        <v>CUMPLE</v>
      </c>
      <c r="E70" s="59" t="str">
        <f t="shared" ref="E70" si="187">IF(E69&gt;=3634088913,"CUMPLE","NO CUMPLE")</f>
        <v>CUMPLE</v>
      </c>
      <c r="F70" s="58" t="str">
        <f t="shared" ref="F70" si="188">IF(F69&gt;=0.5,"CUMPLE","NO CUMPLE")</f>
        <v>CUMPLE</v>
      </c>
      <c r="G70" s="58" t="str">
        <f t="shared" ref="G70" si="189">IF(G69&gt;=2%,"CUMPLE","NO CUMPLE")</f>
        <v>CUMPLE</v>
      </c>
      <c r="H70" s="58" t="str">
        <f t="shared" ref="H70" si="190">IF(H69&gt;=1%,"CUMPLE","NO CUMPLE")</f>
        <v>CUMPLE</v>
      </c>
      <c r="I70" s="263" t="str">
        <f t="shared" ref="I70" si="191">IF(I69&gt;=1.3,"CUMPLE","NO CUMPLE")</f>
        <v>NO CUMPLE</v>
      </c>
      <c r="J70" s="263" t="str">
        <f t="shared" ref="J70" si="192">IF(J69&lt;=0.75,"CUMPLE","NO CUMPLE")</f>
        <v>CUMPLE</v>
      </c>
      <c r="K70" s="263" t="str">
        <f t="shared" ref="K70" si="193">IF(K69&gt;1617568284,"CUMPLE","NO CUMPLE")</f>
        <v>NO CUMPLE</v>
      </c>
      <c r="L70" s="263" t="str">
        <f t="shared" ref="L70" si="194">IF(L69&gt;1.5,"CUMPLE","NO CUMPLE")</f>
        <v>NO CUMPLE</v>
      </c>
      <c r="M70" s="263" t="str">
        <f t="shared" ref="M70" si="195">IF(M69&gt;=6%,"CUMPLE","NO CUMPLE")</f>
        <v>NO CUMPLE</v>
      </c>
      <c r="N70" s="43" t="str">
        <f t="shared" ref="N70" si="196">IF(N69&gt;=3%,"CUMPLE","NO CUMPLE")</f>
        <v>NO CUMPLE</v>
      </c>
      <c r="O70" s="358"/>
    </row>
    <row r="71" spans="1:15" ht="18.75" customHeight="1">
      <c r="A71" s="354">
        <f t="shared" ref="A71" si="197">+A69+1</f>
        <v>32</v>
      </c>
      <c r="B71" s="356" t="str">
        <f>+[2]INDICADORES!H111</f>
        <v xml:space="preserve">Consorcio TRIUNFO MO. </v>
      </c>
      <c r="C71" s="60">
        <f>+[2]INDICADORES!J114</f>
        <v>36.74961912476833</v>
      </c>
      <c r="D71" s="38">
        <f>+[2]INDICADORES!J117</f>
        <v>0.57654935606640612</v>
      </c>
      <c r="E71" s="61">
        <f>+[2]INDICADORES!I120</f>
        <v>116779183779</v>
      </c>
      <c r="F71" s="60">
        <f>+[2]INDICADORES!J123</f>
        <v>1065.4365621761569</v>
      </c>
      <c r="G71" s="38">
        <f>+[2]INDICADORES!J126</f>
        <v>0.87412864409623858</v>
      </c>
      <c r="H71" s="38">
        <f>+[2]INDICADORES!J129</f>
        <v>0.37015033722335156</v>
      </c>
      <c r="I71" s="44"/>
      <c r="J71" s="45"/>
      <c r="K71" s="46"/>
      <c r="L71" s="44"/>
      <c r="M71" s="47"/>
      <c r="N71" s="48"/>
      <c r="O71" s="358"/>
    </row>
    <row r="72" spans="1:15" ht="18.75" customHeight="1">
      <c r="A72" s="360"/>
      <c r="B72" s="368"/>
      <c r="C72" s="58" t="str">
        <f t="shared" ref="C72" si="198">IF(C71&gt;=1.2,"CUMPLE","NO CUMPLE")</f>
        <v>CUMPLE</v>
      </c>
      <c r="D72" s="58" t="str">
        <f t="shared" ref="D72" si="199">IF(D71&lt;=0.75,"CUMPLE","NO CUMPLE")</f>
        <v>CUMPLE</v>
      </c>
      <c r="E72" s="59" t="str">
        <f t="shared" ref="E72" si="200">IF(E71&gt;=3634088913,"CUMPLE","NO CUMPLE")</f>
        <v>CUMPLE</v>
      </c>
      <c r="F72" s="58" t="str">
        <f t="shared" ref="F72" si="201">IF(F71&gt;=0.5,"CUMPLE","NO CUMPLE")</f>
        <v>CUMPLE</v>
      </c>
      <c r="G72" s="58" t="str">
        <f t="shared" ref="G72" si="202">IF(G71&gt;=2%,"CUMPLE","NO CUMPLE")</f>
        <v>CUMPLE</v>
      </c>
      <c r="H72" s="58" t="str">
        <f t="shared" ref="H72" si="203">IF(H71&gt;=1%,"CUMPLE","NO CUMPLE")</f>
        <v>CUMPLE</v>
      </c>
      <c r="I72" s="263" t="str">
        <f t="shared" ref="I72" si="204">IF(I71&gt;=1.3,"CUMPLE","NO CUMPLE")</f>
        <v>NO CUMPLE</v>
      </c>
      <c r="J72" s="263" t="str">
        <f t="shared" ref="J72" si="205">IF(J71&lt;=0.75,"CUMPLE","NO CUMPLE")</f>
        <v>CUMPLE</v>
      </c>
      <c r="K72" s="263" t="str">
        <f t="shared" ref="K72" si="206">IF(K71&gt;1617568284,"CUMPLE","NO CUMPLE")</f>
        <v>NO CUMPLE</v>
      </c>
      <c r="L72" s="263" t="str">
        <f t="shared" ref="L72" si="207">IF(L71&gt;1.5,"CUMPLE","NO CUMPLE")</f>
        <v>NO CUMPLE</v>
      </c>
      <c r="M72" s="263" t="str">
        <f t="shared" ref="M72" si="208">IF(M71&gt;=6%,"CUMPLE","NO CUMPLE")</f>
        <v>NO CUMPLE</v>
      </c>
      <c r="N72" s="43" t="str">
        <f t="shared" ref="N72" si="209">IF(N71&gt;=3%,"CUMPLE","NO CUMPLE")</f>
        <v>NO CUMPLE</v>
      </c>
      <c r="O72" s="358"/>
    </row>
    <row r="73" spans="1:15">
      <c r="A73" s="354">
        <f t="shared" ref="A73" si="210">+A71+1</f>
        <v>33</v>
      </c>
      <c r="B73" s="356" t="str">
        <f>+[2]INDICADORES!K111</f>
        <v>CONSORCIO RJ DUOVAL 2026</v>
      </c>
      <c r="C73" s="60">
        <f>+[2]INDICADORES!M114</f>
        <v>2.9756181568134843</v>
      </c>
      <c r="D73" s="38">
        <f>+[2]INDICADORES!M117</f>
        <v>0.59301751053899487</v>
      </c>
      <c r="E73" s="61">
        <f>+[2]INDICADORES!L120</f>
        <v>49939863319</v>
      </c>
      <c r="F73" s="60">
        <f>+[2]INDICADORES!M123</f>
        <v>4.8625495543840422</v>
      </c>
      <c r="G73" s="38">
        <f>+[2]INDICADORES!M126</f>
        <v>8.8935062198898712E-2</v>
      </c>
      <c r="H73" s="38">
        <f>+[2]INDICADORES!M129</f>
        <v>3.6195013014077126E-2</v>
      </c>
      <c r="I73" s="44"/>
      <c r="J73" s="45"/>
      <c r="K73" s="46"/>
      <c r="L73" s="44"/>
      <c r="M73" s="47"/>
      <c r="N73" s="48"/>
      <c r="O73" s="359"/>
    </row>
    <row r="74" spans="1:15" ht="18.75" customHeight="1">
      <c r="A74" s="360"/>
      <c r="B74" s="361"/>
      <c r="C74" s="58" t="str">
        <f>IF(C73&gt;=1.2,"CUMPLE","NO CUMPLE")</f>
        <v>CUMPLE</v>
      </c>
      <c r="D74" s="58" t="str">
        <f>IF(D73&lt;=0.75,"CUMPLE","NO CUMPLE")</f>
        <v>CUMPLE</v>
      </c>
      <c r="E74" s="59" t="str">
        <f>IF(E73&gt;=3634088913,"CUMPLE","NO CUMPLE")</f>
        <v>CUMPLE</v>
      </c>
      <c r="F74" s="58" t="str">
        <f>IF(F73&gt;=0.5,"CUMPLE","NO CUMPLE")</f>
        <v>CUMPLE</v>
      </c>
      <c r="G74" s="58" t="str">
        <f>IF(G73&gt;=2%,"CUMPLE","NO CUMPLE")</f>
        <v>CUMPLE</v>
      </c>
      <c r="H74" s="58" t="str">
        <f>IF(H73&gt;=1%,"CUMPLE","NO CUMPLE")</f>
        <v>CUMPLE</v>
      </c>
      <c r="I74" s="42" t="str">
        <f>IF(I73&gt;=1.3,"CUMPLE","NO CUMPLE")</f>
        <v>NO CUMPLE</v>
      </c>
      <c r="J74" s="263" t="str">
        <f>IF(J73&lt;=0.75,"CUMPLE","NO CUMPLE")</f>
        <v>CUMPLE</v>
      </c>
      <c r="K74" s="263" t="str">
        <f>IF(K73&gt;1617568284,"CUMPLE","NO CUMPLE")</f>
        <v>NO CUMPLE</v>
      </c>
      <c r="L74" s="263" t="str">
        <f>IF(L73&gt;1.5,"CUMPLE","NO CUMPLE")</f>
        <v>NO CUMPLE</v>
      </c>
      <c r="M74" s="263" t="str">
        <f>IF(M73&gt;=6%,"CUMPLE","NO CUMPLE")</f>
        <v>NO CUMPLE</v>
      </c>
      <c r="N74" s="43" t="str">
        <f>IF(N73&gt;=3%,"CUMPLE","NO CUMPLE")</f>
        <v>NO CUMPLE</v>
      </c>
      <c r="O74" s="362"/>
    </row>
    <row r="75" spans="1:15" ht="18.75" customHeight="1">
      <c r="A75" s="355">
        <f>+A73+1</f>
        <v>34</v>
      </c>
      <c r="B75" s="365" t="str">
        <f>+[2]INDICADORES!N111</f>
        <v>CONSORCIO PALACIO DE JUSTICIA C&amp;E</v>
      </c>
      <c r="C75" s="31">
        <f>+[2]INDICADORES!P114</f>
        <v>3.6388021982973631</v>
      </c>
      <c r="D75" s="56">
        <f>+[2]INDICADORES!P117</f>
        <v>0.29831836222914682</v>
      </c>
      <c r="E75" s="57">
        <f>+[2]INDICADORES!O120</f>
        <v>11692207604</v>
      </c>
      <c r="F75" s="31">
        <f>+[2]INDICADORES!P123</f>
        <v>18.935198651467768</v>
      </c>
      <c r="G75" s="56">
        <f>+[2]INDICADORES!P126</f>
        <v>0.34843005844683922</v>
      </c>
      <c r="H75" s="56">
        <f>+[2]INDICADORES!P129</f>
        <v>0.24448697405957223</v>
      </c>
      <c r="I75" s="44"/>
      <c r="J75" s="45"/>
      <c r="K75" s="46"/>
      <c r="L75" s="44"/>
      <c r="M75" s="47"/>
      <c r="N75" s="48"/>
      <c r="O75" s="362"/>
    </row>
    <row r="76" spans="1:15" ht="18.75" customHeight="1">
      <c r="A76" s="360"/>
      <c r="B76" s="368"/>
      <c r="C76" s="58" t="str">
        <f t="shared" ref="C76:C78" si="211">IF(C75&gt;=1.2,"CUMPLE","NO CUMPLE")</f>
        <v>CUMPLE</v>
      </c>
      <c r="D76" s="58" t="str">
        <f t="shared" ref="D76:D78" si="212">IF(D75&lt;=0.75,"CUMPLE","NO CUMPLE")</f>
        <v>CUMPLE</v>
      </c>
      <c r="E76" s="59" t="str">
        <f t="shared" ref="E76:E78" si="213">IF(E75&gt;=3634088913,"CUMPLE","NO CUMPLE")</f>
        <v>CUMPLE</v>
      </c>
      <c r="F76" s="58" t="str">
        <f t="shared" ref="F76:F78" si="214">IF(F75&gt;=0.5,"CUMPLE","NO CUMPLE")</f>
        <v>CUMPLE</v>
      </c>
      <c r="G76" s="58" t="str">
        <f t="shared" ref="G76:G78" si="215">IF(G75&gt;=2%,"CUMPLE","NO CUMPLE")</f>
        <v>CUMPLE</v>
      </c>
      <c r="H76" s="58" t="str">
        <f t="shared" ref="H76:H78" si="216">IF(H75&gt;=1%,"CUMPLE","NO CUMPLE")</f>
        <v>CUMPLE</v>
      </c>
      <c r="I76" s="263" t="str">
        <f t="shared" ref="I76" si="217">IF(I75&gt;=1.3,"CUMPLE","NO CUMPLE")</f>
        <v>NO CUMPLE</v>
      </c>
      <c r="J76" s="263" t="str">
        <f t="shared" ref="J76" si="218">IF(J75&lt;=0.75,"CUMPLE","NO CUMPLE")</f>
        <v>CUMPLE</v>
      </c>
      <c r="K76" s="263" t="str">
        <f t="shared" ref="K76" si="219">IF(K75&gt;1617568284,"CUMPLE","NO CUMPLE")</f>
        <v>NO CUMPLE</v>
      </c>
      <c r="L76" s="263" t="str">
        <f t="shared" ref="L76" si="220">IF(L75&gt;1.5,"CUMPLE","NO CUMPLE")</f>
        <v>NO CUMPLE</v>
      </c>
      <c r="M76" s="263" t="str">
        <f t="shared" ref="M76" si="221">IF(M75&gt;=6%,"CUMPLE","NO CUMPLE")</f>
        <v>NO CUMPLE</v>
      </c>
      <c r="N76" s="43" t="str">
        <f t="shared" ref="N76" si="222">IF(N75&gt;=3%,"CUMPLE","NO CUMPLE")</f>
        <v>NO CUMPLE</v>
      </c>
      <c r="O76" s="358"/>
    </row>
    <row r="77" spans="1:15" ht="18.75" customHeight="1">
      <c r="A77" s="354">
        <f t="shared" ref="A77" si="223">+A75+1</f>
        <v>35</v>
      </c>
      <c r="B77" s="356" t="str">
        <f>+[2]INDICADORES!Q111</f>
        <v xml:space="preserve">Consorcio Edificaciones 2627 </v>
      </c>
      <c r="C77" s="31">
        <f>+[2]INDICADORES!S114</f>
        <v>11.572769227298581</v>
      </c>
      <c r="D77" s="56">
        <f>+[2]INDICADORES!S117</f>
        <v>0.13703788410244244</v>
      </c>
      <c r="E77" s="57">
        <f>+[2]INDICADORES!R120</f>
        <v>6250551157</v>
      </c>
      <c r="F77" s="31">
        <f>+[2]INDICADORES!S123</f>
        <v>5.3526640427743422</v>
      </c>
      <c r="G77" s="56">
        <f>+[2]INDICADORES!S126</f>
        <v>0.24955550911745064</v>
      </c>
      <c r="H77" s="56">
        <f>+[2]INDICADORES!S129</f>
        <v>0.21535695018188741</v>
      </c>
      <c r="I77" s="44"/>
      <c r="J77" s="45"/>
      <c r="K77" s="46"/>
      <c r="L77" s="44"/>
      <c r="M77" s="47"/>
      <c r="N77" s="48"/>
      <c r="O77" s="359"/>
    </row>
    <row r="78" spans="1:15" ht="18.75" customHeight="1">
      <c r="A78" s="363"/>
      <c r="B78" s="366"/>
      <c r="C78" s="58" t="str">
        <f t="shared" si="211"/>
        <v>CUMPLE</v>
      </c>
      <c r="D78" s="58" t="str">
        <f t="shared" si="212"/>
        <v>CUMPLE</v>
      </c>
      <c r="E78" s="59" t="str">
        <f t="shared" si="213"/>
        <v>CUMPLE</v>
      </c>
      <c r="F78" s="58" t="str">
        <f t="shared" si="214"/>
        <v>CUMPLE</v>
      </c>
      <c r="G78" s="58" t="str">
        <f t="shared" si="215"/>
        <v>CUMPLE</v>
      </c>
      <c r="H78" s="58" t="str">
        <f t="shared" si="216"/>
        <v>CUMPLE</v>
      </c>
      <c r="I78" s="42" t="str">
        <f t="shared" ref="I78" si="224">IF(I77&gt;=1.3,"CUMPLE","NO CUMPLE")</f>
        <v>NO CUMPLE</v>
      </c>
      <c r="J78" s="263" t="str">
        <f t="shared" ref="J78" si="225">IF(J77&lt;=0.75,"CUMPLE","NO CUMPLE")</f>
        <v>CUMPLE</v>
      </c>
      <c r="K78" s="263" t="str">
        <f t="shared" ref="K78" si="226">IF(K77&gt;1617568284,"CUMPLE","NO CUMPLE")</f>
        <v>NO CUMPLE</v>
      </c>
      <c r="L78" s="263" t="str">
        <f t="shared" ref="L78" si="227">IF(L77&gt;1.5,"CUMPLE","NO CUMPLE")</f>
        <v>NO CUMPLE</v>
      </c>
      <c r="M78" s="263" t="str">
        <f t="shared" ref="M78" si="228">IF(M77&gt;=6%,"CUMPLE","NO CUMPLE")</f>
        <v>NO CUMPLE</v>
      </c>
      <c r="N78" s="43" t="str">
        <f t="shared" ref="N78" si="229">IF(N77&gt;=3%,"CUMPLE","NO CUMPLE")</f>
        <v>NO CUMPLE</v>
      </c>
      <c r="O78" s="358"/>
    </row>
    <row r="79" spans="1:15" ht="18.75" customHeight="1">
      <c r="A79" s="355">
        <f t="shared" ref="A79" si="230">+A77+1</f>
        <v>36</v>
      </c>
      <c r="B79" s="365" t="str">
        <f>+[2]INDICADORES!T111</f>
        <v>CONSORCIO INFRAESTRUCTURA BOLIVAR MGD</v>
      </c>
      <c r="C79" s="31">
        <f>+[2]INDICADORES!V114</f>
        <v>12.971952345945782</v>
      </c>
      <c r="D79" s="56">
        <f>+[2]INDICADORES!V117</f>
        <v>0.30634925757816278</v>
      </c>
      <c r="E79" s="57">
        <f>+[2]INDICADORES!U120</f>
        <v>58222507584</v>
      </c>
      <c r="F79" s="31">
        <f>+[2]INDICADORES!V123</f>
        <v>1412.2655578705585</v>
      </c>
      <c r="G79" s="56">
        <f>+[2]INDICADORES!V126</f>
        <v>0.27523043155725246</v>
      </c>
      <c r="H79" s="56">
        <f>+[2]INDICADORES!V129</f>
        <v>0.19091379318677082</v>
      </c>
      <c r="I79" s="44"/>
      <c r="J79" s="45"/>
      <c r="K79" s="46"/>
      <c r="L79" s="44"/>
      <c r="M79" s="47"/>
      <c r="N79" s="48"/>
      <c r="O79" s="367"/>
    </row>
    <row r="80" spans="1:15" ht="18.75" customHeight="1">
      <c r="A80" s="363"/>
      <c r="B80" s="366"/>
      <c r="C80" s="58" t="str">
        <f t="shared" ref="C80" si="231">IF(C79&gt;=1.2,"CUMPLE","NO CUMPLE")</f>
        <v>CUMPLE</v>
      </c>
      <c r="D80" s="58" t="str">
        <f t="shared" ref="D80" si="232">IF(D79&lt;=0.75,"CUMPLE","NO CUMPLE")</f>
        <v>CUMPLE</v>
      </c>
      <c r="E80" s="59" t="str">
        <f t="shared" ref="E80" si="233">IF(E79&gt;=3634088913,"CUMPLE","NO CUMPLE")</f>
        <v>CUMPLE</v>
      </c>
      <c r="F80" s="58" t="str">
        <f t="shared" ref="F80" si="234">IF(F79&gt;=0.5,"CUMPLE","NO CUMPLE")</f>
        <v>CUMPLE</v>
      </c>
      <c r="G80" s="58" t="str">
        <f t="shared" ref="G80" si="235">IF(G79&gt;=2%,"CUMPLE","NO CUMPLE")</f>
        <v>CUMPLE</v>
      </c>
      <c r="H80" s="58" t="str">
        <f t="shared" ref="H80" si="236">IF(H79&gt;=1%,"CUMPLE","NO CUMPLE")</f>
        <v>CUMPLE</v>
      </c>
      <c r="I80" s="42" t="str">
        <f t="shared" ref="I80" si="237">IF(I79&gt;=1.3,"CUMPLE","NO CUMPLE")</f>
        <v>NO CUMPLE</v>
      </c>
      <c r="J80" s="263" t="str">
        <f t="shared" ref="J80" si="238">IF(J79&lt;=0.75,"CUMPLE","NO CUMPLE")</f>
        <v>CUMPLE</v>
      </c>
      <c r="K80" s="263" t="str">
        <f t="shared" ref="K80" si="239">IF(K79&gt;1617568284,"CUMPLE","NO CUMPLE")</f>
        <v>NO CUMPLE</v>
      </c>
      <c r="L80" s="263" t="str">
        <f t="shared" ref="L80" si="240">IF(L79&gt;1.5,"CUMPLE","NO CUMPLE")</f>
        <v>NO CUMPLE</v>
      </c>
      <c r="M80" s="263" t="str">
        <f t="shared" ref="M80" si="241">IF(M79&gt;=6%,"CUMPLE","NO CUMPLE")</f>
        <v>NO CUMPLE</v>
      </c>
      <c r="N80" s="43" t="str">
        <f t="shared" ref="N80" si="242">IF(N79&gt;=3%,"CUMPLE","NO CUMPLE")</f>
        <v>NO CUMPLE</v>
      </c>
      <c r="O80" s="358"/>
    </row>
    <row r="81" spans="1:15" ht="18.75" customHeight="1">
      <c r="A81" s="355">
        <f t="shared" ref="A81" si="243">+A79+1</f>
        <v>37</v>
      </c>
      <c r="B81" s="365" t="str">
        <f>+[2]INDICADORES!E133</f>
        <v>Consorcio Pal. JUSTICIA</v>
      </c>
      <c r="C81" s="60">
        <f>+[2]INDICADORES!G136</f>
        <v>4.6755880062945776</v>
      </c>
      <c r="D81" s="38">
        <f>+[2]INDICADORES!G139</f>
        <v>0.22550650705166658</v>
      </c>
      <c r="E81" s="61">
        <f>+[2]INDICADORES!F142</f>
        <v>51348845414</v>
      </c>
      <c r="F81" s="60">
        <f>+[2]INDICADORES!G145</f>
        <v>662.69086173766527</v>
      </c>
      <c r="G81" s="38">
        <f>+[2]INDICADORES!G148</f>
        <v>0.72562747561258578</v>
      </c>
      <c r="H81" s="38">
        <f>+[2]INDICADORES!G151</f>
        <v>0.56199375816647323</v>
      </c>
      <c r="I81" s="37"/>
      <c r="J81" s="38"/>
      <c r="K81" s="39"/>
      <c r="L81" s="37"/>
      <c r="M81" s="40"/>
      <c r="N81" s="41"/>
      <c r="O81" s="367"/>
    </row>
    <row r="82" spans="1:15" ht="18.75" customHeight="1">
      <c r="A82" s="363"/>
      <c r="B82" s="366"/>
      <c r="C82" s="58" t="str">
        <f t="shared" ref="C82:C88" si="244">IF(C81&gt;=1.2,"CUMPLE","NO CUMPLE")</f>
        <v>CUMPLE</v>
      </c>
      <c r="D82" s="58" t="str">
        <f t="shared" ref="D82:D88" si="245">IF(D81&lt;=0.75,"CUMPLE","NO CUMPLE")</f>
        <v>CUMPLE</v>
      </c>
      <c r="E82" s="59" t="str">
        <f t="shared" ref="E82:E88" si="246">IF(E81&gt;=3634088913,"CUMPLE","NO CUMPLE")</f>
        <v>CUMPLE</v>
      </c>
      <c r="F82" s="58" t="str">
        <f t="shared" ref="F82:F88" si="247">IF(F81&gt;=0.5,"CUMPLE","NO CUMPLE")</f>
        <v>CUMPLE</v>
      </c>
      <c r="G82" s="58" t="str">
        <f t="shared" ref="G82:G88" si="248">IF(G81&gt;=2%,"CUMPLE","NO CUMPLE")</f>
        <v>CUMPLE</v>
      </c>
      <c r="H82" s="58" t="str">
        <f t="shared" ref="H82:H88" si="249">IF(H81&gt;=1%,"CUMPLE","NO CUMPLE")</f>
        <v>CUMPLE</v>
      </c>
      <c r="I82" s="42" t="str">
        <f t="shared" ref="I82" si="250">IF(I81&gt;=1.3,"CUMPLE","NO CUMPLE")</f>
        <v>NO CUMPLE</v>
      </c>
      <c r="J82" s="263" t="str">
        <f t="shared" ref="J82" si="251">IF(J81&lt;=0.75,"CUMPLE","NO CUMPLE")</f>
        <v>CUMPLE</v>
      </c>
      <c r="K82" s="263" t="str">
        <f t="shared" ref="K82" si="252">IF(K81&gt;1617568284,"CUMPLE","NO CUMPLE")</f>
        <v>NO CUMPLE</v>
      </c>
      <c r="L82" s="263" t="str">
        <f t="shared" ref="L82" si="253">IF(L81&gt;1.5,"CUMPLE","NO CUMPLE")</f>
        <v>NO CUMPLE</v>
      </c>
      <c r="M82" s="263" t="str">
        <f t="shared" ref="M82" si="254">IF(M81&gt;=6%,"CUMPLE","NO CUMPLE")</f>
        <v>NO CUMPLE</v>
      </c>
      <c r="N82" s="43" t="str">
        <f t="shared" ref="N82" si="255">IF(N81&gt;=3%,"CUMPLE","NO CUMPLE")</f>
        <v>NO CUMPLE</v>
      </c>
      <c r="O82" s="358"/>
    </row>
    <row r="83" spans="1:15">
      <c r="A83" s="355">
        <f t="shared" ref="A83" si="256">+A81+1</f>
        <v>38</v>
      </c>
      <c r="B83" s="365" t="str">
        <f>+[2]INDICADORES!H133</f>
        <v>CONSORCIO JUDICATURA MAGANGUÉ</v>
      </c>
      <c r="C83" s="60">
        <f>+[2]INDICADORES!J136</f>
        <v>75.381124890291915</v>
      </c>
      <c r="D83" s="38">
        <f>+[2]INDICADORES!J139</f>
        <v>1.7387450133387466E-2</v>
      </c>
      <c r="E83" s="61">
        <f>+[2]INDICADORES!I142</f>
        <v>10209727397</v>
      </c>
      <c r="F83" s="60">
        <f>+[2]INDICADORES!J145</f>
        <v>413.82499679540535</v>
      </c>
      <c r="G83" s="38">
        <f>+[2]INDICADORES!J148</f>
        <v>0.27994857762940434</v>
      </c>
      <c r="H83" s="38">
        <f>+[2]INDICADORES!J151</f>
        <v>0.27508098569596029</v>
      </c>
      <c r="I83" s="44"/>
      <c r="J83" s="45"/>
      <c r="K83" s="46"/>
      <c r="L83" s="44"/>
      <c r="M83" s="47"/>
      <c r="N83" s="48"/>
      <c r="O83" s="62"/>
    </row>
    <row r="84" spans="1:15">
      <c r="A84" s="363"/>
      <c r="B84" s="366"/>
      <c r="C84" s="58" t="str">
        <f t="shared" si="244"/>
        <v>CUMPLE</v>
      </c>
      <c r="D84" s="58" t="str">
        <f t="shared" si="245"/>
        <v>CUMPLE</v>
      </c>
      <c r="E84" s="59" t="str">
        <f t="shared" si="246"/>
        <v>CUMPLE</v>
      </c>
      <c r="F84" s="58" t="str">
        <f t="shared" si="247"/>
        <v>CUMPLE</v>
      </c>
      <c r="G84" s="58" t="str">
        <f t="shared" si="248"/>
        <v>CUMPLE</v>
      </c>
      <c r="H84" s="58" t="str">
        <f t="shared" si="249"/>
        <v>CUMPLE</v>
      </c>
      <c r="I84" s="42" t="str">
        <f t="shared" ref="I84" si="257">IF(I83&gt;=1.3,"CUMPLE","NO CUMPLE")</f>
        <v>NO CUMPLE</v>
      </c>
      <c r="J84" s="263" t="str">
        <f t="shared" ref="J84" si="258">IF(J83&lt;=0.75,"CUMPLE","NO CUMPLE")</f>
        <v>CUMPLE</v>
      </c>
      <c r="K84" s="263" t="str">
        <f t="shared" ref="K84" si="259">IF(K83&gt;1617568284,"CUMPLE","NO CUMPLE")</f>
        <v>NO CUMPLE</v>
      </c>
      <c r="L84" s="263" t="str">
        <f t="shared" ref="L84" si="260">IF(L83&gt;1.5,"CUMPLE","NO CUMPLE")</f>
        <v>NO CUMPLE</v>
      </c>
      <c r="M84" s="263" t="str">
        <f t="shared" ref="M84" si="261">IF(M83&gt;=6%,"CUMPLE","NO CUMPLE")</f>
        <v>NO CUMPLE</v>
      </c>
      <c r="N84" s="43" t="str">
        <f t="shared" ref="N84" si="262">IF(N83&gt;=3%,"CUMPLE","NO CUMPLE")</f>
        <v>NO CUMPLE</v>
      </c>
      <c r="O84" s="50"/>
    </row>
    <row r="85" spans="1:15" ht="18.75" customHeight="1">
      <c r="A85" s="355">
        <f t="shared" ref="A85" si="263">+A83+1</f>
        <v>39</v>
      </c>
      <c r="B85" s="365" t="str">
        <f>+[2]INDICADORES!K133</f>
        <v>UNION TEMPORAL DE LOS RIOS</v>
      </c>
      <c r="C85" s="60">
        <f>+[2]INDICADORES!M136</f>
        <v>3.9051304966822724</v>
      </c>
      <c r="D85" s="38">
        <f>+[2]INDICADORES!M139</f>
        <v>0.4811140762199505</v>
      </c>
      <c r="E85" s="61">
        <f>+[2]INDICADORES!L142</f>
        <v>12226220447</v>
      </c>
      <c r="F85" s="60">
        <f>+[2]INDICADORES!M145</f>
        <v>36.360097906755129</v>
      </c>
      <c r="G85" s="38">
        <f>+[2]INDICADORES!M148</f>
        <v>0.34912518327932685</v>
      </c>
      <c r="H85" s="38">
        <f>+[2]INDICADORES!M151</f>
        <v>0.18115614324077262</v>
      </c>
      <c r="I85" s="37"/>
      <c r="J85" s="38"/>
      <c r="K85" s="39"/>
      <c r="L85" s="37"/>
      <c r="M85" s="40"/>
      <c r="N85" s="41"/>
      <c r="O85" s="367"/>
    </row>
    <row r="86" spans="1:15" ht="18.75" customHeight="1">
      <c r="A86" s="363"/>
      <c r="B86" s="366"/>
      <c r="C86" s="58" t="str">
        <f t="shared" si="244"/>
        <v>CUMPLE</v>
      </c>
      <c r="D86" s="58" t="str">
        <f t="shared" si="245"/>
        <v>CUMPLE</v>
      </c>
      <c r="E86" s="59" t="str">
        <f t="shared" si="246"/>
        <v>CUMPLE</v>
      </c>
      <c r="F86" s="58" t="str">
        <f t="shared" si="247"/>
        <v>CUMPLE</v>
      </c>
      <c r="G86" s="58" t="str">
        <f t="shared" si="248"/>
        <v>CUMPLE</v>
      </c>
      <c r="H86" s="58" t="str">
        <f t="shared" si="249"/>
        <v>CUMPLE</v>
      </c>
      <c r="I86" s="42" t="str">
        <f t="shared" ref="I86" si="264">IF(I85&gt;=1.3,"CUMPLE","NO CUMPLE")</f>
        <v>NO CUMPLE</v>
      </c>
      <c r="J86" s="263" t="str">
        <f t="shared" ref="J86" si="265">IF(J85&lt;=0.75,"CUMPLE","NO CUMPLE")</f>
        <v>CUMPLE</v>
      </c>
      <c r="K86" s="263" t="str">
        <f t="shared" ref="K86" si="266">IF(K85&gt;1617568284,"CUMPLE","NO CUMPLE")</f>
        <v>NO CUMPLE</v>
      </c>
      <c r="L86" s="263" t="str">
        <f t="shared" ref="L86" si="267">IF(L85&gt;1.5,"CUMPLE","NO CUMPLE")</f>
        <v>NO CUMPLE</v>
      </c>
      <c r="M86" s="263" t="str">
        <f t="shared" ref="M86" si="268">IF(M85&gt;=6%,"CUMPLE","NO CUMPLE")</f>
        <v>NO CUMPLE</v>
      </c>
      <c r="N86" s="43" t="str">
        <f t="shared" ref="N86" si="269">IF(N85&gt;=3%,"CUMPLE","NO CUMPLE")</f>
        <v>NO CUMPLE</v>
      </c>
      <c r="O86" s="358"/>
    </row>
    <row r="87" spans="1:15" ht="27" customHeight="1">
      <c r="A87" s="355">
        <f t="shared" ref="A87" si="270">+A85+1</f>
        <v>40</v>
      </c>
      <c r="B87" s="365" t="str">
        <f>+[2]INDICADORES!N133</f>
        <v>CONSORCIO DIKÉ</v>
      </c>
      <c r="C87" s="60">
        <f>+[2]INDICADORES!P136</f>
        <v>141.96958805124424</v>
      </c>
      <c r="D87" s="38">
        <f>+[2]INDICADORES!P139</f>
        <v>7.1818052337682039E-3</v>
      </c>
      <c r="E87" s="61">
        <f>+[2]INDICADORES!O142</f>
        <v>16676633892</v>
      </c>
      <c r="F87" s="60">
        <f>+[2]INDICADORES!P145</f>
        <v>29076.849499374719</v>
      </c>
      <c r="G87" s="38">
        <f>+[2]INDICADORES!P148</f>
        <v>0.12272148791161418</v>
      </c>
      <c r="H87" s="38">
        <f>+[2]INDICADORES!P151</f>
        <v>0.12184012608743472</v>
      </c>
      <c r="I87" s="37"/>
      <c r="J87" s="38"/>
      <c r="K87" s="39"/>
      <c r="L87" s="37"/>
      <c r="M87" s="40"/>
      <c r="N87" s="41"/>
      <c r="O87" s="367"/>
    </row>
    <row r="88" spans="1:15" ht="18.75" customHeight="1">
      <c r="A88" s="363"/>
      <c r="B88" s="366"/>
      <c r="C88" s="58" t="str">
        <f t="shared" si="244"/>
        <v>CUMPLE</v>
      </c>
      <c r="D88" s="58" t="str">
        <f t="shared" si="245"/>
        <v>CUMPLE</v>
      </c>
      <c r="E88" s="59" t="str">
        <f t="shared" si="246"/>
        <v>CUMPLE</v>
      </c>
      <c r="F88" s="58" t="str">
        <f t="shared" si="247"/>
        <v>CUMPLE</v>
      </c>
      <c r="G88" s="58" t="str">
        <f t="shared" si="248"/>
        <v>CUMPLE</v>
      </c>
      <c r="H88" s="58" t="str">
        <f t="shared" si="249"/>
        <v>CUMPLE</v>
      </c>
      <c r="I88" s="42" t="str">
        <f t="shared" ref="I88" si="271">IF(I87&gt;=1.3,"CUMPLE","NO CUMPLE")</f>
        <v>NO CUMPLE</v>
      </c>
      <c r="J88" s="263" t="str">
        <f t="shared" ref="J88" si="272">IF(J87&lt;=0.75,"CUMPLE","NO CUMPLE")</f>
        <v>CUMPLE</v>
      </c>
      <c r="K88" s="263" t="str">
        <f t="shared" ref="K88" si="273">IF(K87&gt;1617568284,"CUMPLE","NO CUMPLE")</f>
        <v>NO CUMPLE</v>
      </c>
      <c r="L88" s="263" t="str">
        <f t="shared" ref="L88" si="274">IF(L87&gt;1.5,"CUMPLE","NO CUMPLE")</f>
        <v>NO CUMPLE</v>
      </c>
      <c r="M88" s="263" t="str">
        <f t="shared" ref="M88" si="275">IF(M87&gt;=6%,"CUMPLE","NO CUMPLE")</f>
        <v>NO CUMPLE</v>
      </c>
      <c r="N88" s="43" t="str">
        <f t="shared" ref="N88" si="276">IF(N87&gt;=3%,"CUMPLE","NO CUMPLE")</f>
        <v>NO CUMPLE</v>
      </c>
      <c r="O88" s="358"/>
    </row>
    <row r="89" spans="1:15" ht="18.75" customHeight="1">
      <c r="A89" s="355">
        <f t="shared" ref="A89" si="277">+A87+1</f>
        <v>41</v>
      </c>
      <c r="B89" s="365" t="str">
        <f>+[2]INDICADORES!Q133</f>
        <v>GEOCIVA SAS NIT:800252171-4</v>
      </c>
      <c r="C89" s="31">
        <f>+[2]INDICADORES!S136</f>
        <v>36.469518631839698</v>
      </c>
      <c r="D89" s="56">
        <f>+[2]INDICADORES!S139</f>
        <v>1.975741798087053E-2</v>
      </c>
      <c r="E89" s="57">
        <f>+[2]INDICADORES!R142</f>
        <v>15221070000</v>
      </c>
      <c r="F89" s="31" t="str">
        <f>+[2]INDICADORES!S145</f>
        <v>INDETERMINADO</v>
      </c>
      <c r="G89" s="56">
        <f>+[2]INDICADORES!S148</f>
        <v>0.33107685677184623</v>
      </c>
      <c r="H89" s="56">
        <f>+[2]INDICADORES!S151</f>
        <v>0.32453563292881205</v>
      </c>
      <c r="I89" s="37"/>
      <c r="J89" s="38"/>
      <c r="K89" s="39"/>
      <c r="L89" s="37"/>
      <c r="M89" s="40"/>
      <c r="N89" s="41"/>
      <c r="O89" s="362"/>
    </row>
    <row r="90" spans="1:15" ht="18.75" customHeight="1">
      <c r="A90" s="355"/>
      <c r="B90" s="357"/>
      <c r="C90" s="63" t="str">
        <f t="shared" ref="C90" si="278">IF(C89&gt;=1.2,"CUMPLE","NO CUMPLE")</f>
        <v>CUMPLE</v>
      </c>
      <c r="D90" s="63" t="str">
        <f t="shared" ref="D90" si="279">IF(D89&lt;=0.75,"CUMPLE","NO CUMPLE")</f>
        <v>CUMPLE</v>
      </c>
      <c r="E90" s="64" t="str">
        <f t="shared" ref="E90" si="280">IF(E89&gt;=3634088913,"CUMPLE","NO CUMPLE")</f>
        <v>CUMPLE</v>
      </c>
      <c r="F90" s="63" t="str">
        <f t="shared" ref="F90" si="281">IF(F89&gt;=0.5,"CUMPLE","NO CUMPLE")</f>
        <v>CUMPLE</v>
      </c>
      <c r="G90" s="63" t="str">
        <f t="shared" ref="G90" si="282">IF(G89&gt;=2%,"CUMPLE","NO CUMPLE")</f>
        <v>CUMPLE</v>
      </c>
      <c r="H90" s="63" t="str">
        <f t="shared" ref="H90" si="283">IF(H89&gt;=1%,"CUMPLE","NO CUMPLE")</f>
        <v>CUMPLE</v>
      </c>
      <c r="I90" s="263" t="str">
        <f t="shared" ref="I90" si="284">IF(I89&gt;=1.3,"CUMPLE","NO CUMPLE")</f>
        <v>NO CUMPLE</v>
      </c>
      <c r="J90" s="263" t="str">
        <f t="shared" ref="J90" si="285">IF(J89&lt;=0.75,"CUMPLE","NO CUMPLE")</f>
        <v>CUMPLE</v>
      </c>
      <c r="K90" s="263" t="str">
        <f t="shared" ref="K90" si="286">IF(K89&gt;1617568284,"CUMPLE","NO CUMPLE")</f>
        <v>NO CUMPLE</v>
      </c>
      <c r="L90" s="263" t="str">
        <f t="shared" ref="L90" si="287">IF(L89&gt;1.5,"CUMPLE","NO CUMPLE")</f>
        <v>NO CUMPLE</v>
      </c>
      <c r="M90" s="263" t="str">
        <f t="shared" ref="M90" si="288">IF(M89&gt;=6%,"CUMPLE","NO CUMPLE")</f>
        <v>NO CUMPLE</v>
      </c>
      <c r="N90" s="43" t="str">
        <f t="shared" ref="N90" si="289">IF(N89&gt;=3%,"CUMPLE","NO CUMPLE")</f>
        <v>NO CUMPLE</v>
      </c>
      <c r="O90" s="359"/>
    </row>
    <row r="91" spans="1:15">
      <c r="A91" s="363">
        <f t="shared" ref="A91" si="290">+A89+1</f>
        <v>42</v>
      </c>
      <c r="B91" s="364" t="str">
        <f>+[2]INDICADORES!T133</f>
        <v>CONSORCIO BCHC</v>
      </c>
      <c r="C91" s="375" t="s">
        <v>128</v>
      </c>
      <c r="D91" s="375"/>
      <c r="E91" s="375"/>
      <c r="F91" s="375"/>
      <c r="G91" s="375"/>
      <c r="H91" s="375"/>
      <c r="I91" s="65"/>
      <c r="J91" s="38"/>
      <c r="K91" s="39"/>
      <c r="L91" s="37"/>
      <c r="M91" s="40"/>
      <c r="N91" s="41"/>
      <c r="O91" s="358" t="str">
        <f>+[2]RUP!D104</f>
        <v>RECHAZADO, NO ACREDITA RENOVACION DEL RUP DEL PROPONENTE CONSULTCARIBE S.A.S., EN EL CERTIFICADO APORTADO , POR TANTO SE RECHAZA POR ESTAR INCURSA EN LA CAUSAL F) DEL PUNTO 1.15 DEL PLIEGO DE CONDICIONES LP-01-2026</v>
      </c>
    </row>
    <row r="92" spans="1:15" ht="18.75" customHeight="1">
      <c r="A92" s="360"/>
      <c r="B92" s="368"/>
      <c r="C92" s="372"/>
      <c r="D92" s="373"/>
      <c r="E92" s="373"/>
      <c r="F92" s="373"/>
      <c r="G92" s="373"/>
      <c r="H92" s="374"/>
      <c r="I92" s="263" t="str">
        <f t="shared" ref="I92" si="291">IF(I91&gt;=1.3,"CUMPLE","NO CUMPLE")</f>
        <v>NO CUMPLE</v>
      </c>
      <c r="J92" s="263" t="str">
        <f t="shared" ref="J92" si="292">IF(J91&lt;=0.75,"CUMPLE","NO CUMPLE")</f>
        <v>CUMPLE</v>
      </c>
      <c r="K92" s="263" t="str">
        <f t="shared" ref="K92" si="293">IF(K91&gt;1617568284,"CUMPLE","NO CUMPLE")</f>
        <v>NO CUMPLE</v>
      </c>
      <c r="L92" s="263" t="str">
        <f t="shared" ref="L92" si="294">IF(L91&gt;1.5,"CUMPLE","NO CUMPLE")</f>
        <v>NO CUMPLE</v>
      </c>
      <c r="M92" s="263" t="str">
        <f t="shared" ref="M92" si="295">IF(M91&gt;=6%,"CUMPLE","NO CUMPLE")</f>
        <v>NO CUMPLE</v>
      </c>
      <c r="N92" s="43" t="str">
        <f t="shared" ref="N92" si="296">IF(N91&gt;=3%,"CUMPLE","NO CUMPLE")</f>
        <v>NO CUMPLE</v>
      </c>
      <c r="O92" s="362"/>
    </row>
    <row r="93" spans="1:15" ht="18.75" customHeight="1">
      <c r="A93" s="354">
        <f t="shared" ref="A93" si="297">+A91+1</f>
        <v>43</v>
      </c>
      <c r="B93" s="356" t="str">
        <f>+[2]INDICADORES!E155</f>
        <v>CONSORCIO FR</v>
      </c>
      <c r="C93" s="60">
        <f>+[2]INDICADORES!G158</f>
        <v>2.9675438491874329</v>
      </c>
      <c r="D93" s="38">
        <f>+[2]INDICADORES!G161</f>
        <v>0.37107464853758371</v>
      </c>
      <c r="E93" s="61">
        <f>+[2]INDICADORES!F164</f>
        <v>31253622986</v>
      </c>
      <c r="F93" s="60">
        <f>+[2]INDICADORES!G167</f>
        <v>155.61954349781718</v>
      </c>
      <c r="G93" s="38">
        <f>+[2]INDICADORES!G170</f>
        <v>0.47371368189363122</v>
      </c>
      <c r="H93" s="38">
        <f>+[2]INDICADORES!G173</f>
        <v>0.29793054387750728</v>
      </c>
      <c r="I93" s="37"/>
      <c r="J93" s="38"/>
      <c r="K93" s="39"/>
      <c r="L93" s="37"/>
      <c r="M93" s="40"/>
      <c r="N93" s="41"/>
      <c r="O93" s="358"/>
    </row>
    <row r="94" spans="1:15" ht="18.75" customHeight="1">
      <c r="A94" s="360"/>
      <c r="B94" s="368"/>
      <c r="C94" s="58" t="str">
        <f t="shared" ref="C94" si="298">IF(C93&gt;=1.2,"CUMPLE","NO CUMPLE")</f>
        <v>CUMPLE</v>
      </c>
      <c r="D94" s="58" t="str">
        <f t="shared" ref="D94" si="299">IF(D93&lt;=0.75,"CUMPLE","NO CUMPLE")</f>
        <v>CUMPLE</v>
      </c>
      <c r="E94" s="59" t="str">
        <f t="shared" ref="E94" si="300">IF(E93&gt;=3634088913,"CUMPLE","NO CUMPLE")</f>
        <v>CUMPLE</v>
      </c>
      <c r="F94" s="58" t="str">
        <f t="shared" ref="F94" si="301">IF(F93&gt;=0.5,"CUMPLE","NO CUMPLE")</f>
        <v>CUMPLE</v>
      </c>
      <c r="G94" s="58" t="str">
        <f t="shared" ref="G94" si="302">IF(G93&gt;=2%,"CUMPLE","NO CUMPLE")</f>
        <v>CUMPLE</v>
      </c>
      <c r="H94" s="58" t="str">
        <f t="shared" ref="H94" si="303">IF(H93&gt;=1%,"CUMPLE","NO CUMPLE")</f>
        <v>CUMPLE</v>
      </c>
      <c r="I94" s="263" t="str">
        <f t="shared" ref="I94" si="304">IF(I93&gt;=1.3,"CUMPLE","NO CUMPLE")</f>
        <v>NO CUMPLE</v>
      </c>
      <c r="J94" s="263" t="str">
        <f t="shared" ref="J94" si="305">IF(J93&lt;=0.75,"CUMPLE","NO CUMPLE")</f>
        <v>CUMPLE</v>
      </c>
      <c r="K94" s="263" t="str">
        <f t="shared" ref="K94" si="306">IF(K93&gt;1617568284,"CUMPLE","NO CUMPLE")</f>
        <v>NO CUMPLE</v>
      </c>
      <c r="L94" s="263" t="str">
        <f t="shared" ref="L94" si="307">IF(L93&gt;1.5,"CUMPLE","NO CUMPLE")</f>
        <v>NO CUMPLE</v>
      </c>
      <c r="M94" s="263" t="str">
        <f t="shared" ref="M94" si="308">IF(M93&gt;=6%,"CUMPLE","NO CUMPLE")</f>
        <v>NO CUMPLE</v>
      </c>
      <c r="N94" s="43" t="str">
        <f t="shared" ref="N94" si="309">IF(N93&gt;=3%,"CUMPLE","NO CUMPLE")</f>
        <v>NO CUMPLE</v>
      </c>
      <c r="O94" s="358"/>
    </row>
    <row r="95" spans="1:15" ht="18.75" customHeight="1">
      <c r="A95" s="354">
        <f t="shared" ref="A95" si="310">+A93+1</f>
        <v>44</v>
      </c>
      <c r="B95" s="356" t="str">
        <f>+[2]INDICADORES!H155</f>
        <v>JALCONS GROUP S.A.S NIT:800180302-2</v>
      </c>
      <c r="C95" s="60">
        <f>+[2]INDICADORES!J158</f>
        <v>58.193549515881266</v>
      </c>
      <c r="D95" s="38">
        <f>+[2]INDICADORES!J161</f>
        <v>1.2863052647157423E-2</v>
      </c>
      <c r="E95" s="61">
        <f>+[2]INDICADORES!I164</f>
        <v>16344601000</v>
      </c>
      <c r="F95" s="60">
        <f>+[2]INDICADORES!J167</f>
        <v>1109.1955473748794</v>
      </c>
      <c r="G95" s="38">
        <f>+[2]INDICADORES!J170</f>
        <v>0.57702557795635612</v>
      </c>
      <c r="H95" s="38">
        <f>+[2]INDICADORES!J173</f>
        <v>0.56960326756834712</v>
      </c>
      <c r="I95" s="37"/>
      <c r="J95" s="38"/>
      <c r="K95" s="39"/>
      <c r="L95" s="37"/>
      <c r="M95" s="40"/>
      <c r="N95" s="41"/>
      <c r="O95" s="358"/>
    </row>
    <row r="96" spans="1:15" ht="18.75" customHeight="1">
      <c r="A96" s="355"/>
      <c r="B96" s="357"/>
      <c r="C96" s="63" t="str">
        <f t="shared" ref="C96:C98" si="311">IF(C95&gt;=1.2,"CUMPLE","NO CUMPLE")</f>
        <v>CUMPLE</v>
      </c>
      <c r="D96" s="63" t="str">
        <f t="shared" ref="D96:D98" si="312">IF(D95&lt;=0.75,"CUMPLE","NO CUMPLE")</f>
        <v>CUMPLE</v>
      </c>
      <c r="E96" s="64" t="str">
        <f t="shared" ref="E96:E98" si="313">IF(E95&gt;=3634088913,"CUMPLE","NO CUMPLE")</f>
        <v>CUMPLE</v>
      </c>
      <c r="F96" s="63" t="str">
        <f t="shared" ref="F96:F98" si="314">IF(F95&gt;=0.5,"CUMPLE","NO CUMPLE")</f>
        <v>CUMPLE</v>
      </c>
      <c r="G96" s="63" t="str">
        <f t="shared" ref="G96:G98" si="315">IF(G95&gt;=2%,"CUMPLE","NO CUMPLE")</f>
        <v>CUMPLE</v>
      </c>
      <c r="H96" s="63" t="str">
        <f t="shared" ref="H96:H98" si="316">IF(H95&gt;=1%,"CUMPLE","NO CUMPLE")</f>
        <v>CUMPLE</v>
      </c>
      <c r="I96" s="263" t="str">
        <f t="shared" ref="I96" si="317">IF(I95&gt;=1.3,"CUMPLE","NO CUMPLE")</f>
        <v>NO CUMPLE</v>
      </c>
      <c r="J96" s="263" t="str">
        <f t="shared" ref="J96" si="318">IF(J95&lt;=0.75,"CUMPLE","NO CUMPLE")</f>
        <v>CUMPLE</v>
      </c>
      <c r="K96" s="263" t="str">
        <f t="shared" ref="K96" si="319">IF(K95&gt;1617568284,"CUMPLE","NO CUMPLE")</f>
        <v>NO CUMPLE</v>
      </c>
      <c r="L96" s="263" t="str">
        <f t="shared" ref="L96" si="320">IF(L95&gt;1.5,"CUMPLE","NO CUMPLE")</f>
        <v>NO CUMPLE</v>
      </c>
      <c r="M96" s="263" t="str">
        <f t="shared" ref="M96" si="321">IF(M95&gt;=6%,"CUMPLE","NO CUMPLE")</f>
        <v>NO CUMPLE</v>
      </c>
      <c r="N96" s="43" t="str">
        <f t="shared" ref="N96" si="322">IF(N95&gt;=3%,"CUMPLE","NO CUMPLE")</f>
        <v>NO CUMPLE</v>
      </c>
      <c r="O96" s="359"/>
    </row>
    <row r="97" spans="1:18" ht="18.75" customHeight="1">
      <c r="A97" s="363">
        <f t="shared" ref="A97" si="323">+A95+1</f>
        <v>45</v>
      </c>
      <c r="B97" s="364" t="str">
        <f>+[2]INDICADORES!K155</f>
        <v>GRUPO MORE S.A.S
NIT:829001262-5</v>
      </c>
      <c r="C97" s="60">
        <f>+[2]INDICADORES!M158</f>
        <v>27.114791652479212</v>
      </c>
      <c r="D97" s="38">
        <f>+[2]INDICADORES!M161</f>
        <v>2.84370147686503E-2</v>
      </c>
      <c r="E97" s="61">
        <f>+[2]INDICADORES!L164</f>
        <v>13805219000</v>
      </c>
      <c r="F97" s="60">
        <f>+[2]INDICADORES!M167</f>
        <v>252.58517620500814</v>
      </c>
      <c r="G97" s="38">
        <f>+[2]INDICADORES!M170</f>
        <v>0.66907298284892058</v>
      </c>
      <c r="H97" s="38">
        <f>+[2]INDICADORES!M173</f>
        <v>0.65004654455434097</v>
      </c>
      <c r="I97" s="65"/>
      <c r="J97" s="38"/>
      <c r="K97" s="39"/>
      <c r="L97" s="37"/>
      <c r="M97" s="40"/>
      <c r="N97" s="41"/>
      <c r="O97" s="358"/>
    </row>
    <row r="98" spans="1:18" ht="18.75" customHeight="1">
      <c r="A98" s="360"/>
      <c r="B98" s="368"/>
      <c r="C98" s="63" t="str">
        <f t="shared" si="311"/>
        <v>CUMPLE</v>
      </c>
      <c r="D98" s="63" t="str">
        <f t="shared" si="312"/>
        <v>CUMPLE</v>
      </c>
      <c r="E98" s="64" t="str">
        <f t="shared" si="313"/>
        <v>CUMPLE</v>
      </c>
      <c r="F98" s="63" t="str">
        <f t="shared" si="314"/>
        <v>CUMPLE</v>
      </c>
      <c r="G98" s="63" t="str">
        <f t="shared" si="315"/>
        <v>CUMPLE</v>
      </c>
      <c r="H98" s="63" t="str">
        <f t="shared" si="316"/>
        <v>CUMPLE</v>
      </c>
      <c r="I98" s="263" t="str">
        <f t="shared" ref="I98" si="324">IF(I97&gt;=1.3,"CUMPLE","NO CUMPLE")</f>
        <v>NO CUMPLE</v>
      </c>
      <c r="J98" s="263" t="str">
        <f t="shared" ref="J98" si="325">IF(J97&lt;=0.75,"CUMPLE","NO CUMPLE")</f>
        <v>CUMPLE</v>
      </c>
      <c r="K98" s="263" t="str">
        <f t="shared" ref="K98" si="326">IF(K97&gt;1617568284,"CUMPLE","NO CUMPLE")</f>
        <v>NO CUMPLE</v>
      </c>
      <c r="L98" s="263" t="str">
        <f t="shared" ref="L98" si="327">IF(L97&gt;1.5,"CUMPLE","NO CUMPLE")</f>
        <v>NO CUMPLE</v>
      </c>
      <c r="M98" s="263" t="str">
        <f t="shared" ref="M98" si="328">IF(M97&gt;=6%,"CUMPLE","NO CUMPLE")</f>
        <v>NO CUMPLE</v>
      </c>
      <c r="N98" s="43" t="str">
        <f t="shared" ref="N98" si="329">IF(N97&gt;=3%,"CUMPLE","NO CUMPLE")</f>
        <v>NO CUMPLE</v>
      </c>
      <c r="O98" s="362"/>
    </row>
    <row r="99" spans="1:18" ht="18.75" customHeight="1">
      <c r="A99" s="354">
        <f t="shared" ref="A99:A105" si="330">+A97+1</f>
        <v>46</v>
      </c>
      <c r="B99" s="356" t="str">
        <f>+[2]INDICADORES!N155</f>
        <v>CONSORCIO OBRAS BTR</v>
      </c>
      <c r="C99" s="60">
        <f>+[2]INDICADORES!P158</f>
        <v>35.425472641629334</v>
      </c>
      <c r="D99" s="38">
        <f>+[2]INDICADORES!P161</f>
        <v>0.55666279319453316</v>
      </c>
      <c r="E99" s="61">
        <f>+[2]INDICADORES!O164</f>
        <v>4202396830</v>
      </c>
      <c r="F99" s="60">
        <f>+[2]INDICADORES!P167</f>
        <v>22.304893068498895</v>
      </c>
      <c r="G99" s="38">
        <f>+[2]INDICADORES!P170</f>
        <v>0.42052094410514451</v>
      </c>
      <c r="H99" s="38">
        <f>+[2]INDICADORES!P173</f>
        <v>0.18643258076277264</v>
      </c>
      <c r="I99" s="37"/>
      <c r="J99" s="38"/>
      <c r="K99" s="39"/>
      <c r="L99" s="37"/>
      <c r="M99" s="40"/>
      <c r="N99" s="41"/>
      <c r="O99" s="358"/>
    </row>
    <row r="100" spans="1:18" ht="18.75" customHeight="1">
      <c r="A100" s="355"/>
      <c r="B100" s="357"/>
      <c r="C100" s="63" t="str">
        <f t="shared" ref="C100:C102" si="331">IF(C99&gt;=1.2,"CUMPLE","NO CUMPLE")</f>
        <v>CUMPLE</v>
      </c>
      <c r="D100" s="63" t="str">
        <f t="shared" ref="D100:D102" si="332">IF(D99&lt;=0.75,"CUMPLE","NO CUMPLE")</f>
        <v>CUMPLE</v>
      </c>
      <c r="E100" s="64" t="str">
        <f t="shared" ref="E100:E102" si="333">IF(E99&gt;=3634088913,"CUMPLE","NO CUMPLE")</f>
        <v>CUMPLE</v>
      </c>
      <c r="F100" s="63" t="str">
        <f t="shared" ref="F100:F102" si="334">IF(F99&gt;=0.5,"CUMPLE","NO CUMPLE")</f>
        <v>CUMPLE</v>
      </c>
      <c r="G100" s="63" t="str">
        <f t="shared" ref="G100:G102" si="335">IF(G99&gt;=2%,"CUMPLE","NO CUMPLE")</f>
        <v>CUMPLE</v>
      </c>
      <c r="H100" s="63" t="str">
        <f t="shared" ref="H100:H102" si="336">IF(H99&gt;=1%,"CUMPLE","NO CUMPLE")</f>
        <v>CUMPLE</v>
      </c>
      <c r="I100" s="263" t="str">
        <f t="shared" ref="I100" si="337">IF(I99&gt;=1.3,"CUMPLE","NO CUMPLE")</f>
        <v>NO CUMPLE</v>
      </c>
      <c r="J100" s="263" t="str">
        <f t="shared" ref="J100" si="338">IF(J99&lt;=0.75,"CUMPLE","NO CUMPLE")</f>
        <v>CUMPLE</v>
      </c>
      <c r="K100" s="263" t="str">
        <f t="shared" ref="K100" si="339">IF(K99&gt;1617568284,"CUMPLE","NO CUMPLE")</f>
        <v>NO CUMPLE</v>
      </c>
      <c r="L100" s="263" t="str">
        <f t="shared" ref="L100" si="340">IF(L99&gt;1.5,"CUMPLE","NO CUMPLE")</f>
        <v>NO CUMPLE</v>
      </c>
      <c r="M100" s="263" t="str">
        <f t="shared" ref="M100" si="341">IF(M99&gt;=6%,"CUMPLE","NO CUMPLE")</f>
        <v>NO CUMPLE</v>
      </c>
      <c r="N100" s="43" t="str">
        <f t="shared" ref="N100" si="342">IF(N99&gt;=3%,"CUMPLE","NO CUMPLE")</f>
        <v>NO CUMPLE</v>
      </c>
      <c r="O100" s="359"/>
    </row>
    <row r="101" spans="1:18">
      <c r="A101" s="354">
        <f t="shared" si="330"/>
        <v>47</v>
      </c>
      <c r="B101" s="356" t="str">
        <f>+[2]OFERENTES!A47</f>
        <v>CONSORCIO PALACIO MAGANGUE</v>
      </c>
      <c r="C101" s="60">
        <f>+[2]INDICADORES!S158</f>
        <v>2.4561051596899666</v>
      </c>
      <c r="D101" s="38">
        <f>+[2]INDICADORES!S161</f>
        <v>0.42865064864317554</v>
      </c>
      <c r="E101" s="61">
        <f>+[2]INDICADORES!R164</f>
        <v>4187130740</v>
      </c>
      <c r="F101" s="60">
        <f>+[2]INDICADORES!S167</f>
        <v>23.126774132466043</v>
      </c>
      <c r="G101" s="38">
        <f>+[2]INDICADORES!S170</f>
        <v>0.25923755872493209</v>
      </c>
      <c r="H101" s="38">
        <f>+[2]INDICADORES!S173</f>
        <v>0.14811521102481665</v>
      </c>
      <c r="I101" s="65"/>
      <c r="J101" s="38"/>
      <c r="K101" s="39"/>
      <c r="L101" s="37"/>
      <c r="M101" s="40"/>
      <c r="N101" s="41"/>
      <c r="O101" s="359"/>
    </row>
    <row r="102" spans="1:18" ht="18.75" customHeight="1">
      <c r="A102" s="360"/>
      <c r="B102" s="361"/>
      <c r="C102" s="63" t="str">
        <f t="shared" si="331"/>
        <v>CUMPLE</v>
      </c>
      <c r="D102" s="63" t="str">
        <f t="shared" si="332"/>
        <v>CUMPLE</v>
      </c>
      <c r="E102" s="64" t="str">
        <f t="shared" si="333"/>
        <v>CUMPLE</v>
      </c>
      <c r="F102" s="63" t="str">
        <f t="shared" si="334"/>
        <v>CUMPLE</v>
      </c>
      <c r="G102" s="63" t="str">
        <f t="shared" si="335"/>
        <v>CUMPLE</v>
      </c>
      <c r="H102" s="63" t="str">
        <f t="shared" si="336"/>
        <v>CUMPLE</v>
      </c>
      <c r="I102" s="263" t="str">
        <f>IF(I101&gt;=1.3,"CUMPLE","NO CUMPLE")</f>
        <v>NO CUMPLE</v>
      </c>
      <c r="J102" s="263" t="str">
        <f>IF(J101&lt;=0.75,"CUMPLE","NO CUMPLE")</f>
        <v>CUMPLE</v>
      </c>
      <c r="K102" s="263" t="str">
        <f>IF(K101&gt;1617568284,"CUMPLE","NO CUMPLE")</f>
        <v>NO CUMPLE</v>
      </c>
      <c r="L102" s="263" t="str">
        <f>IF(L101&gt;1.5,"CUMPLE","NO CUMPLE")</f>
        <v>NO CUMPLE</v>
      </c>
      <c r="M102" s="263" t="str">
        <f>IF(M101&gt;=6%,"CUMPLE","NO CUMPLE")</f>
        <v>NO CUMPLE</v>
      </c>
      <c r="N102" s="43" t="str">
        <f>IF(N101&gt;=3%,"CUMPLE","NO CUMPLE")</f>
        <v>NO CUMPLE</v>
      </c>
      <c r="O102" s="362"/>
    </row>
    <row r="103" spans="1:18">
      <c r="A103" s="363">
        <f>+A101+1</f>
        <v>48</v>
      </c>
      <c r="B103" s="364" t="str">
        <f>+[2]OFERENTES!A48</f>
        <v>CONSORCIO CONSTRU JUSTICIA IE</v>
      </c>
      <c r="C103" s="60">
        <f>+[2]INDICADORES!V158</f>
        <v>21.171708406522807</v>
      </c>
      <c r="D103" s="38">
        <f>+[2]INDICADORES!V161</f>
        <v>0.57053412323985375</v>
      </c>
      <c r="E103" s="61">
        <f>+[2]INDICADORES!U164</f>
        <v>4913456983</v>
      </c>
      <c r="F103" s="60">
        <f>+[2]INDICADORES!V167</f>
        <v>52256.558170656848</v>
      </c>
      <c r="G103" s="38">
        <f>+[2]INDICADORES!V170</f>
        <v>0.8144300977926916</v>
      </c>
      <c r="H103" s="38">
        <f>+[2]INDICADORES!V173</f>
        <v>0.34976993600838996</v>
      </c>
      <c r="I103" s="65"/>
      <c r="J103" s="38"/>
      <c r="K103" s="39"/>
      <c r="L103" s="37"/>
      <c r="M103" s="40"/>
      <c r="N103" s="41"/>
      <c r="O103" s="359"/>
    </row>
    <row r="104" spans="1:18">
      <c r="A104" s="355"/>
      <c r="B104" s="357"/>
      <c r="C104" s="63" t="str">
        <f t="shared" ref="C104:C106" si="343">IF(C103&gt;=1.2,"CUMPLE","NO CUMPLE")</f>
        <v>CUMPLE</v>
      </c>
      <c r="D104" s="63" t="str">
        <f t="shared" ref="D104:D106" si="344">IF(D103&lt;=0.75,"CUMPLE","NO CUMPLE")</f>
        <v>CUMPLE</v>
      </c>
      <c r="E104" s="64" t="str">
        <f t="shared" ref="E104:E106" si="345">IF(E103&gt;=3634088913,"CUMPLE","NO CUMPLE")</f>
        <v>CUMPLE</v>
      </c>
      <c r="F104" s="63" t="str">
        <f t="shared" ref="F104:F106" si="346">IF(F103&gt;=0.5,"CUMPLE","NO CUMPLE")</f>
        <v>CUMPLE</v>
      </c>
      <c r="G104" s="63" t="str">
        <f t="shared" ref="G104:G106" si="347">IF(G103&gt;=2%,"CUMPLE","NO CUMPLE")</f>
        <v>CUMPLE</v>
      </c>
      <c r="H104" s="63" t="str">
        <f t="shared" ref="H104:H106" si="348">IF(H103&gt;=1%,"CUMPLE","NO CUMPLE")</f>
        <v>CUMPLE</v>
      </c>
      <c r="I104" s="263" t="str">
        <f t="shared" ref="I104" si="349">IF(I103&gt;=1.3,"CUMPLE","NO CUMPLE")</f>
        <v>NO CUMPLE</v>
      </c>
      <c r="J104" s="263" t="str">
        <f t="shared" ref="J104" si="350">IF(J103&lt;=0.75,"CUMPLE","NO CUMPLE")</f>
        <v>CUMPLE</v>
      </c>
      <c r="K104" s="263" t="str">
        <f t="shared" ref="K104" si="351">IF(K103&gt;1617568284,"CUMPLE","NO CUMPLE")</f>
        <v>NO CUMPLE</v>
      </c>
      <c r="L104" s="263" t="str">
        <f t="shared" ref="L104" si="352">IF(L103&gt;1.5,"CUMPLE","NO CUMPLE")</f>
        <v>NO CUMPLE</v>
      </c>
      <c r="M104" s="263" t="str">
        <f t="shared" ref="M104" si="353">IF(M103&gt;=6%,"CUMPLE","NO CUMPLE")</f>
        <v>NO CUMPLE</v>
      </c>
      <c r="N104" s="43" t="str">
        <f t="shared" ref="N104" si="354">IF(N103&gt;=3%,"CUMPLE","NO CUMPLE")</f>
        <v>NO CUMPLE</v>
      </c>
      <c r="O104" s="362"/>
    </row>
    <row r="105" spans="1:18">
      <c r="A105" s="363">
        <f t="shared" si="330"/>
        <v>49</v>
      </c>
      <c r="B105" s="364" t="str">
        <f>+[2]OFERENTES!A49</f>
        <v>CONSORCIO JUDICATURA BOLIVAR</v>
      </c>
      <c r="C105" s="60">
        <f>+[2]INDICADORES!G180</f>
        <v>14.845099248329817</v>
      </c>
      <c r="D105" s="38">
        <f>+[2]INDICADORES!G183</f>
        <v>0.29960600460734105</v>
      </c>
      <c r="E105" s="61">
        <f>+[2]INDICADORES!F186</f>
        <v>25988038002</v>
      </c>
      <c r="F105" s="60" t="str">
        <f>+[2]INDICADORES!G189</f>
        <v>INDETERMINADO</v>
      </c>
      <c r="G105" s="38">
        <f>+[2]INDICADORES!G192</f>
        <v>6.2178107152574137E-2</v>
      </c>
      <c r="H105" s="38">
        <f>+[2]INDICADORES!G195</f>
        <v>4.3549172894544262E-2</v>
      </c>
      <c r="I105" s="65"/>
      <c r="J105" s="38"/>
      <c r="K105" s="39"/>
      <c r="L105" s="37"/>
      <c r="M105" s="40"/>
      <c r="N105" s="41"/>
      <c r="O105" s="359"/>
    </row>
    <row r="106" spans="1:18">
      <c r="A106" s="360"/>
      <c r="B106" s="368"/>
      <c r="C106" s="63" t="str">
        <f t="shared" si="343"/>
        <v>CUMPLE</v>
      </c>
      <c r="D106" s="63" t="str">
        <f t="shared" si="344"/>
        <v>CUMPLE</v>
      </c>
      <c r="E106" s="64" t="str">
        <f t="shared" si="345"/>
        <v>CUMPLE</v>
      </c>
      <c r="F106" s="63" t="str">
        <f t="shared" si="346"/>
        <v>CUMPLE</v>
      </c>
      <c r="G106" s="63" t="str">
        <f t="shared" si="347"/>
        <v>CUMPLE</v>
      </c>
      <c r="H106" s="63" t="str">
        <f t="shared" si="348"/>
        <v>CUMPLE</v>
      </c>
      <c r="I106" s="263" t="str">
        <f t="shared" ref="I106" si="355">IF(I105&gt;=1.3,"CUMPLE","NO CUMPLE")</f>
        <v>NO CUMPLE</v>
      </c>
      <c r="J106" s="263" t="str">
        <f>IF(J105&lt;=0.75,"CUMPLE","NO CUMPLE")</f>
        <v>CUMPLE</v>
      </c>
      <c r="K106" s="263" t="str">
        <f t="shared" ref="K106" si="356">IF(K105&gt;1617568284,"CUMPLE","NO CUMPLE")</f>
        <v>NO CUMPLE</v>
      </c>
      <c r="L106" s="263" t="str">
        <f t="shared" ref="L106" si="357">IF(L105&gt;1.5,"CUMPLE","NO CUMPLE")</f>
        <v>NO CUMPLE</v>
      </c>
      <c r="M106" s="263" t="str">
        <f t="shared" ref="M106" si="358">IF(M105&gt;=6%,"CUMPLE","NO CUMPLE")</f>
        <v>NO CUMPLE</v>
      </c>
      <c r="N106" s="43" t="str">
        <f t="shared" ref="N106" si="359">IF(N105&gt;=3%,"CUMPLE","NO CUMPLE")</f>
        <v>NO CUMPLE</v>
      </c>
      <c r="O106" s="362"/>
    </row>
    <row r="107" spans="1:18" ht="18.75" customHeight="1">
      <c r="A107" s="261"/>
      <c r="B107" s="66"/>
      <c r="C107" s="67"/>
      <c r="D107" s="67"/>
      <c r="E107" s="68"/>
      <c r="F107" s="67"/>
      <c r="G107" s="67"/>
      <c r="H107" s="67"/>
      <c r="I107" s="25"/>
      <c r="J107" s="69"/>
      <c r="K107" s="25"/>
      <c r="L107" s="25"/>
      <c r="M107" s="69"/>
      <c r="N107" s="69"/>
      <c r="O107" s="49"/>
    </row>
    <row r="108" spans="1:18" ht="18.75" customHeight="1">
      <c r="A108" s="261"/>
      <c r="B108" s="66"/>
      <c r="C108" s="67"/>
      <c r="D108" s="67"/>
      <c r="E108" s="68"/>
      <c r="F108" s="67"/>
      <c r="G108" s="67"/>
      <c r="H108" s="67"/>
      <c r="I108" s="25"/>
      <c r="J108" s="69"/>
      <c r="K108" s="25"/>
      <c r="L108" s="25"/>
      <c r="M108" s="69"/>
      <c r="N108" s="69"/>
      <c r="O108" s="70"/>
    </row>
    <row r="109" spans="1:18" ht="18.75" customHeight="1">
      <c r="A109" s="261"/>
      <c r="B109" s="66"/>
      <c r="C109" s="67"/>
      <c r="D109" s="67"/>
      <c r="E109" s="68"/>
      <c r="F109" s="67"/>
      <c r="G109" s="67"/>
      <c r="H109" s="67"/>
      <c r="I109" s="25"/>
      <c r="J109" s="69"/>
      <c r="K109" s="25"/>
      <c r="L109" s="25"/>
      <c r="M109" s="69"/>
      <c r="N109" s="69"/>
      <c r="O109" s="70"/>
    </row>
    <row r="110" spans="1:18" ht="18.75" customHeight="1">
      <c r="A110" s="261"/>
      <c r="B110" s="66"/>
      <c r="C110" s="67"/>
      <c r="D110" s="67"/>
      <c r="E110" s="68"/>
      <c r="F110" s="67"/>
      <c r="G110" s="67"/>
      <c r="K110" s="67" t="s">
        <v>871</v>
      </c>
      <c r="L110" s="25"/>
      <c r="M110" s="69"/>
      <c r="N110" s="25"/>
      <c r="O110" s="275"/>
      <c r="P110" s="276"/>
      <c r="Q110" s="277"/>
      <c r="R110" s="278"/>
    </row>
    <row r="111" spans="1:18" ht="18.75" customHeight="1">
      <c r="A111" s="261"/>
      <c r="B111" s="66"/>
      <c r="C111" s="67"/>
      <c r="D111" s="67"/>
      <c r="E111" s="68"/>
      <c r="F111" s="67"/>
      <c r="G111" s="67"/>
      <c r="H111" s="67"/>
      <c r="I111" s="25"/>
      <c r="J111" s="69"/>
      <c r="K111" s="25"/>
      <c r="L111" s="25"/>
      <c r="M111" s="69"/>
      <c r="N111" s="69"/>
      <c r="O111" s="70"/>
      <c r="P111" s="278"/>
      <c r="Q111" s="278"/>
      <c r="R111" s="278"/>
    </row>
    <row r="112" spans="1:18" ht="18.75" customHeight="1">
      <c r="A112" s="261"/>
      <c r="B112" s="66"/>
      <c r="C112" s="67"/>
      <c r="D112" s="67"/>
      <c r="E112" s="68"/>
      <c r="F112" s="67"/>
      <c r="G112" s="67"/>
      <c r="H112" s="67"/>
      <c r="I112" s="25"/>
      <c r="J112" s="69"/>
      <c r="K112" s="25"/>
      <c r="L112" s="25"/>
      <c r="M112" s="69"/>
      <c r="N112" s="69"/>
    </row>
    <row r="113" spans="1:15" ht="18.75" customHeight="1">
      <c r="A113" s="261"/>
      <c r="B113" s="66"/>
      <c r="C113" s="67"/>
      <c r="D113" s="67"/>
      <c r="E113" s="68"/>
      <c r="F113" s="67"/>
      <c r="G113" s="67"/>
      <c r="H113" s="67"/>
      <c r="I113" s="25"/>
      <c r="J113" s="69"/>
      <c r="K113" s="25"/>
      <c r="L113" s="25"/>
      <c r="M113" s="69"/>
      <c r="N113" s="69"/>
      <c r="O113" s="70"/>
    </row>
    <row r="114" spans="1:15" ht="18.75" customHeight="1">
      <c r="A114" s="261"/>
      <c r="B114" s="66"/>
      <c r="C114" s="67"/>
      <c r="D114" s="67"/>
      <c r="E114" s="68"/>
      <c r="F114" s="67"/>
      <c r="G114" s="67"/>
      <c r="H114" s="67"/>
      <c r="I114" s="25"/>
      <c r="J114" s="69"/>
      <c r="K114" s="25"/>
      <c r="L114" s="25"/>
      <c r="M114" s="69"/>
      <c r="N114" s="69"/>
      <c r="O114" s="70"/>
    </row>
    <row r="115" spans="1:15" ht="18.75" customHeight="1">
      <c r="A115" s="261"/>
      <c r="B115" s="66"/>
      <c r="C115" s="67"/>
      <c r="D115" s="67"/>
      <c r="E115" s="68"/>
      <c r="F115" s="67"/>
      <c r="G115" s="67"/>
      <c r="H115" s="67"/>
      <c r="I115" s="25"/>
      <c r="J115" s="69"/>
      <c r="K115" s="25"/>
      <c r="L115" s="25"/>
      <c r="M115" s="69"/>
      <c r="N115" s="69"/>
      <c r="O115" s="70"/>
    </row>
    <row r="116" spans="1:15" ht="18.75" customHeight="1">
      <c r="A116" s="261"/>
      <c r="B116" s="66"/>
      <c r="C116" s="67"/>
      <c r="D116" s="67"/>
      <c r="E116" s="68"/>
      <c r="F116" s="67"/>
      <c r="G116" s="67"/>
      <c r="H116" s="67"/>
      <c r="I116" s="25"/>
      <c r="J116" s="69"/>
      <c r="K116" s="25"/>
      <c r="L116" s="25"/>
      <c r="M116" s="69"/>
      <c r="N116" s="69"/>
      <c r="O116" s="70"/>
    </row>
    <row r="117" spans="1:15" ht="18.75" customHeight="1">
      <c r="A117" s="261"/>
      <c r="B117" s="66"/>
      <c r="C117" s="67"/>
      <c r="D117" s="67"/>
      <c r="E117" s="68"/>
      <c r="F117" s="67"/>
      <c r="G117" s="67"/>
      <c r="H117" s="67"/>
      <c r="I117" s="25"/>
      <c r="J117" s="69"/>
      <c r="K117" s="25"/>
      <c r="L117" s="25"/>
      <c r="M117" s="69"/>
      <c r="N117" s="69"/>
      <c r="O117" s="70"/>
    </row>
    <row r="118" spans="1:15" ht="18.75" customHeight="1">
      <c r="A118" s="261"/>
      <c r="B118" s="66"/>
      <c r="C118" s="67"/>
      <c r="D118" s="67"/>
      <c r="E118" s="68"/>
      <c r="F118" s="67"/>
      <c r="G118" s="67"/>
      <c r="H118" s="67"/>
      <c r="I118" s="25"/>
      <c r="J118" s="69"/>
      <c r="K118" s="25"/>
      <c r="L118" s="25"/>
      <c r="M118" s="69"/>
      <c r="N118" s="69"/>
      <c r="O118" s="70"/>
    </row>
    <row r="119" spans="1:15" ht="18.75" customHeight="1">
      <c r="A119" s="261"/>
      <c r="B119" s="66"/>
      <c r="C119" s="67"/>
      <c r="D119" s="67"/>
      <c r="E119" s="68"/>
      <c r="F119" s="67"/>
      <c r="G119" s="67"/>
      <c r="H119" s="67"/>
      <c r="I119" s="25"/>
      <c r="J119" s="69"/>
      <c r="K119" s="25"/>
      <c r="L119" s="25"/>
      <c r="M119" s="69"/>
      <c r="N119" s="69"/>
      <c r="O119" s="70"/>
    </row>
    <row r="120" spans="1:15" ht="18.75" customHeight="1">
      <c r="A120" s="261"/>
      <c r="B120" s="66"/>
      <c r="C120" s="67"/>
      <c r="D120" s="67"/>
      <c r="E120" s="68"/>
      <c r="F120" s="67"/>
      <c r="G120" s="67"/>
      <c r="H120" s="67"/>
      <c r="I120" s="25"/>
      <c r="J120" s="69"/>
      <c r="K120" s="25"/>
      <c r="L120" s="25"/>
      <c r="M120" s="69"/>
      <c r="N120" s="69"/>
      <c r="O120" s="70"/>
    </row>
    <row r="121" spans="1:15" ht="18.75" customHeight="1">
      <c r="A121" s="261"/>
      <c r="B121" s="66"/>
      <c r="C121" s="67"/>
      <c r="D121" s="67"/>
      <c r="E121" s="68"/>
      <c r="F121" s="67"/>
      <c r="G121" s="67"/>
      <c r="H121" s="67"/>
      <c r="I121" s="25"/>
      <c r="J121" s="69"/>
      <c r="K121" s="25"/>
      <c r="L121" s="25"/>
      <c r="M121" s="69"/>
      <c r="N121" s="69"/>
      <c r="O121" s="70"/>
    </row>
    <row r="122" spans="1:15" ht="18.75" customHeight="1">
      <c r="A122" s="261"/>
      <c r="B122" s="66"/>
      <c r="C122" s="67"/>
      <c r="D122" s="67"/>
      <c r="E122" s="68"/>
      <c r="F122" s="67"/>
      <c r="G122" s="67"/>
      <c r="H122" s="67"/>
      <c r="I122" s="25"/>
      <c r="J122" s="69"/>
      <c r="K122" s="25"/>
      <c r="L122" s="25"/>
      <c r="M122" s="69"/>
      <c r="N122" s="69"/>
      <c r="O122" s="70"/>
    </row>
    <row r="123" spans="1:15" ht="18.75" customHeight="1">
      <c r="A123" s="261"/>
      <c r="B123" s="66"/>
      <c r="C123" s="67"/>
      <c r="D123" s="67"/>
      <c r="E123" s="68"/>
      <c r="F123" s="67"/>
      <c r="G123" s="67"/>
      <c r="H123" s="67"/>
      <c r="I123" s="25"/>
      <c r="J123" s="69"/>
      <c r="K123" s="25"/>
      <c r="L123" s="25"/>
      <c r="M123" s="69"/>
      <c r="N123" s="69"/>
      <c r="O123" s="70"/>
    </row>
    <row r="124" spans="1:15" ht="18.75" customHeight="1">
      <c r="A124" s="261"/>
      <c r="B124" s="66"/>
      <c r="C124" s="67"/>
      <c r="D124" s="67"/>
      <c r="E124" s="68"/>
      <c r="F124" s="67"/>
      <c r="G124" s="67"/>
      <c r="H124" s="67"/>
      <c r="I124" s="25"/>
      <c r="J124" s="69"/>
      <c r="K124" s="25"/>
      <c r="L124" s="25"/>
      <c r="M124" s="69"/>
      <c r="N124" s="69"/>
      <c r="O124" s="70"/>
    </row>
    <row r="125" spans="1:15" ht="18.75" customHeight="1">
      <c r="A125" s="261"/>
      <c r="B125" s="66"/>
      <c r="C125" s="67"/>
      <c r="D125" s="67"/>
      <c r="E125" s="68"/>
      <c r="F125" s="67"/>
      <c r="G125" s="67"/>
      <c r="H125" s="67"/>
      <c r="I125" s="25"/>
      <c r="J125" s="69"/>
      <c r="K125" s="25"/>
      <c r="L125" s="25"/>
      <c r="M125" s="69"/>
      <c r="N125" s="69"/>
      <c r="O125" s="70"/>
    </row>
    <row r="126" spans="1:15" ht="18.75" customHeight="1">
      <c r="A126" s="261"/>
      <c r="B126" s="66"/>
      <c r="C126" s="67"/>
      <c r="D126" s="67"/>
      <c r="E126" s="68"/>
      <c r="F126" s="67"/>
      <c r="G126" s="67"/>
      <c r="H126" s="67"/>
      <c r="I126" s="25"/>
      <c r="J126" s="69"/>
      <c r="K126" s="25"/>
      <c r="L126" s="25"/>
      <c r="M126" s="69"/>
      <c r="N126" s="69"/>
      <c r="O126" s="70"/>
    </row>
    <row r="127" spans="1:15" ht="18.75" customHeight="1">
      <c r="A127" s="261"/>
      <c r="B127" s="66"/>
      <c r="C127" s="67"/>
      <c r="D127" s="67"/>
      <c r="E127" s="68"/>
      <c r="F127" s="67"/>
      <c r="G127" s="67"/>
      <c r="H127" s="67"/>
      <c r="I127" s="25"/>
      <c r="J127" s="69"/>
      <c r="K127" s="25"/>
      <c r="L127" s="25"/>
      <c r="M127" s="69"/>
      <c r="N127" s="69"/>
      <c r="O127" s="70"/>
    </row>
    <row r="128" spans="1:15" ht="18.75" customHeight="1">
      <c r="A128" s="261"/>
      <c r="B128" s="66"/>
      <c r="C128" s="67"/>
      <c r="D128" s="67"/>
      <c r="E128" s="68"/>
      <c r="F128" s="67"/>
      <c r="G128" s="67"/>
      <c r="H128" s="67"/>
      <c r="I128" s="25"/>
      <c r="J128" s="69"/>
      <c r="K128" s="25"/>
      <c r="L128" s="25"/>
      <c r="M128" s="69"/>
      <c r="N128" s="69"/>
      <c r="O128" s="70"/>
    </row>
    <row r="129" spans="1:15" ht="18.75" customHeight="1">
      <c r="A129" s="261"/>
      <c r="B129" s="66"/>
      <c r="C129" s="67"/>
      <c r="D129" s="67"/>
      <c r="E129" s="68"/>
      <c r="F129" s="67"/>
      <c r="G129" s="67"/>
      <c r="H129" s="67"/>
      <c r="I129" s="25"/>
      <c r="J129" s="69"/>
      <c r="K129" s="25"/>
      <c r="L129" s="25"/>
      <c r="M129" s="69"/>
      <c r="N129" s="69"/>
      <c r="O129" s="70"/>
    </row>
    <row r="130" spans="1:15" ht="18.75" customHeight="1">
      <c r="A130" s="261"/>
      <c r="B130" s="66"/>
      <c r="C130" s="67"/>
      <c r="D130" s="67"/>
      <c r="E130" s="68"/>
      <c r="F130" s="67"/>
      <c r="G130" s="67"/>
      <c r="H130" s="67"/>
      <c r="I130" s="25"/>
      <c r="J130" s="69"/>
      <c r="K130" s="25"/>
      <c r="L130" s="25"/>
      <c r="M130" s="69"/>
      <c r="N130" s="69"/>
      <c r="O130" s="70"/>
    </row>
    <row r="131" spans="1:15" ht="18.75" customHeight="1">
      <c r="A131" s="261"/>
      <c r="B131" s="66"/>
      <c r="C131" s="67"/>
      <c r="D131" s="67"/>
      <c r="E131" s="68"/>
      <c r="F131" s="67"/>
      <c r="G131" s="67"/>
      <c r="H131" s="67"/>
      <c r="I131" s="25"/>
      <c r="J131" s="69"/>
      <c r="K131" s="25"/>
      <c r="L131" s="25"/>
      <c r="M131" s="69"/>
      <c r="N131" s="69"/>
      <c r="O131" s="70"/>
    </row>
    <row r="132" spans="1:15" ht="18.75" customHeight="1">
      <c r="A132" s="261"/>
      <c r="B132" s="66"/>
      <c r="C132" s="67"/>
      <c r="D132" s="67"/>
      <c r="E132" s="68"/>
      <c r="F132" s="67"/>
      <c r="G132" s="67"/>
      <c r="H132" s="67"/>
      <c r="I132" s="25"/>
      <c r="J132" s="69"/>
      <c r="K132" s="25"/>
      <c r="L132" s="25"/>
      <c r="M132" s="69"/>
      <c r="N132" s="69"/>
      <c r="O132" s="70"/>
    </row>
    <row r="133" spans="1:15" ht="18.75" customHeight="1">
      <c r="A133" s="261"/>
      <c r="B133" s="66"/>
      <c r="C133" s="67"/>
      <c r="D133" s="67"/>
      <c r="E133" s="68"/>
      <c r="F133" s="67"/>
      <c r="G133" s="67"/>
      <c r="H133" s="67"/>
      <c r="I133" s="25"/>
      <c r="J133" s="69"/>
      <c r="K133" s="25"/>
      <c r="L133" s="25"/>
      <c r="M133" s="69"/>
      <c r="N133" s="69"/>
      <c r="O133" s="70"/>
    </row>
    <row r="134" spans="1:15" ht="18.75" customHeight="1">
      <c r="A134" s="261"/>
      <c r="B134" s="66"/>
      <c r="C134" s="67"/>
      <c r="D134" s="67"/>
      <c r="E134" s="68"/>
      <c r="F134" s="67"/>
      <c r="G134" s="67"/>
      <c r="H134" s="67"/>
      <c r="I134" s="25"/>
      <c r="J134" s="69"/>
      <c r="K134" s="25"/>
      <c r="L134" s="25"/>
      <c r="M134" s="69"/>
      <c r="N134" s="69"/>
      <c r="O134" s="70"/>
    </row>
    <row r="135" spans="1:15" ht="18.75" customHeight="1">
      <c r="A135" s="261"/>
      <c r="B135" s="66"/>
      <c r="C135" s="67"/>
      <c r="D135" s="67"/>
      <c r="E135" s="68"/>
      <c r="F135" s="67"/>
      <c r="G135" s="67"/>
      <c r="H135" s="67"/>
      <c r="I135" s="25"/>
      <c r="J135" s="69"/>
      <c r="K135" s="25"/>
      <c r="L135" s="25"/>
      <c r="M135" s="69"/>
      <c r="N135" s="69"/>
      <c r="O135" s="70"/>
    </row>
    <row r="136" spans="1:15" ht="18.75" customHeight="1">
      <c r="A136" s="261"/>
      <c r="B136" s="66"/>
      <c r="C136" s="67"/>
      <c r="D136" s="67"/>
      <c r="E136" s="68"/>
      <c r="F136" s="67"/>
      <c r="G136" s="67"/>
      <c r="H136" s="67"/>
      <c r="I136" s="25"/>
      <c r="J136" s="69"/>
      <c r="K136" s="25"/>
      <c r="L136" s="25"/>
      <c r="M136" s="69"/>
      <c r="N136" s="69"/>
      <c r="O136" s="70"/>
    </row>
    <row r="137" spans="1:15" ht="18.75" customHeight="1">
      <c r="A137" s="261"/>
      <c r="B137" s="66"/>
      <c r="C137" s="67"/>
      <c r="D137" s="67"/>
      <c r="E137" s="68"/>
      <c r="F137" s="67"/>
      <c r="G137" s="67"/>
      <c r="H137" s="67"/>
      <c r="I137" s="25"/>
      <c r="J137" s="69"/>
      <c r="K137" s="25"/>
      <c r="L137" s="25"/>
      <c r="M137" s="69"/>
      <c r="N137" s="69"/>
      <c r="O137" s="70"/>
    </row>
    <row r="138" spans="1:15" ht="18.75" customHeight="1">
      <c r="A138" s="261"/>
      <c r="B138" s="66"/>
      <c r="C138" s="67"/>
      <c r="D138" s="67"/>
      <c r="E138" s="68"/>
      <c r="F138" s="67"/>
      <c r="G138" s="67"/>
      <c r="H138" s="67"/>
      <c r="I138" s="25"/>
      <c r="J138" s="69"/>
      <c r="K138" s="25"/>
      <c r="L138" s="25"/>
      <c r="M138" s="69"/>
      <c r="N138" s="69"/>
      <c r="O138" s="70"/>
    </row>
    <row r="139" spans="1:15" ht="18.75" customHeight="1">
      <c r="A139" s="261"/>
      <c r="B139" s="66"/>
      <c r="C139" s="67"/>
      <c r="D139" s="67"/>
      <c r="E139" s="68"/>
      <c r="F139" s="67"/>
      <c r="G139" s="67"/>
      <c r="H139" s="67"/>
      <c r="I139" s="25"/>
      <c r="J139" s="69"/>
      <c r="K139" s="25"/>
      <c r="L139" s="25"/>
      <c r="M139" s="69"/>
      <c r="N139" s="69"/>
      <c r="O139" s="70"/>
    </row>
    <row r="140" spans="1:15" ht="18.75" customHeight="1">
      <c r="A140" s="261"/>
      <c r="B140" s="66"/>
      <c r="C140" s="67"/>
      <c r="D140" s="67"/>
      <c r="E140" s="68"/>
      <c r="F140" s="67"/>
      <c r="G140" s="67"/>
      <c r="H140" s="67"/>
      <c r="I140" s="25"/>
      <c r="J140" s="69"/>
      <c r="K140" s="25"/>
      <c r="L140" s="25"/>
      <c r="M140" s="69"/>
      <c r="N140" s="69"/>
      <c r="O140" s="70"/>
    </row>
    <row r="141" spans="1:15" ht="18.75" customHeight="1">
      <c r="A141" s="261"/>
      <c r="B141" s="66"/>
      <c r="C141" s="67"/>
      <c r="D141" s="67"/>
      <c r="E141" s="68"/>
      <c r="F141" s="67"/>
      <c r="G141" s="67"/>
      <c r="H141" s="67"/>
      <c r="I141" s="25"/>
      <c r="J141" s="69"/>
      <c r="K141" s="25"/>
      <c r="L141" s="25"/>
      <c r="M141" s="69"/>
      <c r="N141" s="69"/>
      <c r="O141" s="70"/>
    </row>
    <row r="142" spans="1:15" ht="18.75" customHeight="1">
      <c r="A142" s="261"/>
      <c r="B142" s="66"/>
      <c r="C142" s="67"/>
      <c r="D142" s="67"/>
      <c r="E142" s="68"/>
      <c r="F142" s="67"/>
      <c r="G142" s="67"/>
      <c r="H142" s="67"/>
      <c r="I142" s="25"/>
      <c r="J142" s="69"/>
      <c r="K142" s="25"/>
      <c r="L142" s="25"/>
      <c r="M142" s="69"/>
      <c r="N142" s="69"/>
      <c r="O142" s="70"/>
    </row>
    <row r="143" spans="1:15" ht="18.75" customHeight="1">
      <c r="A143" s="261"/>
      <c r="B143" s="66"/>
      <c r="C143" s="67"/>
      <c r="D143" s="67"/>
      <c r="E143" s="68"/>
      <c r="F143" s="67"/>
      <c r="G143" s="67"/>
      <c r="H143" s="67"/>
      <c r="I143" s="25"/>
      <c r="J143" s="69"/>
      <c r="K143" s="25"/>
      <c r="L143" s="25"/>
      <c r="M143" s="69"/>
      <c r="N143" s="69"/>
      <c r="O143" s="70"/>
    </row>
    <row r="144" spans="1:15" ht="18.75" customHeight="1">
      <c r="A144" s="261"/>
      <c r="B144" s="66"/>
      <c r="C144" s="67"/>
      <c r="D144" s="67"/>
      <c r="E144" s="68"/>
      <c r="F144" s="67"/>
      <c r="G144" s="67"/>
      <c r="H144" s="67"/>
      <c r="I144" s="25"/>
      <c r="J144" s="69"/>
      <c r="K144" s="25"/>
      <c r="L144" s="25"/>
      <c r="M144" s="69"/>
      <c r="N144" s="69"/>
      <c r="O144" s="70"/>
    </row>
    <row r="145" spans="1:15" ht="18.75" customHeight="1">
      <c r="A145" s="261"/>
      <c r="B145" s="66"/>
      <c r="C145" s="67"/>
      <c r="D145" s="67"/>
      <c r="E145" s="68"/>
      <c r="F145" s="67"/>
      <c r="G145" s="67"/>
      <c r="H145" s="67"/>
      <c r="I145" s="25"/>
      <c r="J145" s="69"/>
      <c r="K145" s="25"/>
      <c r="L145" s="25"/>
      <c r="M145" s="69"/>
      <c r="N145" s="69"/>
      <c r="O145" s="70"/>
    </row>
    <row r="146" spans="1:15" ht="18.75" customHeight="1">
      <c r="A146" s="261"/>
      <c r="B146" s="66"/>
      <c r="C146" s="67"/>
      <c r="D146" s="67"/>
      <c r="E146" s="68"/>
      <c r="F146" s="67"/>
      <c r="G146" s="67"/>
      <c r="H146" s="67"/>
      <c r="I146" s="25"/>
      <c r="J146" s="69"/>
      <c r="K146" s="25"/>
      <c r="L146" s="25"/>
      <c r="M146" s="69"/>
      <c r="N146" s="69"/>
      <c r="O146" s="70"/>
    </row>
    <row r="147" spans="1:15" ht="18.75" customHeight="1">
      <c r="A147" s="261"/>
      <c r="B147" s="66"/>
      <c r="C147" s="67"/>
      <c r="D147" s="67"/>
      <c r="E147" s="68"/>
      <c r="F147" s="67"/>
      <c r="G147" s="67"/>
      <c r="H147" s="67"/>
      <c r="I147" s="25"/>
      <c r="J147" s="69"/>
      <c r="K147" s="25"/>
      <c r="L147" s="25"/>
      <c r="M147" s="69"/>
      <c r="N147" s="69"/>
      <c r="O147" s="70"/>
    </row>
    <row r="148" spans="1:15" ht="18.75" customHeight="1">
      <c r="A148" s="261"/>
      <c r="B148" s="66"/>
      <c r="C148" s="67"/>
      <c r="D148" s="67"/>
      <c r="E148" s="68"/>
      <c r="F148" s="67"/>
      <c r="G148" s="67"/>
      <c r="H148" s="67"/>
      <c r="I148" s="25"/>
      <c r="J148" s="69"/>
      <c r="K148" s="25"/>
      <c r="L148" s="25"/>
      <c r="M148" s="69"/>
      <c r="N148" s="69"/>
      <c r="O148" s="70"/>
    </row>
    <row r="149" spans="1:15" ht="18.75" customHeight="1">
      <c r="A149" s="261"/>
      <c r="B149" s="66"/>
      <c r="C149" s="67"/>
      <c r="D149" s="67"/>
      <c r="E149" s="68"/>
      <c r="F149" s="67"/>
      <c r="G149" s="67"/>
      <c r="H149" s="67"/>
      <c r="I149" s="25"/>
      <c r="J149" s="69"/>
      <c r="K149" s="25"/>
      <c r="L149" s="25"/>
      <c r="M149" s="69"/>
      <c r="N149" s="69"/>
      <c r="O149" s="70"/>
    </row>
    <row r="150" spans="1:15" ht="18.75" customHeight="1">
      <c r="A150" s="261"/>
      <c r="B150" s="66"/>
      <c r="C150" s="67"/>
      <c r="D150" s="67"/>
      <c r="E150" s="68"/>
      <c r="F150" s="67"/>
      <c r="G150" s="67"/>
      <c r="H150" s="67"/>
      <c r="I150" s="25"/>
      <c r="J150" s="69"/>
      <c r="K150" s="25"/>
      <c r="L150" s="25"/>
      <c r="M150" s="69"/>
      <c r="N150" s="69"/>
      <c r="O150" s="70"/>
    </row>
    <row r="151" spans="1:15" ht="18.75" customHeight="1">
      <c r="A151" s="261"/>
      <c r="B151" s="66"/>
      <c r="C151" s="67"/>
      <c r="D151" s="67"/>
      <c r="E151" s="68"/>
      <c r="F151" s="67"/>
      <c r="G151" s="67"/>
      <c r="H151" s="67"/>
      <c r="I151" s="25"/>
      <c r="J151" s="69"/>
      <c r="K151" s="25"/>
      <c r="L151" s="25"/>
      <c r="M151" s="69"/>
      <c r="N151" s="69"/>
      <c r="O151" s="70"/>
    </row>
    <row r="152" spans="1:15" ht="18.75" customHeight="1">
      <c r="A152" s="261"/>
      <c r="B152" s="66"/>
      <c r="C152" s="67"/>
      <c r="D152" s="67"/>
      <c r="E152" s="68"/>
      <c r="F152" s="67"/>
      <c r="G152" s="67"/>
      <c r="H152" s="67"/>
      <c r="I152" s="25"/>
      <c r="J152" s="69"/>
      <c r="K152" s="25"/>
      <c r="L152" s="25"/>
      <c r="M152" s="69"/>
      <c r="N152" s="69"/>
      <c r="O152" s="70"/>
    </row>
    <row r="153" spans="1:15" ht="18.75" customHeight="1">
      <c r="A153" s="261"/>
      <c r="B153" s="66"/>
      <c r="C153" s="67"/>
      <c r="D153" s="67"/>
      <c r="E153" s="68"/>
      <c r="F153" s="67"/>
      <c r="G153" s="67"/>
      <c r="H153" s="67"/>
      <c r="I153" s="25"/>
      <c r="J153" s="69"/>
      <c r="K153" s="25"/>
      <c r="L153" s="25"/>
      <c r="M153" s="69"/>
      <c r="N153" s="69"/>
      <c r="O153" s="70"/>
    </row>
    <row r="154" spans="1:15" ht="18.75" customHeight="1">
      <c r="A154" s="261"/>
      <c r="B154" s="66"/>
      <c r="C154" s="67"/>
      <c r="D154" s="67"/>
      <c r="E154" s="68"/>
      <c r="F154" s="67"/>
      <c r="G154" s="67"/>
      <c r="H154" s="67"/>
      <c r="I154" s="25"/>
      <c r="J154" s="69"/>
      <c r="K154" s="25"/>
      <c r="L154" s="25"/>
      <c r="M154" s="69"/>
      <c r="N154" s="69"/>
      <c r="O154" s="70"/>
    </row>
    <row r="155" spans="1:15" ht="18.75" customHeight="1">
      <c r="A155" s="261"/>
      <c r="B155" s="66"/>
      <c r="C155" s="67"/>
      <c r="D155" s="67"/>
      <c r="E155" s="68"/>
      <c r="F155" s="67"/>
      <c r="G155" s="67"/>
      <c r="H155" s="67"/>
      <c r="I155" s="25"/>
      <c r="J155" s="69"/>
      <c r="K155" s="25"/>
      <c r="L155" s="25"/>
      <c r="M155" s="69"/>
      <c r="N155" s="69"/>
      <c r="O155" s="70"/>
    </row>
    <row r="156" spans="1:15" ht="18.75" customHeight="1">
      <c r="A156" s="261"/>
      <c r="B156" s="66"/>
      <c r="C156" s="67"/>
      <c r="D156" s="67"/>
      <c r="E156" s="68"/>
      <c r="F156" s="67"/>
      <c r="G156" s="67"/>
      <c r="H156" s="67"/>
      <c r="I156" s="25"/>
      <c r="J156" s="69"/>
      <c r="K156" s="25"/>
      <c r="L156" s="25"/>
      <c r="M156" s="69"/>
      <c r="N156" s="69"/>
      <c r="O156" s="70"/>
    </row>
    <row r="157" spans="1:15" ht="18.75" customHeight="1">
      <c r="A157" s="261"/>
      <c r="B157" s="66"/>
      <c r="C157" s="67"/>
      <c r="D157" s="67"/>
      <c r="E157" s="68"/>
      <c r="F157" s="67"/>
      <c r="G157" s="67"/>
      <c r="H157" s="67"/>
      <c r="I157" s="25"/>
      <c r="J157" s="69"/>
      <c r="K157" s="25"/>
      <c r="L157" s="25"/>
      <c r="M157" s="69"/>
      <c r="N157" s="69"/>
      <c r="O157" s="70"/>
    </row>
    <row r="158" spans="1:15" ht="18.75" customHeight="1">
      <c r="A158" s="261"/>
      <c r="B158" s="66"/>
      <c r="C158" s="67"/>
      <c r="D158" s="67"/>
      <c r="E158" s="68"/>
      <c r="F158" s="67"/>
      <c r="G158" s="67"/>
      <c r="H158" s="67"/>
      <c r="I158" s="25"/>
      <c r="J158" s="69"/>
      <c r="K158" s="25"/>
      <c r="L158" s="25"/>
      <c r="M158" s="69"/>
      <c r="N158" s="69"/>
      <c r="O158" s="70"/>
    </row>
    <row r="159" spans="1:15" ht="18.75" customHeight="1">
      <c r="A159" s="261"/>
      <c r="B159" s="66"/>
      <c r="C159" s="67"/>
      <c r="D159" s="67"/>
      <c r="E159" s="68"/>
      <c r="F159" s="67"/>
      <c r="G159" s="67"/>
      <c r="H159" s="67"/>
      <c r="I159" s="25"/>
      <c r="J159" s="69"/>
      <c r="K159" s="25"/>
      <c r="L159" s="25"/>
      <c r="M159" s="69"/>
      <c r="N159" s="69"/>
      <c r="O159" s="70"/>
    </row>
    <row r="160" spans="1:15" ht="18.75" customHeight="1">
      <c r="A160" s="261"/>
      <c r="B160" s="66"/>
      <c r="C160" s="67"/>
      <c r="D160" s="67"/>
      <c r="E160" s="68"/>
      <c r="F160" s="67"/>
      <c r="G160" s="67"/>
      <c r="H160" s="67"/>
      <c r="I160" s="25"/>
      <c r="J160" s="69"/>
      <c r="K160" s="25"/>
      <c r="L160" s="25"/>
      <c r="M160" s="69"/>
      <c r="N160" s="69"/>
      <c r="O160" s="70"/>
    </row>
    <row r="161" spans="1:15" ht="18.75" customHeight="1">
      <c r="A161" s="261"/>
      <c r="B161" s="66"/>
      <c r="C161" s="67"/>
      <c r="D161" s="67"/>
      <c r="E161" s="68"/>
      <c r="F161" s="67"/>
      <c r="G161" s="67"/>
      <c r="H161" s="67"/>
      <c r="I161" s="25"/>
      <c r="J161" s="69"/>
      <c r="K161" s="25"/>
      <c r="L161" s="25"/>
      <c r="M161" s="69"/>
      <c r="N161" s="69"/>
      <c r="O161" s="70"/>
    </row>
    <row r="162" spans="1:15" ht="18.75" customHeight="1">
      <c r="A162" s="261"/>
      <c r="B162" s="66"/>
      <c r="C162" s="67"/>
      <c r="D162" s="67"/>
      <c r="E162" s="68"/>
      <c r="F162" s="67"/>
      <c r="G162" s="67"/>
      <c r="H162" s="67"/>
      <c r="I162" s="25"/>
      <c r="J162" s="69"/>
      <c r="K162" s="25"/>
      <c r="L162" s="25"/>
      <c r="M162" s="69"/>
      <c r="N162" s="69"/>
      <c r="O162" s="70"/>
    </row>
    <row r="163" spans="1:15" ht="18.75" customHeight="1">
      <c r="A163" s="261"/>
      <c r="B163" s="66"/>
      <c r="C163" s="67"/>
      <c r="D163" s="67"/>
      <c r="E163" s="68"/>
      <c r="F163" s="67"/>
      <c r="G163" s="67"/>
      <c r="H163" s="67"/>
      <c r="I163" s="25"/>
      <c r="J163" s="69"/>
      <c r="K163" s="25"/>
      <c r="L163" s="25"/>
      <c r="M163" s="69"/>
      <c r="N163" s="69"/>
      <c r="O163" s="70"/>
    </row>
    <row r="164" spans="1:15" ht="18.75" customHeight="1">
      <c r="A164" s="261"/>
      <c r="B164" s="66"/>
      <c r="C164" s="67"/>
      <c r="D164" s="67"/>
      <c r="E164" s="68"/>
      <c r="F164" s="67"/>
      <c r="G164" s="67"/>
      <c r="H164" s="67"/>
      <c r="I164" s="25"/>
      <c r="J164" s="69"/>
      <c r="K164" s="25"/>
      <c r="L164" s="25"/>
      <c r="M164" s="69"/>
      <c r="N164" s="69"/>
      <c r="O164" s="70"/>
    </row>
    <row r="165" spans="1:15" ht="18.75" customHeight="1">
      <c r="A165" s="261"/>
      <c r="B165" s="66"/>
      <c r="C165" s="67"/>
      <c r="D165" s="67"/>
      <c r="E165" s="68"/>
      <c r="F165" s="67"/>
      <c r="G165" s="67"/>
      <c r="H165" s="67"/>
      <c r="I165" s="25"/>
      <c r="J165" s="69"/>
      <c r="K165" s="25"/>
      <c r="L165" s="25"/>
      <c r="M165" s="69"/>
      <c r="N165" s="69"/>
      <c r="O165" s="70"/>
    </row>
    <row r="166" spans="1:15" ht="18.75" customHeight="1">
      <c r="A166" s="261"/>
      <c r="B166" s="66"/>
      <c r="C166" s="67"/>
      <c r="D166" s="67"/>
      <c r="E166" s="68"/>
      <c r="F166" s="67"/>
      <c r="G166" s="67"/>
      <c r="H166" s="67"/>
      <c r="I166" s="25"/>
      <c r="J166" s="69"/>
      <c r="K166" s="25"/>
      <c r="L166" s="25"/>
      <c r="M166" s="69"/>
      <c r="N166" s="69"/>
      <c r="O166" s="70"/>
    </row>
    <row r="167" spans="1:15" ht="18.75" customHeight="1">
      <c r="A167" s="261"/>
      <c r="B167" s="66"/>
      <c r="C167" s="67"/>
      <c r="D167" s="67"/>
      <c r="E167" s="68"/>
      <c r="F167" s="67"/>
      <c r="G167" s="67"/>
      <c r="H167" s="67"/>
      <c r="I167" s="25"/>
      <c r="J167" s="69"/>
      <c r="K167" s="25"/>
      <c r="L167" s="25"/>
      <c r="M167" s="69"/>
      <c r="N167" s="69"/>
      <c r="O167" s="70"/>
    </row>
    <row r="168" spans="1:15" ht="18.75" customHeight="1">
      <c r="A168" s="261"/>
      <c r="B168" s="66"/>
      <c r="C168" s="67"/>
      <c r="D168" s="67"/>
      <c r="E168" s="68"/>
      <c r="F168" s="67"/>
      <c r="G168" s="67"/>
      <c r="H168" s="67"/>
      <c r="I168" s="25"/>
      <c r="J168" s="69"/>
      <c r="K168" s="25"/>
      <c r="L168" s="25"/>
      <c r="M168" s="69"/>
      <c r="N168" s="69"/>
      <c r="O168" s="70"/>
    </row>
    <row r="169" spans="1:15" ht="18.75" customHeight="1">
      <c r="A169" s="261"/>
      <c r="B169" s="66"/>
      <c r="C169" s="67"/>
      <c r="D169" s="67"/>
      <c r="E169" s="68"/>
      <c r="F169" s="67"/>
      <c r="G169" s="67"/>
      <c r="H169" s="67"/>
      <c r="I169" s="25"/>
      <c r="J169" s="69"/>
      <c r="K169" s="25"/>
      <c r="L169" s="25"/>
      <c r="M169" s="69"/>
      <c r="N169" s="69"/>
      <c r="O169" s="70"/>
    </row>
    <row r="170" spans="1:15" ht="18.75" customHeight="1">
      <c r="A170" s="261"/>
      <c r="B170" s="66"/>
      <c r="C170" s="67"/>
      <c r="D170" s="67"/>
      <c r="E170" s="68"/>
      <c r="F170" s="67"/>
      <c r="G170" s="67"/>
      <c r="H170" s="67"/>
      <c r="I170" s="25"/>
      <c r="J170" s="69"/>
      <c r="K170" s="25"/>
      <c r="L170" s="25"/>
      <c r="M170" s="69"/>
      <c r="N170" s="69"/>
      <c r="O170" s="70"/>
    </row>
    <row r="171" spans="1:15" ht="18.75" customHeight="1">
      <c r="A171" s="261"/>
      <c r="B171" s="66"/>
      <c r="C171" s="67"/>
      <c r="D171" s="67"/>
      <c r="E171" s="68"/>
      <c r="F171" s="67"/>
      <c r="G171" s="67"/>
      <c r="H171" s="67"/>
      <c r="I171" s="25"/>
      <c r="J171" s="69"/>
      <c r="K171" s="25"/>
      <c r="L171" s="25"/>
      <c r="M171" s="69"/>
      <c r="N171" s="69"/>
      <c r="O171" s="70"/>
    </row>
    <row r="172" spans="1:15" ht="18.75" customHeight="1">
      <c r="A172" s="261"/>
      <c r="B172" s="66"/>
      <c r="C172" s="67"/>
      <c r="D172" s="67"/>
      <c r="E172" s="68"/>
      <c r="F172" s="67"/>
      <c r="G172" s="67"/>
      <c r="H172" s="67"/>
      <c r="I172" s="25"/>
      <c r="J172" s="69"/>
      <c r="K172" s="25"/>
      <c r="L172" s="25"/>
      <c r="M172" s="69"/>
      <c r="N172" s="69"/>
      <c r="O172" s="70"/>
    </row>
    <row r="173" spans="1:15" ht="18.75" customHeight="1">
      <c r="A173" s="261"/>
      <c r="B173" s="66"/>
      <c r="C173" s="67"/>
      <c r="D173" s="67"/>
      <c r="E173" s="68"/>
      <c r="F173" s="67"/>
      <c r="G173" s="67"/>
      <c r="H173" s="67"/>
      <c r="I173" s="25"/>
      <c r="J173" s="69"/>
      <c r="K173" s="25"/>
      <c r="L173" s="25"/>
      <c r="M173" s="69"/>
      <c r="N173" s="69"/>
      <c r="O173" s="70"/>
    </row>
    <row r="174" spans="1:15" ht="18.75" customHeight="1">
      <c r="A174" s="261"/>
      <c r="B174" s="66"/>
      <c r="C174" s="67"/>
      <c r="D174" s="67"/>
      <c r="E174" s="68"/>
      <c r="F174" s="67"/>
      <c r="G174" s="67"/>
      <c r="H174" s="67"/>
      <c r="I174" s="25"/>
      <c r="J174" s="69"/>
      <c r="K174" s="25"/>
      <c r="L174" s="25"/>
      <c r="M174" s="69"/>
      <c r="N174" s="69"/>
      <c r="O174" s="70"/>
    </row>
    <row r="175" spans="1:15" ht="18.75" customHeight="1">
      <c r="A175" s="261"/>
      <c r="B175" s="66"/>
      <c r="C175" s="67"/>
      <c r="D175" s="67"/>
      <c r="E175" s="68"/>
      <c r="F175" s="67"/>
      <c r="G175" s="67"/>
      <c r="H175" s="67"/>
      <c r="I175" s="25"/>
      <c r="J175" s="69"/>
      <c r="K175" s="25"/>
      <c r="L175" s="25"/>
      <c r="M175" s="69"/>
      <c r="N175" s="69"/>
      <c r="O175" s="70"/>
    </row>
    <row r="176" spans="1:15" ht="18.75" customHeight="1">
      <c r="A176" s="261"/>
      <c r="B176" s="66"/>
      <c r="C176" s="67"/>
      <c r="D176" s="67"/>
      <c r="E176" s="68"/>
      <c r="F176" s="67"/>
      <c r="G176" s="67"/>
      <c r="H176" s="67"/>
      <c r="I176" s="25"/>
      <c r="J176" s="69"/>
      <c r="K176" s="25"/>
      <c r="L176" s="25"/>
      <c r="M176" s="69"/>
      <c r="N176" s="69"/>
      <c r="O176" s="70"/>
    </row>
    <row r="177" spans="1:15" ht="18.75" customHeight="1">
      <c r="A177" s="261"/>
      <c r="B177" s="66"/>
      <c r="C177" s="67"/>
      <c r="D177" s="67"/>
      <c r="E177" s="68"/>
      <c r="F177" s="67"/>
      <c r="G177" s="67"/>
      <c r="H177" s="67"/>
      <c r="I177" s="25"/>
      <c r="J177" s="69"/>
      <c r="K177" s="25"/>
      <c r="L177" s="25"/>
      <c r="M177" s="69"/>
      <c r="N177" s="69"/>
      <c r="O177" s="70"/>
    </row>
    <row r="178" spans="1:15" ht="18.75" customHeight="1">
      <c r="A178" s="261"/>
      <c r="B178" s="66"/>
      <c r="C178" s="67"/>
      <c r="D178" s="67"/>
      <c r="E178" s="68"/>
      <c r="F178" s="67"/>
      <c r="G178" s="67"/>
      <c r="H178" s="67"/>
      <c r="I178" s="25"/>
      <c r="J178" s="69"/>
      <c r="K178" s="25"/>
      <c r="L178" s="25"/>
      <c r="M178" s="69"/>
      <c r="N178" s="69"/>
      <c r="O178" s="70"/>
    </row>
    <row r="179" spans="1:15" ht="18.75" customHeight="1">
      <c r="A179" s="261"/>
      <c r="B179" s="66"/>
      <c r="C179" s="67"/>
      <c r="D179" s="67"/>
      <c r="E179" s="68"/>
      <c r="F179" s="67"/>
      <c r="G179" s="67"/>
      <c r="H179" s="67"/>
      <c r="I179" s="25"/>
      <c r="J179" s="69"/>
      <c r="K179" s="25"/>
      <c r="L179" s="25"/>
      <c r="M179" s="69"/>
      <c r="N179" s="69"/>
      <c r="O179" s="70"/>
    </row>
    <row r="180" spans="1:15" ht="18.75" customHeight="1">
      <c r="A180" s="261"/>
      <c r="B180" s="66"/>
      <c r="C180" s="67"/>
      <c r="D180" s="67"/>
      <c r="E180" s="68"/>
      <c r="F180" s="67"/>
      <c r="G180" s="67"/>
      <c r="H180" s="67"/>
      <c r="I180" s="25"/>
      <c r="J180" s="69"/>
      <c r="K180" s="25"/>
      <c r="L180" s="25"/>
      <c r="M180" s="69"/>
      <c r="N180" s="69"/>
      <c r="O180" s="70"/>
    </row>
    <row r="181" spans="1:15" ht="18.75" customHeight="1">
      <c r="A181" s="261"/>
      <c r="B181" s="66"/>
      <c r="C181" s="67"/>
      <c r="D181" s="67"/>
      <c r="E181" s="68"/>
      <c r="F181" s="67"/>
      <c r="G181" s="67"/>
      <c r="H181" s="67"/>
      <c r="I181" s="25"/>
      <c r="J181" s="69"/>
      <c r="K181" s="25"/>
      <c r="L181" s="25"/>
      <c r="M181" s="69"/>
      <c r="N181" s="69"/>
      <c r="O181" s="70"/>
    </row>
    <row r="182" spans="1:15" ht="18.75" customHeight="1">
      <c r="A182" s="261"/>
      <c r="B182" s="66"/>
      <c r="C182" s="67"/>
      <c r="D182" s="67"/>
      <c r="E182" s="68"/>
      <c r="F182" s="67"/>
      <c r="G182" s="67"/>
      <c r="H182" s="67"/>
      <c r="I182" s="25"/>
      <c r="J182" s="69"/>
      <c r="K182" s="25"/>
      <c r="L182" s="25"/>
      <c r="M182" s="69"/>
      <c r="N182" s="69"/>
      <c r="O182" s="70"/>
    </row>
    <row r="183" spans="1:15" ht="18.75" customHeight="1">
      <c r="A183" s="261"/>
      <c r="B183" s="66"/>
      <c r="C183" s="67"/>
      <c r="D183" s="67"/>
      <c r="E183" s="68"/>
      <c r="F183" s="67"/>
      <c r="G183" s="67"/>
      <c r="H183" s="67"/>
      <c r="I183" s="25"/>
      <c r="J183" s="69"/>
      <c r="K183" s="25"/>
      <c r="L183" s="25"/>
      <c r="M183" s="69"/>
      <c r="N183" s="69"/>
      <c r="O183" s="70"/>
    </row>
    <row r="184" spans="1:15" ht="18.75" customHeight="1">
      <c r="A184" s="261"/>
      <c r="B184" s="66"/>
      <c r="C184" s="67"/>
      <c r="D184" s="67"/>
      <c r="E184" s="68"/>
      <c r="F184" s="67"/>
      <c r="G184" s="67"/>
      <c r="H184" s="67"/>
      <c r="I184" s="25"/>
      <c r="J184" s="69"/>
      <c r="K184" s="25"/>
      <c r="L184" s="25"/>
      <c r="M184" s="69"/>
      <c r="N184" s="69"/>
      <c r="O184" s="70"/>
    </row>
    <row r="185" spans="1:15" ht="18.75" customHeight="1">
      <c r="A185" s="261"/>
      <c r="B185" s="66"/>
      <c r="C185" s="67"/>
      <c r="D185" s="67"/>
      <c r="E185" s="68"/>
      <c r="F185" s="67"/>
      <c r="G185" s="67"/>
      <c r="H185" s="67"/>
      <c r="I185" s="25"/>
      <c r="J185" s="69"/>
      <c r="K185" s="25"/>
      <c r="L185" s="25"/>
      <c r="M185" s="69"/>
      <c r="N185" s="69"/>
      <c r="O185" s="70"/>
    </row>
    <row r="186" spans="1:15" ht="18.75" customHeight="1">
      <c r="A186" s="261"/>
      <c r="B186" s="66"/>
      <c r="C186" s="67"/>
      <c r="D186" s="67"/>
      <c r="E186" s="68"/>
      <c r="F186" s="67"/>
      <c r="G186" s="67"/>
      <c r="H186" s="67"/>
      <c r="I186" s="25"/>
      <c r="J186" s="69"/>
      <c r="K186" s="25"/>
      <c r="L186" s="25"/>
      <c r="M186" s="69"/>
      <c r="N186" s="69"/>
      <c r="O186" s="70"/>
    </row>
    <row r="187" spans="1:15" ht="18.75" customHeight="1">
      <c r="A187" s="261"/>
      <c r="B187" s="66"/>
      <c r="C187" s="67"/>
      <c r="D187" s="67"/>
      <c r="E187" s="68"/>
      <c r="F187" s="67"/>
      <c r="G187" s="67"/>
      <c r="H187" s="67"/>
      <c r="I187" s="25"/>
      <c r="J187" s="69"/>
      <c r="K187" s="25"/>
      <c r="L187" s="25"/>
      <c r="M187" s="69"/>
      <c r="N187" s="69"/>
      <c r="O187" s="70"/>
    </row>
    <row r="188" spans="1:15" ht="18.75" customHeight="1">
      <c r="A188" s="261"/>
      <c r="B188" s="66"/>
      <c r="C188" s="67"/>
      <c r="D188" s="67"/>
      <c r="E188" s="68"/>
      <c r="F188" s="67"/>
      <c r="G188" s="67"/>
      <c r="H188" s="67"/>
      <c r="I188" s="25"/>
      <c r="J188" s="69"/>
      <c r="K188" s="25"/>
      <c r="L188" s="25"/>
      <c r="M188" s="69"/>
      <c r="N188" s="69"/>
      <c r="O188" s="70"/>
    </row>
    <row r="189" spans="1:15" ht="18.75" customHeight="1">
      <c r="A189" s="261"/>
      <c r="B189" s="66"/>
      <c r="C189" s="67"/>
      <c r="D189" s="67"/>
      <c r="E189" s="68"/>
      <c r="F189" s="67"/>
      <c r="G189" s="67"/>
      <c r="H189" s="67"/>
      <c r="I189" s="25"/>
      <c r="J189" s="69"/>
      <c r="K189" s="25"/>
      <c r="L189" s="25"/>
      <c r="M189" s="69"/>
      <c r="N189" s="69"/>
      <c r="O189" s="70"/>
    </row>
    <row r="190" spans="1:15" ht="18.75" customHeight="1">
      <c r="A190" s="261"/>
      <c r="B190" s="66"/>
      <c r="C190" s="67"/>
      <c r="D190" s="67"/>
      <c r="E190" s="68"/>
      <c r="F190" s="67"/>
      <c r="G190" s="67"/>
      <c r="H190" s="67"/>
      <c r="I190" s="25"/>
      <c r="J190" s="69"/>
      <c r="K190" s="25"/>
      <c r="L190" s="25"/>
      <c r="M190" s="69"/>
      <c r="N190" s="69"/>
      <c r="O190" s="70"/>
    </row>
    <row r="191" spans="1:15" ht="18.75" customHeight="1">
      <c r="A191" s="261"/>
      <c r="B191" s="66"/>
      <c r="C191" s="67"/>
      <c r="D191" s="67"/>
      <c r="E191" s="68"/>
      <c r="F191" s="67"/>
      <c r="G191" s="67"/>
      <c r="H191" s="67"/>
      <c r="I191" s="25"/>
      <c r="J191" s="69"/>
      <c r="K191" s="25"/>
      <c r="L191" s="25"/>
      <c r="M191" s="69"/>
      <c r="N191" s="69"/>
      <c r="O191" s="70"/>
    </row>
    <row r="192" spans="1:15" ht="18.75" customHeight="1">
      <c r="A192" s="261"/>
      <c r="B192" s="66"/>
      <c r="C192" s="67"/>
      <c r="D192" s="67"/>
      <c r="E192" s="68"/>
      <c r="F192" s="67"/>
      <c r="G192" s="67"/>
      <c r="H192" s="67"/>
      <c r="I192" s="25"/>
      <c r="J192" s="69"/>
      <c r="K192" s="25"/>
      <c r="L192" s="25"/>
      <c r="M192" s="69"/>
      <c r="N192" s="69"/>
      <c r="O192" s="70"/>
    </row>
    <row r="193" spans="1:15" ht="18.75" customHeight="1">
      <c r="A193" s="261"/>
      <c r="B193" s="66"/>
      <c r="C193" s="67"/>
      <c r="D193" s="67"/>
      <c r="E193" s="68"/>
      <c r="F193" s="67"/>
      <c r="G193" s="67"/>
      <c r="H193" s="67"/>
      <c r="I193" s="25"/>
      <c r="J193" s="69"/>
      <c r="K193" s="25"/>
      <c r="L193" s="25"/>
      <c r="M193" s="69"/>
      <c r="N193" s="69"/>
      <c r="O193" s="70"/>
    </row>
    <row r="194" spans="1:15" ht="18.75" customHeight="1">
      <c r="A194" s="261"/>
      <c r="B194" s="66"/>
      <c r="C194" s="67"/>
      <c r="D194" s="67"/>
      <c r="E194" s="68"/>
      <c r="F194" s="67"/>
      <c r="G194" s="67"/>
      <c r="H194" s="67"/>
      <c r="I194" s="25"/>
      <c r="J194" s="69"/>
      <c r="K194" s="25"/>
      <c r="L194" s="25"/>
      <c r="M194" s="69"/>
      <c r="N194" s="69"/>
      <c r="O194" s="70"/>
    </row>
    <row r="195" spans="1:15" ht="18.75" customHeight="1">
      <c r="A195" s="261"/>
      <c r="B195" s="66"/>
      <c r="C195" s="67"/>
      <c r="D195" s="67"/>
      <c r="E195" s="68"/>
      <c r="F195" s="67"/>
      <c r="G195" s="67"/>
      <c r="H195" s="67"/>
      <c r="I195" s="25"/>
      <c r="J195" s="69"/>
      <c r="K195" s="25"/>
      <c r="L195" s="25"/>
      <c r="M195" s="69"/>
      <c r="N195" s="69"/>
      <c r="O195" s="70"/>
    </row>
    <row r="196" spans="1:15" ht="18.75" customHeight="1">
      <c r="A196" s="261"/>
      <c r="B196" s="66"/>
      <c r="C196" s="67"/>
      <c r="D196" s="67"/>
      <c r="E196" s="68"/>
      <c r="F196" s="67"/>
      <c r="G196" s="67"/>
      <c r="H196" s="67"/>
      <c r="I196" s="25"/>
      <c r="J196" s="69"/>
      <c r="K196" s="25"/>
      <c r="L196" s="25"/>
      <c r="M196" s="69"/>
      <c r="N196" s="69"/>
      <c r="O196" s="70"/>
    </row>
    <row r="197" spans="1:15" ht="18.75" customHeight="1">
      <c r="A197" s="261"/>
      <c r="B197" s="66"/>
      <c r="C197" s="67"/>
      <c r="D197" s="67"/>
      <c r="E197" s="68"/>
      <c r="F197" s="67"/>
      <c r="G197" s="67"/>
      <c r="H197" s="67"/>
      <c r="I197" s="25"/>
      <c r="J197" s="69"/>
      <c r="K197" s="25"/>
      <c r="L197" s="25"/>
      <c r="M197" s="69"/>
      <c r="N197" s="69"/>
      <c r="O197" s="70"/>
    </row>
    <row r="198" spans="1:15" ht="18.75" customHeight="1">
      <c r="A198" s="261"/>
      <c r="B198" s="66"/>
      <c r="C198" s="67"/>
      <c r="D198" s="67"/>
      <c r="E198" s="68"/>
      <c r="F198" s="67"/>
      <c r="G198" s="67"/>
      <c r="H198" s="67"/>
      <c r="I198" s="25"/>
      <c r="J198" s="69"/>
      <c r="K198" s="25"/>
      <c r="L198" s="25"/>
      <c r="M198" s="69"/>
      <c r="N198" s="69"/>
      <c r="O198" s="70"/>
    </row>
    <row r="199" spans="1:15" ht="18.75" customHeight="1">
      <c r="A199" s="261"/>
      <c r="B199" s="66"/>
      <c r="C199" s="67"/>
      <c r="D199" s="67"/>
      <c r="E199" s="68"/>
      <c r="F199" s="67"/>
      <c r="G199" s="67"/>
      <c r="H199" s="67"/>
      <c r="I199" s="25"/>
      <c r="J199" s="69"/>
      <c r="K199" s="25"/>
      <c r="L199" s="25"/>
      <c r="M199" s="69"/>
      <c r="N199" s="69"/>
      <c r="O199" s="70"/>
    </row>
    <row r="200" spans="1:15" ht="18.75" customHeight="1">
      <c r="A200" s="261"/>
      <c r="B200" s="66"/>
      <c r="C200" s="67"/>
      <c r="D200" s="67"/>
      <c r="E200" s="68"/>
      <c r="F200" s="67"/>
      <c r="G200" s="67"/>
      <c r="H200" s="67"/>
      <c r="I200" s="25"/>
      <c r="J200" s="69"/>
      <c r="K200" s="25"/>
      <c r="L200" s="25"/>
      <c r="M200" s="69"/>
      <c r="N200" s="69"/>
      <c r="O200" s="70"/>
    </row>
    <row r="201" spans="1:15" ht="18.75" customHeight="1">
      <c r="A201" s="261"/>
      <c r="B201" s="66"/>
      <c r="C201" s="67"/>
      <c r="D201" s="67"/>
      <c r="E201" s="68"/>
      <c r="F201" s="67"/>
      <c r="G201" s="67"/>
      <c r="H201" s="67"/>
      <c r="I201" s="25"/>
      <c r="J201" s="69"/>
      <c r="K201" s="25"/>
      <c r="L201" s="25"/>
      <c r="M201" s="69"/>
      <c r="N201" s="69"/>
      <c r="O201" s="70"/>
    </row>
    <row r="202" spans="1:15" ht="18.75" customHeight="1">
      <c r="A202" s="261"/>
      <c r="B202" s="66"/>
      <c r="C202" s="67"/>
      <c r="D202" s="67"/>
      <c r="E202" s="68"/>
      <c r="F202" s="67"/>
      <c r="G202" s="67"/>
      <c r="H202" s="67"/>
      <c r="I202" s="25"/>
      <c r="J202" s="69"/>
      <c r="K202" s="25"/>
      <c r="L202" s="25"/>
      <c r="M202" s="69"/>
      <c r="N202" s="69"/>
      <c r="O202" s="70"/>
    </row>
    <row r="203" spans="1:15" ht="18.75" customHeight="1">
      <c r="A203" s="261"/>
      <c r="B203" s="66"/>
      <c r="C203" s="67"/>
      <c r="D203" s="67"/>
      <c r="E203" s="68"/>
      <c r="F203" s="67"/>
      <c r="G203" s="67"/>
      <c r="H203" s="67"/>
      <c r="I203" s="25"/>
      <c r="J203" s="69"/>
      <c r="K203" s="25"/>
      <c r="L203" s="25"/>
      <c r="M203" s="69"/>
      <c r="N203" s="69"/>
      <c r="O203" s="70"/>
    </row>
    <row r="204" spans="1:15" ht="18.75" customHeight="1">
      <c r="A204" s="261"/>
      <c r="B204" s="66"/>
      <c r="C204" s="67"/>
      <c r="D204" s="67"/>
      <c r="E204" s="68"/>
      <c r="F204" s="67"/>
      <c r="G204" s="67"/>
      <c r="H204" s="67"/>
      <c r="I204" s="25"/>
      <c r="J204" s="69"/>
      <c r="K204" s="25"/>
      <c r="L204" s="25"/>
      <c r="M204" s="69"/>
      <c r="N204" s="69"/>
      <c r="O204" s="70"/>
    </row>
    <row r="205" spans="1:15" ht="18.75" customHeight="1">
      <c r="A205" s="261"/>
      <c r="B205" s="66"/>
      <c r="C205" s="67"/>
      <c r="D205" s="67"/>
      <c r="E205" s="68"/>
      <c r="F205" s="67"/>
      <c r="G205" s="67"/>
      <c r="H205" s="67"/>
      <c r="I205" s="25"/>
      <c r="J205" s="69"/>
      <c r="K205" s="25"/>
      <c r="L205" s="25"/>
      <c r="M205" s="69"/>
      <c r="N205" s="69"/>
      <c r="O205" s="70"/>
    </row>
    <row r="206" spans="1:15" ht="18.75" customHeight="1">
      <c r="A206" s="261"/>
      <c r="B206" s="66"/>
      <c r="C206" s="67"/>
      <c r="D206" s="67"/>
      <c r="E206" s="68"/>
      <c r="F206" s="67"/>
      <c r="G206" s="67"/>
      <c r="H206" s="67"/>
      <c r="I206" s="25"/>
      <c r="J206" s="69"/>
      <c r="K206" s="25"/>
      <c r="L206" s="25"/>
      <c r="M206" s="69"/>
      <c r="N206" s="69"/>
      <c r="O206" s="70"/>
    </row>
    <row r="207" spans="1:15" ht="18.75" customHeight="1">
      <c r="A207" s="261"/>
      <c r="B207" s="66"/>
      <c r="C207" s="67"/>
      <c r="D207" s="67"/>
      <c r="E207" s="68"/>
      <c r="F207" s="67"/>
      <c r="G207" s="67"/>
      <c r="H207" s="67"/>
      <c r="I207" s="25"/>
      <c r="J207" s="69"/>
      <c r="K207" s="25"/>
      <c r="L207" s="25"/>
      <c r="M207" s="69"/>
      <c r="N207" s="69"/>
      <c r="O207" s="70"/>
    </row>
    <row r="208" spans="1:15" ht="18.75" customHeight="1">
      <c r="A208" s="261"/>
      <c r="B208" s="66"/>
      <c r="C208" s="67"/>
      <c r="D208" s="67"/>
      <c r="E208" s="68"/>
      <c r="F208" s="67"/>
      <c r="G208" s="67"/>
      <c r="H208" s="67"/>
      <c r="I208" s="25"/>
      <c r="J208" s="69"/>
      <c r="K208" s="25"/>
      <c r="L208" s="25"/>
      <c r="M208" s="69"/>
      <c r="N208" s="69"/>
      <c r="O208" s="70"/>
    </row>
    <row r="209" spans="1:15" ht="18.75" customHeight="1">
      <c r="A209" s="261"/>
      <c r="B209" s="66"/>
      <c r="C209" s="67"/>
      <c r="D209" s="67"/>
      <c r="E209" s="68"/>
      <c r="F209" s="67"/>
      <c r="G209" s="67"/>
      <c r="H209" s="67"/>
      <c r="I209" s="25"/>
      <c r="J209" s="69"/>
      <c r="K209" s="25"/>
      <c r="L209" s="25"/>
      <c r="M209" s="69"/>
      <c r="N209" s="69"/>
      <c r="O209" s="70"/>
    </row>
    <row r="210" spans="1:15" ht="18.75" customHeight="1">
      <c r="A210" s="261"/>
      <c r="B210" s="66"/>
      <c r="C210" s="67"/>
      <c r="D210" s="67"/>
      <c r="E210" s="68"/>
      <c r="F210" s="67"/>
      <c r="G210" s="67"/>
      <c r="H210" s="67"/>
      <c r="I210" s="25"/>
      <c r="J210" s="69"/>
      <c r="K210" s="25"/>
      <c r="L210" s="25"/>
      <c r="M210" s="69"/>
      <c r="N210" s="69"/>
      <c r="O210" s="70"/>
    </row>
    <row r="211" spans="1:15" ht="18.75" customHeight="1">
      <c r="A211" s="261"/>
      <c r="B211" s="66"/>
      <c r="C211" s="67"/>
      <c r="D211" s="67"/>
      <c r="E211" s="68"/>
      <c r="F211" s="67"/>
      <c r="G211" s="67"/>
      <c r="H211" s="67"/>
      <c r="I211" s="25"/>
      <c r="J211" s="69"/>
      <c r="K211" s="25"/>
      <c r="L211" s="25"/>
      <c r="M211" s="69"/>
      <c r="N211" s="69"/>
      <c r="O211" s="70"/>
    </row>
    <row r="212" spans="1:15" ht="18.75" customHeight="1">
      <c r="A212" s="261"/>
      <c r="B212" s="66"/>
      <c r="C212" s="67"/>
      <c r="D212" s="67"/>
      <c r="E212" s="68"/>
      <c r="F212" s="67"/>
      <c r="G212" s="67"/>
      <c r="H212" s="67"/>
      <c r="I212" s="25"/>
      <c r="J212" s="69"/>
      <c r="K212" s="25"/>
      <c r="L212" s="25"/>
      <c r="M212" s="69"/>
      <c r="N212" s="69"/>
      <c r="O212" s="70"/>
    </row>
    <row r="213" spans="1:15" ht="18.75" customHeight="1">
      <c r="A213" s="261"/>
      <c r="B213" s="66"/>
      <c r="C213" s="67"/>
      <c r="D213" s="67"/>
      <c r="E213" s="68"/>
      <c r="F213" s="67"/>
      <c r="G213" s="67"/>
      <c r="H213" s="67"/>
      <c r="I213" s="25"/>
      <c r="J213" s="69"/>
      <c r="K213" s="25"/>
      <c r="L213" s="25"/>
      <c r="M213" s="69"/>
      <c r="N213" s="69"/>
      <c r="O213" s="70"/>
    </row>
    <row r="214" spans="1:15" ht="18.75" customHeight="1">
      <c r="A214" s="261"/>
      <c r="B214" s="66"/>
      <c r="C214" s="67"/>
      <c r="D214" s="67"/>
      <c r="E214" s="68"/>
      <c r="F214" s="67"/>
      <c r="G214" s="67"/>
      <c r="H214" s="67"/>
      <c r="I214" s="25"/>
      <c r="J214" s="69"/>
      <c r="K214" s="25"/>
      <c r="L214" s="25"/>
      <c r="M214" s="69"/>
      <c r="N214" s="69"/>
      <c r="O214" s="70"/>
    </row>
    <row r="215" spans="1:15" ht="18.75" customHeight="1">
      <c r="A215" s="261"/>
      <c r="B215" s="66"/>
      <c r="C215" s="67"/>
      <c r="D215" s="67"/>
      <c r="E215" s="68"/>
      <c r="F215" s="67"/>
      <c r="G215" s="67"/>
      <c r="H215" s="67"/>
      <c r="I215" s="25"/>
      <c r="J215" s="69"/>
      <c r="K215" s="25"/>
      <c r="L215" s="25"/>
      <c r="M215" s="69"/>
      <c r="N215" s="69"/>
      <c r="O215" s="70"/>
    </row>
    <row r="216" spans="1:15" ht="18.75" customHeight="1">
      <c r="A216" s="261"/>
      <c r="B216" s="66"/>
      <c r="C216" s="67"/>
      <c r="D216" s="67"/>
      <c r="E216" s="68"/>
      <c r="F216" s="67"/>
      <c r="G216" s="67"/>
      <c r="H216" s="67"/>
      <c r="I216" s="25"/>
      <c r="J216" s="69"/>
      <c r="K216" s="25"/>
      <c r="L216" s="25"/>
      <c r="M216" s="69"/>
      <c r="N216" s="69"/>
      <c r="O216" s="70"/>
    </row>
    <row r="217" spans="1:15" ht="18.75" customHeight="1">
      <c r="A217" s="261"/>
      <c r="B217" s="66"/>
      <c r="C217" s="67"/>
      <c r="D217" s="67"/>
      <c r="E217" s="68"/>
      <c r="F217" s="67"/>
      <c r="G217" s="67"/>
      <c r="H217" s="67"/>
      <c r="I217" s="25"/>
      <c r="J217" s="69"/>
      <c r="K217" s="25"/>
      <c r="L217" s="25"/>
      <c r="M217" s="69"/>
      <c r="N217" s="69"/>
      <c r="O217" s="70"/>
    </row>
    <row r="218" spans="1:15" ht="18.75" customHeight="1">
      <c r="A218" s="261"/>
      <c r="B218" s="66"/>
      <c r="C218" s="67"/>
      <c r="D218" s="67"/>
      <c r="E218" s="68"/>
      <c r="F218" s="67"/>
      <c r="G218" s="67"/>
      <c r="H218" s="67"/>
      <c r="I218" s="25"/>
      <c r="J218" s="69"/>
      <c r="K218" s="25"/>
      <c r="L218" s="25"/>
      <c r="M218" s="69"/>
      <c r="N218" s="69"/>
      <c r="O218" s="70"/>
    </row>
    <row r="219" spans="1:15" ht="18.75" customHeight="1">
      <c r="A219" s="261"/>
      <c r="B219" s="66"/>
      <c r="C219" s="67"/>
      <c r="D219" s="67"/>
      <c r="E219" s="68"/>
      <c r="F219" s="67"/>
      <c r="G219" s="67"/>
      <c r="H219" s="67"/>
      <c r="I219" s="25"/>
      <c r="J219" s="69"/>
      <c r="K219" s="25"/>
      <c r="L219" s="25"/>
      <c r="M219" s="69"/>
      <c r="N219" s="69"/>
      <c r="O219" s="70"/>
    </row>
    <row r="220" spans="1:15" ht="18.75" customHeight="1">
      <c r="A220" s="261"/>
      <c r="B220" s="66"/>
      <c r="C220" s="67"/>
      <c r="D220" s="67"/>
      <c r="E220" s="68"/>
      <c r="F220" s="67"/>
      <c r="G220" s="67"/>
      <c r="H220" s="67"/>
      <c r="I220" s="25"/>
      <c r="J220" s="69"/>
      <c r="K220" s="25"/>
      <c r="L220" s="25"/>
      <c r="M220" s="69"/>
      <c r="N220" s="69"/>
      <c r="O220" s="70"/>
    </row>
    <row r="221" spans="1:15" ht="18.75" customHeight="1">
      <c r="A221" s="261"/>
      <c r="B221" s="66"/>
      <c r="C221" s="67"/>
      <c r="D221" s="67"/>
      <c r="E221" s="68"/>
      <c r="F221" s="67"/>
      <c r="G221" s="67"/>
      <c r="H221" s="67"/>
      <c r="I221" s="25"/>
      <c r="J221" s="69"/>
      <c r="K221" s="25"/>
      <c r="L221" s="25"/>
      <c r="M221" s="69"/>
      <c r="N221" s="69"/>
      <c r="O221" s="70"/>
    </row>
    <row r="222" spans="1:15" ht="18.75" customHeight="1">
      <c r="A222" s="261"/>
      <c r="B222" s="66"/>
      <c r="C222" s="67"/>
      <c r="D222" s="67"/>
      <c r="E222" s="68"/>
      <c r="F222" s="67"/>
      <c r="G222" s="67"/>
      <c r="H222" s="67"/>
      <c r="I222" s="25"/>
      <c r="J222" s="69"/>
      <c r="K222" s="25"/>
      <c r="L222" s="25"/>
      <c r="M222" s="69"/>
      <c r="N222" s="69"/>
      <c r="O222" s="70"/>
    </row>
    <row r="223" spans="1:15" ht="18.75" customHeight="1">
      <c r="A223" s="261"/>
      <c r="B223" s="66"/>
      <c r="C223" s="67"/>
      <c r="D223" s="67"/>
      <c r="E223" s="68"/>
      <c r="F223" s="67"/>
      <c r="G223" s="67"/>
      <c r="H223" s="67"/>
      <c r="I223" s="25"/>
      <c r="J223" s="69"/>
      <c r="K223" s="25"/>
      <c r="L223" s="25"/>
      <c r="M223" s="69"/>
      <c r="N223" s="69"/>
      <c r="O223" s="70"/>
    </row>
    <row r="224" spans="1:15" ht="18.75" customHeight="1">
      <c r="A224" s="261"/>
      <c r="B224" s="66"/>
      <c r="C224" s="67"/>
      <c r="D224" s="67"/>
      <c r="E224" s="68"/>
      <c r="F224" s="67"/>
      <c r="G224" s="67"/>
      <c r="H224" s="67"/>
      <c r="I224" s="25"/>
      <c r="J224" s="69"/>
      <c r="K224" s="25"/>
      <c r="L224" s="25"/>
      <c r="M224" s="69"/>
      <c r="N224" s="69"/>
      <c r="O224" s="70"/>
    </row>
    <row r="225" spans="1:15" ht="18.75" customHeight="1">
      <c r="A225" s="261"/>
      <c r="B225" s="66"/>
      <c r="C225" s="67"/>
      <c r="D225" s="67"/>
      <c r="E225" s="68"/>
      <c r="F225" s="67"/>
      <c r="G225" s="67"/>
      <c r="H225" s="67"/>
      <c r="I225" s="25"/>
      <c r="J225" s="69"/>
      <c r="K225" s="25"/>
      <c r="L225" s="25"/>
      <c r="M225" s="69"/>
      <c r="N225" s="69"/>
      <c r="O225" s="70"/>
    </row>
    <row r="226" spans="1:15" ht="18.75" customHeight="1">
      <c r="A226" s="261"/>
      <c r="B226" s="66"/>
      <c r="C226" s="67"/>
      <c r="D226" s="67"/>
      <c r="E226" s="68"/>
      <c r="F226" s="67"/>
      <c r="G226" s="67"/>
      <c r="H226" s="67"/>
      <c r="I226" s="25"/>
      <c r="J226" s="69"/>
      <c r="K226" s="25"/>
      <c r="L226" s="25"/>
      <c r="M226" s="69"/>
      <c r="N226" s="69"/>
      <c r="O226" s="70"/>
    </row>
    <row r="227" spans="1:15" ht="18.75" customHeight="1">
      <c r="A227" s="261"/>
      <c r="B227" s="66"/>
      <c r="C227" s="67"/>
      <c r="D227" s="67"/>
      <c r="E227" s="68"/>
      <c r="F227" s="67"/>
      <c r="G227" s="67"/>
      <c r="H227" s="67"/>
      <c r="I227" s="25"/>
      <c r="J227" s="69"/>
      <c r="K227" s="25"/>
      <c r="L227" s="25"/>
      <c r="M227" s="69"/>
      <c r="N227" s="69"/>
      <c r="O227" s="70"/>
    </row>
    <row r="228" spans="1:15" ht="18.75" customHeight="1">
      <c r="A228" s="261"/>
      <c r="B228" s="66"/>
      <c r="C228" s="67"/>
      <c r="D228" s="67"/>
      <c r="E228" s="68"/>
      <c r="F228" s="67"/>
      <c r="G228" s="67"/>
      <c r="H228" s="67"/>
      <c r="I228" s="25"/>
      <c r="J228" s="69"/>
      <c r="K228" s="25"/>
      <c r="L228" s="25"/>
      <c r="M228" s="69"/>
      <c r="N228" s="69"/>
      <c r="O228" s="70"/>
    </row>
    <row r="229" spans="1:15" ht="18.75" customHeight="1">
      <c r="A229" s="261"/>
      <c r="B229" s="66"/>
      <c r="C229" s="67"/>
      <c r="D229" s="67"/>
      <c r="E229" s="68"/>
      <c r="F229" s="67"/>
      <c r="G229" s="67"/>
      <c r="H229" s="67"/>
      <c r="I229" s="25"/>
      <c r="J229" s="69"/>
      <c r="K229" s="25"/>
      <c r="L229" s="25"/>
      <c r="M229" s="69"/>
      <c r="N229" s="69"/>
      <c r="O229" s="70"/>
    </row>
    <row r="230" spans="1:15" ht="18.75" customHeight="1">
      <c r="A230" s="261"/>
      <c r="B230" s="66"/>
      <c r="C230" s="67"/>
      <c r="D230" s="67"/>
      <c r="E230" s="68"/>
      <c r="F230" s="67"/>
      <c r="G230" s="67"/>
      <c r="H230" s="67"/>
      <c r="I230" s="25"/>
      <c r="J230" s="69"/>
      <c r="K230" s="25"/>
      <c r="L230" s="25"/>
      <c r="M230" s="69"/>
      <c r="N230" s="69"/>
      <c r="O230" s="70"/>
    </row>
    <row r="231" spans="1:15" ht="18.75" customHeight="1">
      <c r="A231" s="261"/>
      <c r="B231" s="66"/>
      <c r="C231" s="67"/>
      <c r="D231" s="67"/>
      <c r="E231" s="68"/>
      <c r="F231" s="67"/>
      <c r="G231" s="67"/>
      <c r="H231" s="67"/>
      <c r="I231" s="25"/>
      <c r="J231" s="69"/>
      <c r="K231" s="25"/>
      <c r="L231" s="25"/>
      <c r="M231" s="69"/>
      <c r="N231" s="69"/>
      <c r="O231" s="70"/>
    </row>
    <row r="232" spans="1:15" ht="18.75" customHeight="1">
      <c r="A232" s="261"/>
      <c r="B232" s="66"/>
      <c r="C232" s="67"/>
      <c r="D232" s="67"/>
      <c r="E232" s="68"/>
      <c r="F232" s="67"/>
      <c r="G232" s="67"/>
      <c r="H232" s="67"/>
      <c r="I232" s="25"/>
      <c r="J232" s="69"/>
      <c r="K232" s="25"/>
      <c r="L232" s="25"/>
      <c r="M232" s="69"/>
      <c r="N232" s="69"/>
      <c r="O232" s="70"/>
    </row>
    <row r="233" spans="1:15" ht="18.75" customHeight="1">
      <c r="A233" s="261"/>
      <c r="B233" s="66"/>
      <c r="C233" s="67"/>
      <c r="D233" s="67"/>
      <c r="E233" s="68"/>
      <c r="F233" s="67"/>
      <c r="G233" s="67"/>
      <c r="H233" s="67"/>
      <c r="I233" s="25"/>
      <c r="J233" s="69"/>
      <c r="K233" s="25"/>
      <c r="L233" s="25"/>
      <c r="M233" s="69"/>
      <c r="N233" s="69"/>
      <c r="O233" s="70"/>
    </row>
    <row r="234" spans="1:15" ht="18.75" customHeight="1">
      <c r="A234" s="261"/>
      <c r="B234" s="66"/>
      <c r="C234" s="67"/>
      <c r="D234" s="67"/>
      <c r="E234" s="68"/>
      <c r="F234" s="67"/>
      <c r="G234" s="67"/>
      <c r="H234" s="67"/>
      <c r="I234" s="25"/>
      <c r="J234" s="69"/>
      <c r="K234" s="25"/>
      <c r="L234" s="25"/>
      <c r="M234" s="69"/>
      <c r="N234" s="69"/>
      <c r="O234" s="70"/>
    </row>
    <row r="235" spans="1:15" ht="18.75" customHeight="1">
      <c r="A235" s="261"/>
      <c r="B235" s="66"/>
      <c r="C235" s="67"/>
      <c r="D235" s="67"/>
      <c r="E235" s="68"/>
      <c r="F235" s="67"/>
      <c r="G235" s="67"/>
      <c r="H235" s="67"/>
      <c r="I235" s="25"/>
      <c r="J235" s="69"/>
      <c r="K235" s="25"/>
      <c r="L235" s="25"/>
      <c r="M235" s="69"/>
      <c r="N235" s="69"/>
      <c r="O235" s="70"/>
    </row>
    <row r="236" spans="1:15" ht="18.75" customHeight="1">
      <c r="A236" s="261"/>
      <c r="B236" s="66"/>
      <c r="C236" s="67"/>
      <c r="D236" s="67"/>
      <c r="E236" s="68"/>
      <c r="F236" s="67"/>
      <c r="G236" s="67"/>
      <c r="H236" s="67"/>
      <c r="I236" s="25"/>
      <c r="J236" s="69"/>
      <c r="K236" s="25"/>
      <c r="L236" s="25"/>
      <c r="M236" s="69"/>
      <c r="N236" s="69"/>
      <c r="O236" s="70"/>
    </row>
    <row r="237" spans="1:15" ht="18.75" customHeight="1">
      <c r="A237" s="261"/>
      <c r="B237" s="66"/>
      <c r="C237" s="67"/>
      <c r="D237" s="67"/>
      <c r="E237" s="68"/>
      <c r="F237" s="67"/>
      <c r="G237" s="67"/>
      <c r="H237" s="67"/>
      <c r="I237" s="25"/>
      <c r="J237" s="69"/>
      <c r="K237" s="25"/>
      <c r="L237" s="25"/>
      <c r="M237" s="69"/>
      <c r="N237" s="69"/>
      <c r="O237" s="70"/>
    </row>
    <row r="238" spans="1:15" ht="18.75" customHeight="1">
      <c r="A238" s="261"/>
      <c r="B238" s="66"/>
      <c r="C238" s="67"/>
      <c r="D238" s="67"/>
      <c r="E238" s="68"/>
      <c r="F238" s="67"/>
      <c r="G238" s="67"/>
      <c r="H238" s="67"/>
      <c r="I238" s="25"/>
      <c r="J238" s="69"/>
      <c r="K238" s="25"/>
      <c r="L238" s="25"/>
      <c r="M238" s="69"/>
      <c r="N238" s="69"/>
      <c r="O238" s="70"/>
    </row>
    <row r="239" spans="1:15" ht="18.75" customHeight="1">
      <c r="A239" s="261"/>
      <c r="B239" s="66"/>
      <c r="C239" s="67"/>
      <c r="D239" s="67"/>
      <c r="E239" s="68"/>
      <c r="F239" s="67"/>
      <c r="G239" s="67"/>
      <c r="H239" s="67"/>
      <c r="I239" s="25"/>
      <c r="J239" s="69"/>
      <c r="K239" s="25"/>
      <c r="L239" s="25"/>
      <c r="M239" s="69"/>
      <c r="N239" s="69"/>
      <c r="O239" s="70"/>
    </row>
    <row r="240" spans="1:15" ht="18.75" customHeight="1">
      <c r="A240" s="261"/>
      <c r="B240" s="66"/>
      <c r="C240" s="67"/>
      <c r="D240" s="67"/>
      <c r="E240" s="68"/>
      <c r="F240" s="67"/>
      <c r="G240" s="67"/>
      <c r="H240" s="67"/>
      <c r="I240" s="25"/>
      <c r="J240" s="69"/>
      <c r="K240" s="25"/>
      <c r="L240" s="25"/>
      <c r="M240" s="69"/>
      <c r="N240" s="69"/>
      <c r="O240" s="70"/>
    </row>
    <row r="241" spans="1:15" ht="18.75" customHeight="1">
      <c r="A241" s="261"/>
      <c r="B241" s="66"/>
      <c r="C241" s="67"/>
      <c r="D241" s="67"/>
      <c r="E241" s="68"/>
      <c r="F241" s="67"/>
      <c r="G241" s="67"/>
      <c r="H241" s="67"/>
      <c r="I241" s="25"/>
      <c r="J241" s="69"/>
      <c r="K241" s="25"/>
      <c r="L241" s="25"/>
      <c r="M241" s="69"/>
      <c r="N241" s="69"/>
      <c r="O241" s="70"/>
    </row>
    <row r="242" spans="1:15" ht="18.75" customHeight="1">
      <c r="A242" s="261"/>
      <c r="B242" s="66"/>
      <c r="C242" s="67"/>
      <c r="D242" s="67"/>
      <c r="E242" s="68"/>
      <c r="F242" s="67"/>
      <c r="G242" s="67"/>
      <c r="H242" s="67"/>
      <c r="I242" s="25"/>
      <c r="J242" s="69"/>
      <c r="K242" s="25"/>
      <c r="L242" s="25"/>
      <c r="M242" s="69"/>
      <c r="N242" s="69"/>
      <c r="O242" s="70"/>
    </row>
    <row r="243" spans="1:15" ht="18.75" customHeight="1">
      <c r="A243" s="261"/>
      <c r="B243" s="66"/>
      <c r="C243" s="67"/>
      <c r="D243" s="67"/>
      <c r="E243" s="68"/>
      <c r="F243" s="67"/>
      <c r="G243" s="67"/>
      <c r="H243" s="67"/>
      <c r="I243" s="25"/>
      <c r="J243" s="69"/>
      <c r="K243" s="25"/>
      <c r="L243" s="25"/>
      <c r="M243" s="69"/>
      <c r="N243" s="69"/>
      <c r="O243" s="70"/>
    </row>
    <row r="244" spans="1:15" ht="18.75" customHeight="1">
      <c r="A244" s="261"/>
      <c r="B244" s="66"/>
      <c r="C244" s="67"/>
      <c r="D244" s="67"/>
      <c r="E244" s="68"/>
      <c r="F244" s="67"/>
      <c r="G244" s="67"/>
      <c r="H244" s="67"/>
      <c r="I244" s="25"/>
      <c r="J244" s="69"/>
      <c r="K244" s="25"/>
      <c r="L244" s="25"/>
      <c r="M244" s="69"/>
      <c r="N244" s="69"/>
      <c r="O244" s="70"/>
    </row>
    <row r="245" spans="1:15" ht="18.75" customHeight="1">
      <c r="A245" s="261"/>
      <c r="B245" s="66"/>
      <c r="C245" s="67"/>
      <c r="D245" s="67"/>
      <c r="E245" s="68"/>
      <c r="F245" s="67"/>
      <c r="G245" s="67"/>
      <c r="H245" s="67"/>
      <c r="I245" s="25"/>
      <c r="J245" s="69"/>
      <c r="K245" s="25"/>
      <c r="L245" s="25"/>
      <c r="M245" s="69"/>
      <c r="N245" s="69"/>
      <c r="O245" s="70"/>
    </row>
    <row r="246" spans="1:15" ht="18.75" customHeight="1">
      <c r="A246" s="261"/>
      <c r="B246" s="66"/>
      <c r="C246" s="67"/>
      <c r="D246" s="67"/>
      <c r="E246" s="68"/>
      <c r="F246" s="67"/>
      <c r="G246" s="67"/>
      <c r="H246" s="67"/>
      <c r="I246" s="25"/>
      <c r="J246" s="69"/>
      <c r="K246" s="25"/>
      <c r="L246" s="25"/>
      <c r="M246" s="69"/>
      <c r="N246" s="69"/>
      <c r="O246" s="70"/>
    </row>
    <row r="247" spans="1:15" ht="18.75" customHeight="1">
      <c r="A247" s="261"/>
      <c r="B247" s="66"/>
      <c r="C247" s="67"/>
      <c r="D247" s="67"/>
      <c r="E247" s="68"/>
      <c r="F247" s="67"/>
      <c r="G247" s="67"/>
      <c r="H247" s="67"/>
      <c r="I247" s="25"/>
      <c r="J247" s="69"/>
      <c r="K247" s="25"/>
      <c r="L247" s="25"/>
      <c r="M247" s="69"/>
      <c r="N247" s="69"/>
      <c r="O247" s="70"/>
    </row>
    <row r="248" spans="1:15" ht="18.75" customHeight="1">
      <c r="A248" s="261"/>
      <c r="B248" s="66"/>
      <c r="C248" s="67"/>
      <c r="D248" s="67"/>
      <c r="E248" s="68"/>
      <c r="F248" s="67"/>
      <c r="G248" s="67"/>
      <c r="H248" s="67"/>
      <c r="I248" s="25"/>
      <c r="J248" s="69"/>
      <c r="K248" s="25"/>
      <c r="L248" s="25"/>
      <c r="M248" s="69"/>
      <c r="N248" s="69"/>
      <c r="O248" s="70"/>
    </row>
    <row r="249" spans="1:15" ht="18.75" customHeight="1">
      <c r="A249" s="261"/>
      <c r="B249" s="66"/>
      <c r="C249" s="67"/>
      <c r="D249" s="67"/>
      <c r="E249" s="68"/>
      <c r="F249" s="67"/>
      <c r="G249" s="67"/>
      <c r="H249" s="67"/>
      <c r="I249" s="25"/>
      <c r="J249" s="69"/>
      <c r="K249" s="25"/>
      <c r="L249" s="25"/>
      <c r="M249" s="69"/>
      <c r="N249" s="69"/>
      <c r="O249" s="70"/>
    </row>
    <row r="250" spans="1:15" ht="18.75" customHeight="1">
      <c r="A250" s="261"/>
      <c r="B250" s="66"/>
      <c r="C250" s="67"/>
      <c r="D250" s="67"/>
      <c r="E250" s="68"/>
      <c r="F250" s="67"/>
      <c r="G250" s="67"/>
      <c r="H250" s="67"/>
      <c r="I250" s="25"/>
      <c r="J250" s="69"/>
      <c r="K250" s="25"/>
      <c r="L250" s="25"/>
      <c r="M250" s="69"/>
      <c r="N250" s="69"/>
      <c r="O250" s="70"/>
    </row>
    <row r="251" spans="1:15" ht="18.75" customHeight="1">
      <c r="A251" s="261"/>
      <c r="B251" s="66"/>
      <c r="C251" s="67"/>
      <c r="D251" s="67"/>
      <c r="E251" s="68"/>
      <c r="F251" s="67"/>
      <c r="G251" s="67"/>
      <c r="H251" s="67"/>
      <c r="I251" s="25"/>
      <c r="J251" s="69"/>
      <c r="K251" s="25"/>
      <c r="L251" s="25"/>
      <c r="M251" s="69"/>
      <c r="N251" s="69"/>
      <c r="O251" s="70"/>
    </row>
    <row r="252" spans="1:15" ht="18.75" customHeight="1">
      <c r="A252" s="261"/>
      <c r="B252" s="66"/>
      <c r="C252" s="67"/>
      <c r="D252" s="67"/>
      <c r="E252" s="68"/>
      <c r="F252" s="67"/>
      <c r="G252" s="67"/>
      <c r="H252" s="67"/>
      <c r="I252" s="25"/>
      <c r="J252" s="69"/>
      <c r="K252" s="25"/>
      <c r="L252" s="25"/>
      <c r="M252" s="69"/>
      <c r="N252" s="69"/>
      <c r="O252" s="70"/>
    </row>
    <row r="253" spans="1:15" ht="18.75" customHeight="1">
      <c r="A253" s="261"/>
      <c r="B253" s="66"/>
      <c r="C253" s="67"/>
      <c r="D253" s="67"/>
      <c r="E253" s="68"/>
      <c r="F253" s="67"/>
      <c r="G253" s="67"/>
      <c r="H253" s="67"/>
      <c r="I253" s="25"/>
      <c r="J253" s="69"/>
      <c r="K253" s="25"/>
      <c r="L253" s="25"/>
      <c r="M253" s="69"/>
      <c r="N253" s="69"/>
      <c r="O253" s="70"/>
    </row>
    <row r="254" spans="1:15" ht="18.75" customHeight="1">
      <c r="A254" s="261"/>
      <c r="B254" s="66"/>
      <c r="C254" s="67"/>
      <c r="D254" s="67"/>
      <c r="E254" s="68"/>
      <c r="F254" s="67"/>
      <c r="G254" s="67"/>
      <c r="H254" s="67"/>
      <c r="I254" s="25"/>
      <c r="J254" s="69"/>
      <c r="K254" s="25"/>
      <c r="L254" s="25"/>
      <c r="M254" s="69"/>
      <c r="N254" s="69"/>
      <c r="O254" s="70"/>
    </row>
    <row r="255" spans="1:15" ht="18.75" customHeight="1">
      <c r="A255" s="261"/>
      <c r="B255" s="66"/>
      <c r="C255" s="67"/>
      <c r="D255" s="67"/>
      <c r="E255" s="68"/>
      <c r="F255" s="67"/>
      <c r="G255" s="67"/>
      <c r="H255" s="67"/>
      <c r="I255" s="25"/>
      <c r="J255" s="69"/>
      <c r="K255" s="25"/>
      <c r="L255" s="25"/>
      <c r="M255" s="69"/>
      <c r="N255" s="69"/>
      <c r="O255" s="70"/>
    </row>
    <row r="256" spans="1:15" ht="18.75" customHeight="1">
      <c r="A256" s="261"/>
      <c r="B256" s="66"/>
      <c r="C256" s="67"/>
      <c r="D256" s="67"/>
      <c r="E256" s="68"/>
      <c r="F256" s="67"/>
      <c r="G256" s="67"/>
      <c r="H256" s="67"/>
      <c r="I256" s="25"/>
      <c r="J256" s="69"/>
      <c r="K256" s="25"/>
      <c r="L256" s="25"/>
      <c r="M256" s="69"/>
      <c r="N256" s="69"/>
      <c r="O256" s="70"/>
    </row>
    <row r="257" spans="1:15" ht="18.75" customHeight="1">
      <c r="A257" s="279"/>
      <c r="B257" s="66"/>
      <c r="C257" s="67"/>
      <c r="D257" s="67"/>
      <c r="E257" s="68"/>
      <c r="F257" s="67"/>
      <c r="G257" s="67"/>
      <c r="H257" s="67"/>
      <c r="I257" s="262"/>
      <c r="J257" s="262"/>
      <c r="K257" s="262"/>
      <c r="L257" s="262"/>
      <c r="M257" s="262"/>
      <c r="N257" s="262"/>
      <c r="O257" s="70"/>
    </row>
    <row r="258" spans="1:15" ht="15.75" thickBot="1">
      <c r="A258" s="17"/>
      <c r="B258" s="280"/>
    </row>
    <row r="259" spans="1:15" ht="15.75" thickTop="1">
      <c r="A259" s="352" t="s">
        <v>130</v>
      </c>
      <c r="B259" s="352"/>
      <c r="C259" s="73"/>
      <c r="D259" s="73"/>
      <c r="E259" s="74"/>
      <c r="F259" s="73"/>
      <c r="G259" s="73"/>
      <c r="H259" s="73"/>
    </row>
    <row r="260" spans="1:15">
      <c r="A260" s="353" t="s">
        <v>131</v>
      </c>
      <c r="B260" s="353"/>
      <c r="C260" s="268"/>
      <c r="D260" s="268"/>
      <c r="E260" s="75"/>
      <c r="F260" s="268"/>
      <c r="G260" s="268"/>
      <c r="H260" s="268"/>
    </row>
  </sheetData>
  <mergeCells count="156">
    <mergeCell ref="A1:O4"/>
    <mergeCell ref="A15:A16"/>
    <mergeCell ref="B15:B16"/>
    <mergeCell ref="O15:O16"/>
    <mergeCell ref="O19:O20"/>
    <mergeCell ref="C5:H5"/>
    <mergeCell ref="I5:N5"/>
    <mergeCell ref="O5:O8"/>
    <mergeCell ref="A6:A8"/>
    <mergeCell ref="B6:B8"/>
    <mergeCell ref="C6:F6"/>
    <mergeCell ref="G6:H6"/>
    <mergeCell ref="I6:L6"/>
    <mergeCell ref="M6:N6"/>
    <mergeCell ref="A9:A10"/>
    <mergeCell ref="B9:B10"/>
    <mergeCell ref="O9:O10"/>
    <mergeCell ref="A11:A12"/>
    <mergeCell ref="B11:B12"/>
    <mergeCell ref="O11:O12"/>
    <mergeCell ref="A13:A14"/>
    <mergeCell ref="B13:B14"/>
    <mergeCell ref="O13:O14"/>
    <mergeCell ref="A49:A50"/>
    <mergeCell ref="B49:B50"/>
    <mergeCell ref="O49:O50"/>
    <mergeCell ref="A51:A52"/>
    <mergeCell ref="A17:A18"/>
    <mergeCell ref="B17:B18"/>
    <mergeCell ref="O17:O18"/>
    <mergeCell ref="A19:A20"/>
    <mergeCell ref="B19:B20"/>
    <mergeCell ref="B31:B32"/>
    <mergeCell ref="O31:O32"/>
    <mergeCell ref="A33:A34"/>
    <mergeCell ref="B33:B34"/>
    <mergeCell ref="O33:O34"/>
    <mergeCell ref="O43:O44"/>
    <mergeCell ref="A45:A46"/>
    <mergeCell ref="B45:B46"/>
    <mergeCell ref="A47:A48"/>
    <mergeCell ref="B47:B48"/>
    <mergeCell ref="O47:O48"/>
    <mergeCell ref="A41:A42"/>
    <mergeCell ref="B41:B42"/>
    <mergeCell ref="C37:H38"/>
    <mergeCell ref="A91:A92"/>
    <mergeCell ref="B91:B92"/>
    <mergeCell ref="C91:H92"/>
    <mergeCell ref="O91:O92"/>
    <mergeCell ref="A93:A94"/>
    <mergeCell ref="B93:B94"/>
    <mergeCell ref="O93:O94"/>
    <mergeCell ref="A29:A30"/>
    <mergeCell ref="B29:B30"/>
    <mergeCell ref="O29:O30"/>
    <mergeCell ref="A35:A36"/>
    <mergeCell ref="B35:B36"/>
    <mergeCell ref="O35:O36"/>
    <mergeCell ref="A37:A38"/>
    <mergeCell ref="B37:B38"/>
    <mergeCell ref="O37:O38"/>
    <mergeCell ref="A39:A40"/>
    <mergeCell ref="B39:B40"/>
    <mergeCell ref="O39:O40"/>
    <mergeCell ref="O41:O42"/>
    <mergeCell ref="A43:A44"/>
    <mergeCell ref="B43:B44"/>
    <mergeCell ref="A31:A32"/>
    <mergeCell ref="A21:A22"/>
    <mergeCell ref="B21:B22"/>
    <mergeCell ref="A23:A24"/>
    <mergeCell ref="B23:B24"/>
    <mergeCell ref="A25:A26"/>
    <mergeCell ref="B25:B26"/>
    <mergeCell ref="O21:O22"/>
    <mergeCell ref="O23:O24"/>
    <mergeCell ref="A27:A28"/>
    <mergeCell ref="B27:B28"/>
    <mergeCell ref="O27:O28"/>
    <mergeCell ref="O25:O26"/>
    <mergeCell ref="B51:B52"/>
    <mergeCell ref="O51:O52"/>
    <mergeCell ref="A53:A54"/>
    <mergeCell ref="B53:B54"/>
    <mergeCell ref="A55:A56"/>
    <mergeCell ref="B55:B56"/>
    <mergeCell ref="O55:O56"/>
    <mergeCell ref="A57:A58"/>
    <mergeCell ref="B57:B58"/>
    <mergeCell ref="A59:A60"/>
    <mergeCell ref="B59:B60"/>
    <mergeCell ref="A61:A62"/>
    <mergeCell ref="B61:B62"/>
    <mergeCell ref="O61:O62"/>
    <mergeCell ref="A63:A64"/>
    <mergeCell ref="B63:B64"/>
    <mergeCell ref="O63:O64"/>
    <mergeCell ref="A65:A66"/>
    <mergeCell ref="B65:B66"/>
    <mergeCell ref="O65:O66"/>
    <mergeCell ref="A67:A68"/>
    <mergeCell ref="B67:B68"/>
    <mergeCell ref="O67:O68"/>
    <mergeCell ref="A69:A70"/>
    <mergeCell ref="B69:B70"/>
    <mergeCell ref="O69:O70"/>
    <mergeCell ref="A71:A72"/>
    <mergeCell ref="B71:B72"/>
    <mergeCell ref="O71:O72"/>
    <mergeCell ref="A73:A74"/>
    <mergeCell ref="B73:B74"/>
    <mergeCell ref="O73:O74"/>
    <mergeCell ref="A75:A76"/>
    <mergeCell ref="B75:B76"/>
    <mergeCell ref="O75:O76"/>
    <mergeCell ref="A77:A78"/>
    <mergeCell ref="B77:B78"/>
    <mergeCell ref="O77:O78"/>
    <mergeCell ref="A79:A80"/>
    <mergeCell ref="B79:B80"/>
    <mergeCell ref="O79:O80"/>
    <mergeCell ref="A81:A82"/>
    <mergeCell ref="B81:B82"/>
    <mergeCell ref="O81:O82"/>
    <mergeCell ref="A83:A84"/>
    <mergeCell ref="B83:B84"/>
    <mergeCell ref="A85:A86"/>
    <mergeCell ref="B85:B86"/>
    <mergeCell ref="O85:O86"/>
    <mergeCell ref="A87:A88"/>
    <mergeCell ref="B87:B88"/>
    <mergeCell ref="O87:O88"/>
    <mergeCell ref="A89:A90"/>
    <mergeCell ref="B89:B90"/>
    <mergeCell ref="O89:O90"/>
    <mergeCell ref="A105:A106"/>
    <mergeCell ref="B105:B106"/>
    <mergeCell ref="O105:O106"/>
    <mergeCell ref="A95:A96"/>
    <mergeCell ref="B95:B96"/>
    <mergeCell ref="O95:O96"/>
    <mergeCell ref="A97:A98"/>
    <mergeCell ref="B97:B98"/>
    <mergeCell ref="O97:O98"/>
    <mergeCell ref="A259:B259"/>
    <mergeCell ref="A260:B260"/>
    <mergeCell ref="A99:A100"/>
    <mergeCell ref="B99:B100"/>
    <mergeCell ref="O99:O100"/>
    <mergeCell ref="A101:A102"/>
    <mergeCell ref="B101:B102"/>
    <mergeCell ref="O101:O102"/>
    <mergeCell ref="A103:A104"/>
    <mergeCell ref="B103:B104"/>
    <mergeCell ref="O103:O104"/>
  </mergeCells>
  <conditionalFormatting sqref="C107:H109 C111:H256 C110:G110 K110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6"/>
  <sheetViews>
    <sheetView zoomScale="55" zoomScaleNormal="55" workbookViewId="0">
      <selection sqref="A1:XFD1048576"/>
    </sheetView>
  </sheetViews>
  <sheetFormatPr baseColWidth="10" defaultRowHeight="15"/>
  <cols>
    <col min="1" max="1" width="22.85546875" customWidth="1"/>
    <col min="2" max="2" width="3.28515625" customWidth="1"/>
    <col min="3" max="3" width="24.85546875" customWidth="1"/>
    <col min="4" max="4" width="3.5703125" customWidth="1"/>
    <col min="5" max="5" width="18.140625" style="20" customWidth="1"/>
    <col min="6" max="6" width="5.140625" style="20" customWidth="1"/>
    <col min="7" max="7" width="19.7109375" style="21" bestFit="1" customWidth="1"/>
    <col min="8" max="8" width="19" style="25" customWidth="1"/>
    <col min="9" max="9" width="3.28515625" style="20" customWidth="1"/>
    <col min="10" max="10" width="16.7109375" style="21" customWidth="1"/>
    <col min="11" max="11" width="18.7109375" style="20" customWidth="1"/>
    <col min="12" max="12" width="5.140625" style="20" customWidth="1"/>
    <col min="13" max="13" width="18.140625" style="21" customWidth="1"/>
    <col min="14" max="14" width="19.42578125" style="20" customWidth="1"/>
    <col min="15" max="15" width="4.28515625" style="20" customWidth="1"/>
    <col min="16" max="16" width="14.140625" style="21" customWidth="1"/>
    <col min="17" max="17" width="22.7109375" style="20" customWidth="1"/>
    <col min="18" max="18" width="2.5703125" bestFit="1" customWidth="1"/>
    <col min="19" max="19" width="22.42578125" style="21" customWidth="1"/>
    <col min="20" max="20" width="19.28515625" customWidth="1"/>
    <col min="21" max="21" width="4.28515625" customWidth="1"/>
    <col min="22" max="22" width="19.7109375" style="21" bestFit="1" customWidth="1"/>
  </cols>
  <sheetData>
    <row r="1" spans="1:22" ht="15" customHeight="1">
      <c r="E1" s="404" t="s">
        <v>10</v>
      </c>
      <c r="F1" s="405"/>
      <c r="G1" s="406"/>
      <c r="H1" s="404" t="s">
        <v>11</v>
      </c>
      <c r="I1" s="405"/>
      <c r="J1" s="406"/>
      <c r="K1" s="404" t="s">
        <v>12</v>
      </c>
      <c r="L1" s="405"/>
      <c r="M1" s="406"/>
      <c r="N1" s="413" t="s">
        <v>13</v>
      </c>
      <c r="O1" s="414"/>
      <c r="P1" s="415"/>
      <c r="Q1" s="413" t="s">
        <v>14</v>
      </c>
      <c r="R1" s="414"/>
      <c r="S1" s="415"/>
      <c r="T1" s="404" t="s">
        <v>15</v>
      </c>
      <c r="U1" s="405"/>
      <c r="V1" s="406"/>
    </row>
    <row r="2" spans="1:22">
      <c r="E2" s="407"/>
      <c r="F2" s="408"/>
      <c r="G2" s="409"/>
      <c r="H2" s="407"/>
      <c r="I2" s="408"/>
      <c r="J2" s="409"/>
      <c r="K2" s="407"/>
      <c r="L2" s="408"/>
      <c r="M2" s="409"/>
      <c r="N2" s="416"/>
      <c r="O2" s="417"/>
      <c r="P2" s="418"/>
      <c r="Q2" s="416"/>
      <c r="R2" s="417"/>
      <c r="S2" s="418"/>
      <c r="T2" s="407"/>
      <c r="U2" s="408"/>
      <c r="V2" s="409"/>
    </row>
    <row r="3" spans="1:22" ht="15.75" thickBot="1">
      <c r="E3" s="410"/>
      <c r="F3" s="411"/>
      <c r="G3" s="412"/>
      <c r="H3" s="410"/>
      <c r="I3" s="411"/>
      <c r="J3" s="412"/>
      <c r="K3" s="410"/>
      <c r="L3" s="411"/>
      <c r="M3" s="412"/>
      <c r="N3" s="419"/>
      <c r="O3" s="420"/>
      <c r="P3" s="421"/>
      <c r="Q3" s="419"/>
      <c r="R3" s="420"/>
      <c r="S3" s="421"/>
      <c r="T3" s="410"/>
      <c r="U3" s="411"/>
      <c r="V3" s="412"/>
    </row>
    <row r="4" spans="1:22" ht="15.75" thickBot="1">
      <c r="A4" s="394" t="s">
        <v>76</v>
      </c>
      <c r="B4" s="395" t="s">
        <v>77</v>
      </c>
      <c r="C4" s="17" t="s">
        <v>78</v>
      </c>
      <c r="E4" s="18">
        <f>+'[2]DETALLADA FINANCIERA CONSORCIOS'!M6</f>
        <v>3134693998.5</v>
      </c>
      <c r="F4" s="396" t="s">
        <v>79</v>
      </c>
      <c r="G4" s="424">
        <f>+E4/E5</f>
        <v>4.5400160300152246</v>
      </c>
      <c r="H4" s="18">
        <f>+'[2]DETALLADA FINANCIERA CONSORCIOS'!J30</f>
        <v>27259458590.5</v>
      </c>
      <c r="I4" s="396" t="s">
        <v>79</v>
      </c>
      <c r="J4" s="403">
        <f>+H4/H5</f>
        <v>7.1620155370985117</v>
      </c>
      <c r="K4" s="18">
        <f>+'[2]DETALLADA FINANCIERA CONSORCIOS'!J53</f>
        <v>10673541778.700001</v>
      </c>
      <c r="L4" s="396" t="s">
        <v>79</v>
      </c>
      <c r="M4" s="403">
        <f>+K4/K5</f>
        <v>94.058522327883466</v>
      </c>
      <c r="N4" s="18">
        <f>+'[2]DETALLADA FINANCIERA CONSORCIOS'!J76</f>
        <v>23625739806.900002</v>
      </c>
      <c r="O4" s="396" t="s">
        <v>79</v>
      </c>
      <c r="P4" s="403">
        <f>+N4/N5</f>
        <v>75.177973216928734</v>
      </c>
      <c r="Q4" s="18">
        <f>+'[2]DETALLADA FINANCIERA CONSORCIOS'!J99</f>
        <v>1309057432.8</v>
      </c>
      <c r="R4" s="396" t="s">
        <v>79</v>
      </c>
      <c r="S4" s="403">
        <f>+Q4/Q5</f>
        <v>2.7327165628984758</v>
      </c>
      <c r="T4" s="18">
        <f>+'[2]DETALLADA FINANCIERA CONSORCIOS'!M122</f>
        <v>5581923390.5</v>
      </c>
      <c r="U4" s="396" t="s">
        <v>79</v>
      </c>
      <c r="V4" s="403">
        <f>+T4/T5</f>
        <v>6.8919681785880984</v>
      </c>
    </row>
    <row r="5" spans="1:22" ht="15.75" thickTop="1">
      <c r="A5" s="394"/>
      <c r="B5" s="395"/>
      <c r="C5" t="s">
        <v>80</v>
      </c>
      <c r="E5" s="19">
        <f>+'[2]DETALLADA FINANCIERA CONSORCIOS'!M7</f>
        <v>690458795.25</v>
      </c>
      <c r="F5" s="396"/>
      <c r="G5" s="424"/>
      <c r="H5" s="19">
        <f>+'[2]DETALLADA FINANCIERA CONSORCIOS'!J31</f>
        <v>3806115534</v>
      </c>
      <c r="I5" s="396"/>
      <c r="J5" s="403"/>
      <c r="K5" s="19">
        <f>+'[2]DETALLADA FINANCIERA CONSORCIOS'!J54</f>
        <v>113477668.10000001</v>
      </c>
      <c r="L5" s="396"/>
      <c r="M5" s="403"/>
      <c r="N5" s="19">
        <f>+'[2]DETALLADA FINANCIERA CONSORCIOS'!J77</f>
        <v>314264122.80000001</v>
      </c>
      <c r="O5" s="396"/>
      <c r="P5" s="403"/>
      <c r="Q5" s="19">
        <f>+'[2]DETALLADA FINANCIERA CONSORCIOS'!J100</f>
        <v>479031543.39999998</v>
      </c>
      <c r="R5" s="396"/>
      <c r="S5" s="403"/>
      <c r="T5" s="19">
        <f>+'[2]DETALLADA FINANCIERA CONSORCIOS'!M123</f>
        <v>809917174</v>
      </c>
      <c r="U5" s="396"/>
      <c r="V5" s="403"/>
    </row>
    <row r="6" spans="1:22">
      <c r="E6" s="19">
        <f>+'[2]DETALLADA FINANCIERA CONSORCIOS'!M8</f>
        <v>0</v>
      </c>
      <c r="H6" s="19">
        <f>+'[2]DETALLADA FINANCIERA CONSORCIOS'!J32</f>
        <v>0</v>
      </c>
      <c r="J6" s="22"/>
      <c r="K6" s="19"/>
      <c r="M6" s="22"/>
      <c r="N6" s="19">
        <f>+'[2]DETALLADA FINANCIERA CONSORCIOS'!J78</f>
        <v>0</v>
      </c>
      <c r="P6" s="22"/>
      <c r="Q6" s="19"/>
      <c r="R6" s="20"/>
      <c r="S6" s="22"/>
      <c r="T6" s="19">
        <f>+'[2]DETALLADA FINANCIERA CONSORCIOS'!M124</f>
        <v>0</v>
      </c>
      <c r="U6" s="20"/>
      <c r="V6" s="22"/>
    </row>
    <row r="7" spans="1:22" ht="39.75" customHeight="1" thickBot="1">
      <c r="A7" s="394" t="s">
        <v>81</v>
      </c>
      <c r="B7" s="395" t="s">
        <v>77</v>
      </c>
      <c r="C7" s="23" t="s">
        <v>82</v>
      </c>
      <c r="D7" s="262"/>
      <c r="E7" s="18">
        <f>+'[2]DETALLADA FINANCIERA CONSORCIOS'!M9</f>
        <v>747175480.25</v>
      </c>
      <c r="F7" s="396" t="s">
        <v>79</v>
      </c>
      <c r="G7" s="422">
        <f>+E7/E8</f>
        <v>0.22778012228529768</v>
      </c>
      <c r="H7" s="18">
        <f>+'[2]DETALLADA FINANCIERA CONSORCIOS'!J33</f>
        <v>3806115534</v>
      </c>
      <c r="I7" s="396" t="s">
        <v>79</v>
      </c>
      <c r="J7" s="397">
        <f>+H7/H8</f>
        <v>0.13800782962388464</v>
      </c>
      <c r="K7" s="18">
        <f>+'[2]DETALLADA FINANCIERA CONSORCIOS'!J56</f>
        <v>5577123266.5</v>
      </c>
      <c r="L7" s="396" t="s">
        <v>79</v>
      </c>
      <c r="M7" s="397">
        <f>+K7/K8</f>
        <v>0.43902962400466777</v>
      </c>
      <c r="N7" s="18">
        <f>+'[2]DETALLADA FINANCIERA CONSORCIOS'!J79</f>
        <v>18352015642.600002</v>
      </c>
      <c r="O7" s="396" t="s">
        <v>79</v>
      </c>
      <c r="P7" s="397">
        <f>+N7/N8</f>
        <v>0.45890674209098636</v>
      </c>
      <c r="Q7" s="18">
        <f>+'[2]DETALLADA FINANCIERA CONSORCIOS'!J102</f>
        <v>479031543.39999998</v>
      </c>
      <c r="R7" s="396" t="s">
        <v>79</v>
      </c>
      <c r="S7" s="397">
        <f>+Q7/Q8</f>
        <v>0.31678392805612648</v>
      </c>
      <c r="T7" s="18">
        <f>+'[2]DETALLADA FINANCIERA CONSORCIOS'!M125</f>
        <v>3863230283.75</v>
      </c>
      <c r="U7" s="396" t="s">
        <v>79</v>
      </c>
      <c r="V7" s="397">
        <f>+T7/T8</f>
        <v>0.62492475847085815</v>
      </c>
    </row>
    <row r="8" spans="1:22" ht="15.75" thickTop="1">
      <c r="A8" s="394"/>
      <c r="B8" s="395"/>
      <c r="C8" s="262" t="s">
        <v>83</v>
      </c>
      <c r="D8" s="262"/>
      <c r="E8" s="19">
        <f>+'[2]DETALLADA FINANCIERA CONSORCIOS'!M10</f>
        <v>3280248832.75</v>
      </c>
      <c r="F8" s="396"/>
      <c r="G8" s="422"/>
      <c r="H8" s="19">
        <f>+'[2]DETALLADA FINANCIERA CONSORCIOS'!J34</f>
        <v>27578982615.5</v>
      </c>
      <c r="I8" s="396"/>
      <c r="J8" s="397"/>
      <c r="K8" s="19">
        <f>+'[2]DETALLADA FINANCIERA CONSORCIOS'!J57</f>
        <v>12703296000</v>
      </c>
      <c r="L8" s="396"/>
      <c r="M8" s="397"/>
      <c r="N8" s="19">
        <f>+'[2]DETALLADA FINANCIERA CONSORCIOS'!J80</f>
        <v>39990730053.300003</v>
      </c>
      <c r="O8" s="396"/>
      <c r="P8" s="397"/>
      <c r="Q8" s="19">
        <f>+'[2]DETALLADA FINANCIERA CONSORCIOS'!J103</f>
        <v>1512171234</v>
      </c>
      <c r="R8" s="396"/>
      <c r="S8" s="397"/>
      <c r="T8" s="19">
        <f>+'[2]DETALLADA FINANCIERA CONSORCIOS'!M126</f>
        <v>6181912672.5</v>
      </c>
      <c r="U8" s="396"/>
      <c r="V8" s="397"/>
    </row>
    <row r="9" spans="1:22">
      <c r="E9" s="19"/>
      <c r="H9" s="19"/>
      <c r="J9" s="22"/>
      <c r="K9" s="19"/>
      <c r="M9" s="22"/>
      <c r="N9" s="19"/>
      <c r="P9" s="22"/>
      <c r="Q9" s="19"/>
      <c r="R9" s="20"/>
      <c r="S9" s="22"/>
      <c r="T9" s="19"/>
      <c r="U9" s="20"/>
      <c r="V9" s="22"/>
    </row>
    <row r="10" spans="1:22">
      <c r="A10" s="394" t="s">
        <v>84</v>
      </c>
      <c r="C10" s="400" t="s">
        <v>85</v>
      </c>
      <c r="E10" s="401" t="s">
        <v>79</v>
      </c>
      <c r="F10" s="396">
        <f>+'[2]DETALLADA FINANCIERA CONSORCIOS'!N12</f>
        <v>8471633560</v>
      </c>
      <c r="G10" s="402"/>
      <c r="H10" s="401"/>
      <c r="I10" s="396">
        <f>+'[2]DETALLADA FINANCIERA CONSORCIOS'!K36</f>
        <v>37826918085</v>
      </c>
      <c r="J10" s="402"/>
      <c r="K10" s="401"/>
      <c r="L10" s="396">
        <f>+'[2]DETALLADA FINANCIERA CONSORCIOS'!K59</f>
        <v>16064461818</v>
      </c>
      <c r="M10" s="402"/>
      <c r="N10" s="401" t="s">
        <v>79</v>
      </c>
      <c r="O10" s="396">
        <f>+'[2]DETALLADA FINANCIERA CONSORCIOS'!K82</f>
        <v>26673210049</v>
      </c>
      <c r="P10" s="402"/>
      <c r="Q10" s="401" t="s">
        <v>79</v>
      </c>
      <c r="R10" s="396">
        <f>+'[2]DETALLADA FINANCIERA CONSORCIOS'!K105</f>
        <v>1928709149</v>
      </c>
      <c r="S10" s="402"/>
      <c r="T10" s="401" t="s">
        <v>79</v>
      </c>
      <c r="U10" s="396">
        <f>+'[2]DETALLADA FINANCIERA CONSORCIOS'!N128</f>
        <v>16588945866</v>
      </c>
      <c r="V10" s="402"/>
    </row>
    <row r="11" spans="1:22" ht="28.5" customHeight="1">
      <c r="A11" s="394"/>
      <c r="C11" s="400"/>
      <c r="E11" s="401"/>
      <c r="F11" s="396"/>
      <c r="G11" s="402"/>
      <c r="H11" s="401"/>
      <c r="I11" s="396"/>
      <c r="J11" s="402"/>
      <c r="K11" s="401"/>
      <c r="L11" s="396"/>
      <c r="M11" s="402"/>
      <c r="N11" s="401"/>
      <c r="O11" s="396"/>
      <c r="P11" s="402"/>
      <c r="Q11" s="401"/>
      <c r="R11" s="396"/>
      <c r="S11" s="402"/>
      <c r="T11" s="401"/>
      <c r="U11" s="396"/>
      <c r="V11" s="402"/>
    </row>
    <row r="12" spans="1:22">
      <c r="E12" s="19"/>
      <c r="H12" s="19"/>
      <c r="J12" s="22"/>
      <c r="K12" s="19"/>
      <c r="M12" s="22"/>
      <c r="N12" s="19"/>
      <c r="P12" s="22"/>
      <c r="Q12" s="19"/>
      <c r="R12" s="20"/>
      <c r="S12" s="22"/>
      <c r="T12" s="19"/>
      <c r="U12" s="20"/>
      <c r="V12" s="22"/>
    </row>
    <row r="13" spans="1:22" ht="15.75" thickBot="1">
      <c r="A13" s="394" t="s">
        <v>86</v>
      </c>
      <c r="B13" s="395" t="s">
        <v>77</v>
      </c>
      <c r="C13" s="17" t="s">
        <v>87</v>
      </c>
      <c r="E13" s="18">
        <f>+'[2]DETALLADA FINANCIERA CONSORCIOS'!M14</f>
        <v>569889925.75</v>
      </c>
      <c r="F13" s="396" t="s">
        <v>79</v>
      </c>
      <c r="G13" s="424">
        <f>+E13/E14</f>
        <v>5.4024509705754369</v>
      </c>
      <c r="H13" s="18">
        <f>+'[2]DETALLADA FINANCIERA CONSORCIOS'!J38</f>
        <v>11527062171.800001</v>
      </c>
      <c r="I13" s="396" t="s">
        <v>79</v>
      </c>
      <c r="J13" s="403">
        <f>+H13/H14</f>
        <v>143.86914824943693</v>
      </c>
      <c r="K13" s="18">
        <f>+'[2]DETALLADA FINANCIERA CONSORCIOS'!J61</f>
        <v>2830338806.5</v>
      </c>
      <c r="L13" s="396" t="s">
        <v>79</v>
      </c>
      <c r="M13" s="403">
        <f>+K13/K14</f>
        <v>35.672336926789811</v>
      </c>
      <c r="N13" s="18">
        <f>+'[2]DETALLADA FINANCIERA CONSORCIOS'!J84</f>
        <v>10607103256.5</v>
      </c>
      <c r="O13" s="396" t="s">
        <v>79</v>
      </c>
      <c r="P13" s="403">
        <f>+N13/N14</f>
        <v>58.422744344956605</v>
      </c>
      <c r="Q13" s="18">
        <f>+'[2]DETALLADA FINANCIERA CONSORCIOS'!J107</f>
        <v>170705927.59999999</v>
      </c>
      <c r="R13" s="396" t="s">
        <v>79</v>
      </c>
      <c r="S13" s="403">
        <f>+Q13/Q14</f>
        <v>7773.4939708561014</v>
      </c>
      <c r="T13" s="18">
        <f>+'[2]DETALLADA FINANCIERA CONSORCIOS'!M130</f>
        <v>458539366</v>
      </c>
      <c r="U13" s="396" t="s">
        <v>79</v>
      </c>
      <c r="V13" s="403">
        <f>+T13/T14</f>
        <v>24.310422157580252</v>
      </c>
    </row>
    <row r="14" spans="1:22" ht="15.75" thickTop="1">
      <c r="A14" s="394"/>
      <c r="B14" s="395"/>
      <c r="C14" t="s">
        <v>88</v>
      </c>
      <c r="E14" s="19">
        <f>+'[2]DETALLADA FINANCIERA CONSORCIOS'!M15</f>
        <v>105487292.5</v>
      </c>
      <c r="F14" s="396"/>
      <c r="G14" s="424"/>
      <c r="H14" s="19">
        <f>+'[2]DETALLADA FINANCIERA CONSORCIOS'!J39</f>
        <v>80121849</v>
      </c>
      <c r="I14" s="396"/>
      <c r="J14" s="403"/>
      <c r="K14" s="19">
        <f>+'[2]DETALLADA FINANCIERA CONSORCIOS'!J62</f>
        <v>79342679.799999997</v>
      </c>
      <c r="L14" s="396"/>
      <c r="M14" s="403"/>
      <c r="N14" s="19">
        <f>+'[2]DETALLADA FINANCIERA CONSORCIOS'!J85</f>
        <v>181557771.30000001</v>
      </c>
      <c r="O14" s="396"/>
      <c r="P14" s="403"/>
      <c r="Q14" s="19">
        <f>+'[2]DETALLADA FINANCIERA CONSORCIOS'!J108</f>
        <v>21960</v>
      </c>
      <c r="R14" s="396"/>
      <c r="S14" s="403"/>
      <c r="T14" s="19">
        <f>+'[2]DETALLADA FINANCIERA CONSORCIOS'!M131</f>
        <v>18861843</v>
      </c>
      <c r="U14" s="396"/>
      <c r="V14" s="403"/>
    </row>
    <row r="15" spans="1:22">
      <c r="E15" s="19"/>
      <c r="H15" s="19"/>
      <c r="J15" s="22"/>
      <c r="K15" s="19"/>
      <c r="M15" s="22"/>
      <c r="N15" s="19"/>
      <c r="P15" s="22"/>
      <c r="Q15" s="19"/>
      <c r="R15" s="20"/>
      <c r="S15" s="22"/>
      <c r="T15" s="19"/>
      <c r="U15" s="20"/>
      <c r="V15" s="22"/>
    </row>
    <row r="16" spans="1:22" ht="15.75" thickBot="1">
      <c r="A16" s="394" t="s">
        <v>89</v>
      </c>
      <c r="B16" s="395" t="s">
        <v>77</v>
      </c>
      <c r="C16" s="23" t="s">
        <v>87</v>
      </c>
      <c r="D16" s="262"/>
      <c r="E16" s="18">
        <f>+E13</f>
        <v>569889925.75</v>
      </c>
      <c r="F16" s="396" t="s">
        <v>79</v>
      </c>
      <c r="G16" s="422">
        <f>+E16/E17</f>
        <v>0.22497963795148329</v>
      </c>
      <c r="H16" s="18">
        <f>+H13</f>
        <v>11527062171.800001</v>
      </c>
      <c r="I16" s="396" t="s">
        <v>79</v>
      </c>
      <c r="J16" s="397">
        <f>+H16/H17</f>
        <v>0.48488312883263202</v>
      </c>
      <c r="K16" s="18">
        <f>+K13</f>
        <v>2830338806.5</v>
      </c>
      <c r="L16" s="396" t="s">
        <v>79</v>
      </c>
      <c r="M16" s="397">
        <f>+K16/K17</f>
        <v>0.39717516152739774</v>
      </c>
      <c r="N16" s="18">
        <f>+N13</f>
        <v>10607103256.5</v>
      </c>
      <c r="O16" s="396" t="s">
        <v>79</v>
      </c>
      <c r="P16" s="397">
        <f>+N16/N17</f>
        <v>0.49019100927987458</v>
      </c>
      <c r="Q16" s="18">
        <f>+Q13</f>
        <v>170705927.59999999</v>
      </c>
      <c r="R16" s="396" t="s">
        <v>79</v>
      </c>
      <c r="S16" s="397">
        <f>+Q16/Q17</f>
        <v>0.16523024829378286</v>
      </c>
      <c r="T16" s="18">
        <f>+T13</f>
        <v>458539366</v>
      </c>
      <c r="U16" s="396" t="s">
        <v>79</v>
      </c>
      <c r="V16" s="397">
        <f>+T16/T17</f>
        <v>0.19775859264933573</v>
      </c>
    </row>
    <row r="17" spans="1:22" ht="15.75" thickTop="1">
      <c r="A17" s="394"/>
      <c r="B17" s="395"/>
      <c r="C17" s="262" t="s">
        <v>90</v>
      </c>
      <c r="D17" s="262"/>
      <c r="E17" s="19">
        <f>+E8-E7</f>
        <v>2533073352.5</v>
      </c>
      <c r="F17" s="396"/>
      <c r="G17" s="422"/>
      <c r="H17" s="19">
        <f>+H8-H7</f>
        <v>23772867081.5</v>
      </c>
      <c r="I17" s="396"/>
      <c r="J17" s="397"/>
      <c r="K17" s="19">
        <f>+K8-K7</f>
        <v>7126172733.5</v>
      </c>
      <c r="L17" s="396"/>
      <c r="M17" s="397"/>
      <c r="N17" s="19">
        <f>+N8-N7</f>
        <v>21638714410.700001</v>
      </c>
      <c r="O17" s="396"/>
      <c r="P17" s="397"/>
      <c r="Q17" s="19">
        <f>+Q8-Q7</f>
        <v>1033139690.6</v>
      </c>
      <c r="R17" s="396"/>
      <c r="S17" s="397"/>
      <c r="T17" s="19">
        <f>+T8-T7</f>
        <v>2318682388.75</v>
      </c>
      <c r="U17" s="396"/>
      <c r="V17" s="397"/>
    </row>
    <row r="18" spans="1:22">
      <c r="E18" s="19"/>
      <c r="H18" s="19"/>
      <c r="J18" s="22"/>
      <c r="K18" s="19"/>
      <c r="M18" s="22"/>
      <c r="N18" s="19"/>
      <c r="P18" s="22"/>
      <c r="Q18" s="19"/>
      <c r="R18" s="20"/>
      <c r="S18" s="22"/>
      <c r="T18" s="19"/>
      <c r="U18" s="20"/>
      <c r="V18" s="22"/>
    </row>
    <row r="19" spans="1:22" ht="15.75" thickBot="1">
      <c r="A19" s="394" t="s">
        <v>91</v>
      </c>
      <c r="B19" s="395" t="s">
        <v>77</v>
      </c>
      <c r="C19" s="23" t="s">
        <v>87</v>
      </c>
      <c r="D19" s="262"/>
      <c r="E19" s="18">
        <f>+E16</f>
        <v>569889925.75</v>
      </c>
      <c r="F19" s="396" t="s">
        <v>79</v>
      </c>
      <c r="G19" s="422">
        <f>+E19/E20</f>
        <v>0.17373374850719242</v>
      </c>
      <c r="H19" s="18">
        <f>+H16</f>
        <v>11527062171.800001</v>
      </c>
      <c r="I19" s="396" t="s">
        <v>79</v>
      </c>
      <c r="J19" s="397">
        <f>+H19/H20</f>
        <v>0.41796546060120204</v>
      </c>
      <c r="K19" s="18">
        <f>+K16</f>
        <v>2830338806.5</v>
      </c>
      <c r="L19" s="396" t="s">
        <v>79</v>
      </c>
      <c r="M19" s="397">
        <f>+K19/K20</f>
        <v>0.22280349969803112</v>
      </c>
      <c r="N19" s="18">
        <f>+N16</f>
        <v>10607103256.5</v>
      </c>
      <c r="O19" s="396" t="s">
        <v>79</v>
      </c>
      <c r="P19" s="397">
        <f>+N19/N20</f>
        <v>0.26523905020895489</v>
      </c>
      <c r="Q19" s="18">
        <f>+Q16</f>
        <v>170705927.59999999</v>
      </c>
      <c r="R19" s="396" t="s">
        <v>79</v>
      </c>
      <c r="S19" s="397">
        <f>+Q19/Q20</f>
        <v>0.11288796120558924</v>
      </c>
      <c r="T19" s="18">
        <f>+T16</f>
        <v>458539366</v>
      </c>
      <c r="U19" s="396" t="s">
        <v>79</v>
      </c>
      <c r="V19" s="397">
        <f>+T19/T20</f>
        <v>7.4174351902412769E-2</v>
      </c>
    </row>
    <row r="20" spans="1:22" ht="16.5" thickTop="1" thickBot="1">
      <c r="A20" s="394"/>
      <c r="B20" s="395"/>
      <c r="C20" s="262" t="s">
        <v>92</v>
      </c>
      <c r="D20" s="262"/>
      <c r="E20" s="24">
        <f>+E8</f>
        <v>3280248832.75</v>
      </c>
      <c r="F20" s="398"/>
      <c r="G20" s="423"/>
      <c r="H20" s="24">
        <f>+H8</f>
        <v>27578982615.5</v>
      </c>
      <c r="I20" s="398"/>
      <c r="J20" s="399"/>
      <c r="K20" s="24">
        <f>+K8</f>
        <v>12703296000</v>
      </c>
      <c r="L20" s="398"/>
      <c r="M20" s="399"/>
      <c r="N20" s="24">
        <f>+N8</f>
        <v>39990730053.300003</v>
      </c>
      <c r="O20" s="398"/>
      <c r="P20" s="399"/>
      <c r="Q20" s="24">
        <f>+Q8</f>
        <v>1512171234</v>
      </c>
      <c r="R20" s="398"/>
      <c r="S20" s="399"/>
      <c r="T20" s="24">
        <f>+T8</f>
        <v>6181912672.5</v>
      </c>
      <c r="U20" s="398"/>
      <c r="V20" s="399"/>
    </row>
    <row r="22" spans="1:22" ht="15.75" thickBot="1"/>
    <row r="23" spans="1:22">
      <c r="E23" s="404" t="s">
        <v>16</v>
      </c>
      <c r="F23" s="405"/>
      <c r="G23" s="406"/>
      <c r="H23" s="404" t="s">
        <v>17</v>
      </c>
      <c r="I23" s="405"/>
      <c r="J23" s="406"/>
      <c r="K23" s="404" t="s">
        <v>93</v>
      </c>
      <c r="L23" s="405"/>
      <c r="M23" s="406"/>
      <c r="N23" s="404" t="s">
        <v>19</v>
      </c>
      <c r="O23" s="405"/>
      <c r="P23" s="406"/>
      <c r="Q23" s="404" t="s">
        <v>94</v>
      </c>
      <c r="R23" s="405"/>
      <c r="S23" s="406"/>
      <c r="T23" s="404" t="s">
        <v>21</v>
      </c>
      <c r="U23" s="405"/>
      <c r="V23" s="406"/>
    </row>
    <row r="24" spans="1:22">
      <c r="E24" s="407"/>
      <c r="F24" s="408"/>
      <c r="G24" s="409"/>
      <c r="H24" s="407"/>
      <c r="I24" s="408"/>
      <c r="J24" s="409"/>
      <c r="K24" s="407"/>
      <c r="L24" s="408"/>
      <c r="M24" s="409"/>
      <c r="N24" s="407"/>
      <c r="O24" s="408"/>
      <c r="P24" s="409"/>
      <c r="Q24" s="407"/>
      <c r="R24" s="408"/>
      <c r="S24" s="409"/>
      <c r="T24" s="407"/>
      <c r="U24" s="408"/>
      <c r="V24" s="409"/>
    </row>
    <row r="25" spans="1:22" ht="41.25" customHeight="1" thickBot="1">
      <c r="E25" s="410"/>
      <c r="F25" s="411"/>
      <c r="G25" s="412"/>
      <c r="H25" s="410"/>
      <c r="I25" s="411"/>
      <c r="J25" s="412"/>
      <c r="K25" s="410"/>
      <c r="L25" s="411"/>
      <c r="M25" s="412"/>
      <c r="N25" s="410"/>
      <c r="O25" s="411"/>
      <c r="P25" s="412"/>
      <c r="Q25" s="410"/>
      <c r="R25" s="411"/>
      <c r="S25" s="412"/>
      <c r="T25" s="410"/>
      <c r="U25" s="411"/>
      <c r="V25" s="412"/>
    </row>
    <row r="26" spans="1:22" ht="15.75" thickBot="1">
      <c r="A26" s="394" t="s">
        <v>76</v>
      </c>
      <c r="B26" s="395" t="s">
        <v>77</v>
      </c>
      <c r="C26" s="17" t="s">
        <v>78</v>
      </c>
      <c r="E26" s="26">
        <f>+'[2]DETALLADA FINANCIERA CONSORCIOS'!J146</f>
        <v>4412736003.25</v>
      </c>
      <c r="F26" s="396" t="s">
        <v>79</v>
      </c>
      <c r="G26" s="424">
        <f>+E26/E27</f>
        <v>7.8752532383605676</v>
      </c>
      <c r="H26" s="26">
        <f>+'[2]DETALLADA FINANCIERA CONSORCIOS'!J169</f>
        <v>19188883116.800003</v>
      </c>
      <c r="I26" s="396" t="s">
        <v>79</v>
      </c>
      <c r="J26" s="403">
        <f>+H26/H27</f>
        <v>6.2049401132524773</v>
      </c>
      <c r="K26" s="26">
        <f>+'[2]DETALLADA FINANCIERA CONSORCIOS'!J192</f>
        <v>62788003691.400002</v>
      </c>
      <c r="L26" s="396" t="s">
        <v>79</v>
      </c>
      <c r="M26" s="403">
        <f>+K26/K27</f>
        <v>2.7425619398967562</v>
      </c>
      <c r="N26" s="26">
        <f>+'[2]DETALLADA FINANCIERA CONSORCIOS'!J215</f>
        <v>5952561634.8999996</v>
      </c>
      <c r="O26" s="396" t="s">
        <v>79</v>
      </c>
      <c r="P26" s="403">
        <f>+N26/N27</f>
        <v>5.2762620449804434</v>
      </c>
      <c r="Q26" s="26">
        <f>+'[2]DETALLADA FINANCIERA CONSORCIOS'!J238</f>
        <v>23068606212.599998</v>
      </c>
      <c r="R26" s="396" t="s">
        <v>79</v>
      </c>
      <c r="S26" s="403">
        <f>+Q26/Q27</f>
        <v>2.4154847586564436</v>
      </c>
      <c r="T26" s="26">
        <f>+'[2]DETALLADA FINANCIERA CONSORCIOS'!P261</f>
        <v>2356362544.6999998</v>
      </c>
      <c r="U26" s="396" t="s">
        <v>79</v>
      </c>
      <c r="V26" s="403">
        <f>+T26/T27</f>
        <v>88.394493168871591</v>
      </c>
    </row>
    <row r="27" spans="1:22" ht="15.75" thickTop="1">
      <c r="A27" s="394"/>
      <c r="B27" s="395"/>
      <c r="C27" t="s">
        <v>80</v>
      </c>
      <c r="E27" s="27">
        <f>+'[2]DETALLADA FINANCIERA CONSORCIOS'!J147</f>
        <v>560329410.33000004</v>
      </c>
      <c r="F27" s="396"/>
      <c r="G27" s="424"/>
      <c r="H27" s="27">
        <f>+'[2]DETALLADA FINANCIERA CONSORCIOS'!J170</f>
        <v>3092517053.6000004</v>
      </c>
      <c r="I27" s="396"/>
      <c r="J27" s="403"/>
      <c r="K27" s="27">
        <f>+'[2]DETALLADA FINANCIERA CONSORCIOS'!J193</f>
        <v>22893923662.400002</v>
      </c>
      <c r="L27" s="396"/>
      <c r="M27" s="403"/>
      <c r="N27" s="27">
        <f>+'[2]DETALLADA FINANCIERA CONSORCIOS'!J216</f>
        <v>1128177786.5</v>
      </c>
      <c r="O27" s="396"/>
      <c r="P27" s="403"/>
      <c r="Q27" s="27">
        <f>+'[2]DETALLADA FINANCIERA CONSORCIOS'!J239</f>
        <v>9550300878.5000019</v>
      </c>
      <c r="R27" s="396"/>
      <c r="S27" s="403"/>
      <c r="T27" s="27">
        <f>+'[2]DETALLADA FINANCIERA CONSORCIOS'!P262</f>
        <v>26657345.5</v>
      </c>
      <c r="U27" s="396"/>
      <c r="V27" s="403"/>
    </row>
    <row r="28" spans="1:22">
      <c r="E28" s="27"/>
      <c r="H28" s="27"/>
      <c r="J28" s="22"/>
      <c r="K28" s="27"/>
      <c r="M28" s="22"/>
      <c r="N28" s="27">
        <f>+'[2]DETALLADA FINANCIERA CONSORCIOS'!J217</f>
        <v>0</v>
      </c>
      <c r="P28" s="22"/>
      <c r="Q28" s="27">
        <f>+'[2]DETALLADA FINANCIERA CONSORCIOS'!J240</f>
        <v>0</v>
      </c>
      <c r="R28" s="20"/>
      <c r="S28" s="22"/>
      <c r="T28" s="27">
        <f>+'[2]DETALLADA FINANCIERA CONSORCIOS'!P263</f>
        <v>0</v>
      </c>
      <c r="U28" s="20"/>
      <c r="V28" s="22"/>
    </row>
    <row r="29" spans="1:22" ht="15.75" thickBot="1">
      <c r="A29" s="394" t="s">
        <v>81</v>
      </c>
      <c r="B29" s="395" t="s">
        <v>77</v>
      </c>
      <c r="C29" s="23" t="s">
        <v>82</v>
      </c>
      <c r="D29" s="262"/>
      <c r="E29" s="26">
        <f>+'[2]DETALLADA FINANCIERA CONSORCIOS'!J149</f>
        <v>2336487148.0900002</v>
      </c>
      <c r="F29" s="396" t="s">
        <v>79</v>
      </c>
      <c r="G29" s="422">
        <f>+E29/E30</f>
        <v>0.47162820997255067</v>
      </c>
      <c r="H29" s="26">
        <f>+'[2]DETALLADA FINANCIERA CONSORCIOS'!J172</f>
        <v>7175504839.6000004</v>
      </c>
      <c r="I29" s="396" t="s">
        <v>79</v>
      </c>
      <c r="J29" s="397">
        <f>+H29/H30</f>
        <v>0.33185311762237962</v>
      </c>
      <c r="K29" s="26">
        <f>+'[2]DETALLADA FINANCIERA CONSORCIOS'!J195</f>
        <v>49051448945.700005</v>
      </c>
      <c r="L29" s="396" t="s">
        <v>79</v>
      </c>
      <c r="M29" s="397">
        <f>+K29/K30</f>
        <v>0.61621739229497763</v>
      </c>
      <c r="N29" s="26">
        <f>+'[2]DETALLADA FINANCIERA CONSORCIOS'!J218</f>
        <v>3596595085.2999997</v>
      </c>
      <c r="O29" s="396" t="s">
        <v>79</v>
      </c>
      <c r="P29" s="397">
        <f>+N29/N30</f>
        <v>0.52522218777608964</v>
      </c>
      <c r="Q29" s="26">
        <f>+'[2]DETALLADA FINANCIERA CONSORCIOS'!J241</f>
        <v>15478984089.1</v>
      </c>
      <c r="R29" s="396" t="s">
        <v>79</v>
      </c>
      <c r="S29" s="397">
        <f>+Q29/Q30</f>
        <v>0.60705076057490992</v>
      </c>
      <c r="T29" s="26">
        <f>+'[2]DETALLADA FINANCIERA CONSORCIOS'!P264</f>
        <v>803165344.10000002</v>
      </c>
      <c r="U29" s="396" t="s">
        <v>79</v>
      </c>
      <c r="V29" s="397">
        <f>+T29/T30</f>
        <v>0.29067069249657507</v>
      </c>
    </row>
    <row r="30" spans="1:22" ht="15.75" thickTop="1">
      <c r="A30" s="394"/>
      <c r="B30" s="395"/>
      <c r="C30" s="262" t="s">
        <v>83</v>
      </c>
      <c r="D30" s="262"/>
      <c r="E30" s="27">
        <f>+'[2]DETALLADA FINANCIERA CONSORCIOS'!J150</f>
        <v>4954086924.1599998</v>
      </c>
      <c r="F30" s="396"/>
      <c r="G30" s="422"/>
      <c r="H30" s="27">
        <f>+'[2]DETALLADA FINANCIERA CONSORCIOS'!J173</f>
        <v>21622532556</v>
      </c>
      <c r="I30" s="396"/>
      <c r="J30" s="397"/>
      <c r="K30" s="27">
        <f>+'[2]DETALLADA FINANCIERA CONSORCIOS'!J196</f>
        <v>79600883647.600006</v>
      </c>
      <c r="L30" s="396"/>
      <c r="M30" s="397"/>
      <c r="N30" s="27">
        <f>+'[2]DETALLADA FINANCIERA CONSORCIOS'!J219</f>
        <v>6847759232.1999998</v>
      </c>
      <c r="O30" s="396"/>
      <c r="P30" s="397"/>
      <c r="Q30" s="27">
        <f>+'[2]DETALLADA FINANCIERA CONSORCIOS'!J242</f>
        <v>25498665176.600002</v>
      </c>
      <c r="R30" s="396"/>
      <c r="S30" s="397"/>
      <c r="T30" s="27">
        <f>+'[2]DETALLADA FINANCIERA CONSORCIOS'!P265</f>
        <v>2763145252.8000002</v>
      </c>
      <c r="U30" s="396"/>
      <c r="V30" s="397"/>
    </row>
    <row r="31" spans="1:22">
      <c r="E31" s="27"/>
      <c r="H31" s="27"/>
      <c r="J31" s="22"/>
      <c r="K31" s="27"/>
      <c r="M31" s="22"/>
      <c r="N31" s="27"/>
      <c r="P31" s="22"/>
      <c r="Q31" s="27"/>
      <c r="R31" s="20"/>
      <c r="S31" s="22"/>
      <c r="T31" s="27"/>
      <c r="U31" s="20"/>
      <c r="V31" s="22"/>
    </row>
    <row r="32" spans="1:22">
      <c r="A32" s="394" t="s">
        <v>84</v>
      </c>
      <c r="C32" s="400" t="s">
        <v>85</v>
      </c>
      <c r="E32" s="401"/>
      <c r="F32" s="396">
        <f>+'[2]DETALLADA FINANCIERA CONSORCIOS'!K152</f>
        <v>7630361694</v>
      </c>
      <c r="G32" s="402"/>
      <c r="H32" s="401"/>
      <c r="I32" s="396">
        <f>+'[2]DETALLADA FINANCIERA CONSORCIOS'!K175</f>
        <v>31044588837</v>
      </c>
      <c r="J32" s="402"/>
      <c r="K32" s="401"/>
      <c r="L32" s="396">
        <f>+'[2]DETALLADA FINANCIERA CONSORCIOS'!K198</f>
        <v>47026067106</v>
      </c>
      <c r="M32" s="402"/>
      <c r="N32" s="401"/>
      <c r="O32" s="396">
        <f>+'[2]DETALLADA FINANCIERA CONSORCIOS'!K221</f>
        <v>8051559212</v>
      </c>
      <c r="P32" s="402"/>
      <c r="Q32" s="401"/>
      <c r="R32" s="396">
        <f>+'[2]DETALLADA FINANCIERA CONSORCIOS'!K244</f>
        <v>16145899581</v>
      </c>
      <c r="S32" s="402"/>
      <c r="T32" s="401"/>
      <c r="U32" s="396">
        <f>+'[2]DETALLADA FINANCIERA CONSORCIOS'!Q267</f>
        <v>6310668835.8999996</v>
      </c>
      <c r="V32" s="402"/>
    </row>
    <row r="33" spans="1:22">
      <c r="A33" s="394"/>
      <c r="C33" s="400"/>
      <c r="E33" s="401"/>
      <c r="F33" s="396"/>
      <c r="G33" s="402"/>
      <c r="H33" s="401"/>
      <c r="I33" s="396"/>
      <c r="J33" s="402"/>
      <c r="K33" s="401"/>
      <c r="L33" s="396"/>
      <c r="M33" s="402"/>
      <c r="N33" s="401"/>
      <c r="O33" s="396"/>
      <c r="P33" s="402"/>
      <c r="Q33" s="401"/>
      <c r="R33" s="396"/>
      <c r="S33" s="402"/>
      <c r="T33" s="401"/>
      <c r="U33" s="396"/>
      <c r="V33" s="402"/>
    </row>
    <row r="34" spans="1:22">
      <c r="E34" s="27"/>
      <c r="H34" s="27"/>
      <c r="J34" s="22"/>
      <c r="K34" s="27"/>
      <c r="M34" s="22"/>
      <c r="N34" s="27"/>
      <c r="P34" s="22"/>
      <c r="Q34" s="27"/>
      <c r="R34" s="20"/>
      <c r="S34" s="22"/>
      <c r="T34" s="27"/>
      <c r="U34" s="20"/>
      <c r="V34" s="22"/>
    </row>
    <row r="35" spans="1:22" ht="15.75" thickBot="1">
      <c r="A35" s="394" t="s">
        <v>86</v>
      </c>
      <c r="B35" s="395" t="s">
        <v>77</v>
      </c>
      <c r="C35" s="17" t="s">
        <v>87</v>
      </c>
      <c r="E35" s="26">
        <f>+'[2]DETALLADA FINANCIERA CONSORCIOS'!J154</f>
        <v>1888828308.5</v>
      </c>
      <c r="F35" s="396" t="s">
        <v>79</v>
      </c>
      <c r="G35" s="424">
        <f>+E35/E36</f>
        <v>108.64005344315711</v>
      </c>
      <c r="H35" s="26">
        <f>+'[2]DETALLADA FINANCIERA CONSORCIOS'!J177</f>
        <v>2447385451.1999998</v>
      </c>
      <c r="I35" s="396" t="s">
        <v>79</v>
      </c>
      <c r="J35" s="403">
        <f>+H35/H36</f>
        <v>3.6659836425497767</v>
      </c>
      <c r="K35" s="26">
        <f>+'[2]DETALLADA FINANCIERA CONSORCIOS'!J200</f>
        <v>9967453103.2000008</v>
      </c>
      <c r="L35" s="396" t="s">
        <v>79</v>
      </c>
      <c r="M35" s="403">
        <f>+K35/K36</f>
        <v>4.9375256559597531</v>
      </c>
      <c r="N35" s="26">
        <f>+'[2]DETALLADA FINANCIERA CONSORCIOS'!J223</f>
        <v>801571521.79999995</v>
      </c>
      <c r="O35" s="396" t="s">
        <v>79</v>
      </c>
      <c r="P35" s="403">
        <f>+N35/N36</f>
        <v>4.577892741084213</v>
      </c>
      <c r="Q35" s="26">
        <f>+'[2]DETALLADA FINANCIERA CONSORCIOS'!J246</f>
        <v>4843865167.1000004</v>
      </c>
      <c r="R35" s="396" t="s">
        <v>79</v>
      </c>
      <c r="S35" s="403" t="s">
        <v>103</v>
      </c>
      <c r="T35" s="26">
        <f>+'[2]DETALLADA FINANCIERA CONSORCIOS'!P269</f>
        <v>419343023.10000002</v>
      </c>
      <c r="U35" s="396" t="s">
        <v>79</v>
      </c>
      <c r="V35" s="403" t="s">
        <v>103</v>
      </c>
    </row>
    <row r="36" spans="1:22" ht="15.75" thickTop="1">
      <c r="A36" s="394"/>
      <c r="B36" s="395"/>
      <c r="C36" t="s">
        <v>88</v>
      </c>
      <c r="E36" s="27">
        <f>+'[2]DETALLADA FINANCIERA CONSORCIOS'!J155</f>
        <v>17386113.580000002</v>
      </c>
      <c r="F36" s="396"/>
      <c r="G36" s="424"/>
      <c r="H36" s="27">
        <f>+'[2]DETALLADA FINANCIERA CONSORCIOS'!J178</f>
        <v>667593118.20000005</v>
      </c>
      <c r="I36" s="396"/>
      <c r="J36" s="403"/>
      <c r="K36" s="27">
        <f>+'[2]DETALLADA FINANCIERA CONSORCIOS'!J201</f>
        <v>2018714189.5999999</v>
      </c>
      <c r="L36" s="396"/>
      <c r="M36" s="403"/>
      <c r="N36" s="27">
        <f>+'[2]DETALLADA FINANCIERA CONSORCIOS'!J224</f>
        <v>175096177.89999998</v>
      </c>
      <c r="O36" s="396"/>
      <c r="P36" s="403"/>
      <c r="Q36" s="27">
        <f>+'[2]DETALLADA FINANCIERA CONSORCIOS'!J247</f>
        <v>0</v>
      </c>
      <c r="R36" s="396"/>
      <c r="S36" s="403"/>
      <c r="T36" s="27">
        <f>+'[2]DETALLADA FINANCIERA CONSORCIOS'!P270</f>
        <v>0</v>
      </c>
      <c r="U36" s="396"/>
      <c r="V36" s="403"/>
    </row>
    <row r="37" spans="1:22">
      <c r="E37" s="27"/>
      <c r="H37" s="27">
        <f>+'[2]DETALLADA FINANCIERA CONSORCIOS'!J179</f>
        <v>0</v>
      </c>
      <c r="J37" s="22"/>
      <c r="K37" s="27"/>
      <c r="M37" s="22"/>
      <c r="N37" s="27"/>
      <c r="P37" s="22"/>
      <c r="Q37" s="27"/>
      <c r="R37" s="20"/>
      <c r="S37" s="22"/>
      <c r="T37" s="27"/>
      <c r="U37" s="20"/>
      <c r="V37" s="22"/>
    </row>
    <row r="38" spans="1:22" ht="14.45" customHeight="1" thickBot="1">
      <c r="A38" s="394" t="s">
        <v>89</v>
      </c>
      <c r="B38" s="395" t="s">
        <v>77</v>
      </c>
      <c r="C38" s="23" t="s">
        <v>87</v>
      </c>
      <c r="D38" s="262"/>
      <c r="E38" s="26">
        <f>+E35</f>
        <v>1888828308.5</v>
      </c>
      <c r="F38" s="396" t="s">
        <v>79</v>
      </c>
      <c r="G38" s="422">
        <f>+E38/E39</f>
        <v>0.7215878935227602</v>
      </c>
      <c r="H38" s="26">
        <f>+H35</f>
        <v>2447385451.1999998</v>
      </c>
      <c r="I38" s="396" t="s">
        <v>79</v>
      </c>
      <c r="J38" s="397">
        <f>+H38/H39</f>
        <v>0.16940408084230177</v>
      </c>
      <c r="K38" s="26">
        <f>+K35</f>
        <v>9967453103.2000008</v>
      </c>
      <c r="L38" s="396" t="s">
        <v>79</v>
      </c>
      <c r="M38" s="397">
        <f>+K38/K39</f>
        <v>0.32627291471878139</v>
      </c>
      <c r="N38" s="26">
        <f>+N35</f>
        <v>801571521.79999995</v>
      </c>
      <c r="O38" s="396" t="s">
        <v>79</v>
      </c>
      <c r="P38" s="397">
        <f>+N38/N39</f>
        <v>0.2465490776786223</v>
      </c>
      <c r="Q38" s="26">
        <f>+Q35</f>
        <v>4843865167.1000004</v>
      </c>
      <c r="R38" s="396" t="s">
        <v>79</v>
      </c>
      <c r="S38" s="397">
        <f>+Q38/Q39</f>
        <v>0.4834350639306213</v>
      </c>
      <c r="T38" s="26">
        <f>+T35</f>
        <v>419343023.10000002</v>
      </c>
      <c r="U38" s="396" t="s">
        <v>79</v>
      </c>
      <c r="V38" s="397">
        <f>+T38/T39</f>
        <v>0.21395271514703357</v>
      </c>
    </row>
    <row r="39" spans="1:22" ht="15.75" thickTop="1">
      <c r="A39" s="394"/>
      <c r="B39" s="395"/>
      <c r="C39" s="262" t="s">
        <v>90</v>
      </c>
      <c r="D39" s="262"/>
      <c r="E39" s="27">
        <f>+E30-E29</f>
        <v>2617599776.0699997</v>
      </c>
      <c r="F39" s="396"/>
      <c r="G39" s="422"/>
      <c r="H39" s="27">
        <f>+H30-H29</f>
        <v>14447027716.4</v>
      </c>
      <c r="I39" s="396"/>
      <c r="J39" s="397"/>
      <c r="K39" s="27">
        <f>+K30-K29</f>
        <v>30549434701.900002</v>
      </c>
      <c r="L39" s="396"/>
      <c r="M39" s="397"/>
      <c r="N39" s="27">
        <f>+N30-N29</f>
        <v>3251164146.9000001</v>
      </c>
      <c r="O39" s="396"/>
      <c r="P39" s="397"/>
      <c r="Q39" s="27">
        <f>+Q30-Q29</f>
        <v>10019681087.500002</v>
      </c>
      <c r="R39" s="396"/>
      <c r="S39" s="397"/>
      <c r="T39" s="27">
        <f>+T30-T29</f>
        <v>1959979908.7000003</v>
      </c>
      <c r="U39" s="396"/>
      <c r="V39" s="397"/>
    </row>
    <row r="40" spans="1:22">
      <c r="E40" s="27"/>
      <c r="H40" s="27"/>
      <c r="J40" s="22"/>
      <c r="K40" s="27"/>
      <c r="M40" s="22"/>
      <c r="N40" s="27"/>
      <c r="P40" s="22"/>
      <c r="Q40" s="27"/>
      <c r="R40" s="20"/>
      <c r="S40" s="22"/>
      <c r="T40" s="27"/>
      <c r="U40" s="20"/>
      <c r="V40" s="22"/>
    </row>
    <row r="41" spans="1:22" ht="15.75" thickBot="1">
      <c r="A41" s="394" t="s">
        <v>91</v>
      </c>
      <c r="B41" s="395" t="s">
        <v>77</v>
      </c>
      <c r="C41" s="23" t="s">
        <v>87</v>
      </c>
      <c r="D41" s="262"/>
      <c r="E41" s="26">
        <f>+E38</f>
        <v>1888828308.5</v>
      </c>
      <c r="F41" s="396" t="s">
        <v>79</v>
      </c>
      <c r="G41" s="422">
        <f>+E41/E42</f>
        <v>0.38126668696275734</v>
      </c>
      <c r="H41" s="26">
        <f>+H38</f>
        <v>2447385451.1999998</v>
      </c>
      <c r="I41" s="396" t="s">
        <v>79</v>
      </c>
      <c r="J41" s="397">
        <f>+H41/H42</f>
        <v>0.1131868084768303</v>
      </c>
      <c r="K41" s="26">
        <f>+K38</f>
        <v>9967453103.2000008</v>
      </c>
      <c r="L41" s="396" t="s">
        <v>79</v>
      </c>
      <c r="M41" s="397">
        <f>+K41/K42</f>
        <v>0.1252178700342923</v>
      </c>
      <c r="N41" s="26">
        <f>+N38</f>
        <v>801571521.79999995</v>
      </c>
      <c r="O41" s="396" t="s">
        <v>79</v>
      </c>
      <c r="P41" s="397">
        <f>+N41/N42</f>
        <v>0.11705603170607923</v>
      </c>
      <c r="Q41" s="26">
        <f>+Q38</f>
        <v>4843865167.1000004</v>
      </c>
      <c r="R41" s="396" t="s">
        <v>79</v>
      </c>
      <c r="S41" s="397">
        <f>+Q41/Q42</f>
        <v>0.18996544068295745</v>
      </c>
      <c r="T41" s="26">
        <f>+T38</f>
        <v>419343023.10000002</v>
      </c>
      <c r="U41" s="396" t="s">
        <v>79</v>
      </c>
      <c r="V41" s="397">
        <f>+T41/T42</f>
        <v>0.15176293127372287</v>
      </c>
    </row>
    <row r="42" spans="1:22" ht="16.5" thickTop="1" thickBot="1">
      <c r="A42" s="394"/>
      <c r="B42" s="395"/>
      <c r="C42" s="262" t="s">
        <v>92</v>
      </c>
      <c r="D42" s="262"/>
      <c r="E42" s="28">
        <f>+E30</f>
        <v>4954086924.1599998</v>
      </c>
      <c r="F42" s="398"/>
      <c r="G42" s="423"/>
      <c r="H42" s="28">
        <f>+H30</f>
        <v>21622532556</v>
      </c>
      <c r="I42" s="398"/>
      <c r="J42" s="399"/>
      <c r="K42" s="28">
        <f>+K30</f>
        <v>79600883647.600006</v>
      </c>
      <c r="L42" s="398"/>
      <c r="M42" s="399"/>
      <c r="N42" s="28">
        <f>+N30</f>
        <v>6847759232.1999998</v>
      </c>
      <c r="O42" s="398"/>
      <c r="P42" s="399"/>
      <c r="Q42" s="28">
        <f>+Q30</f>
        <v>25498665176.600002</v>
      </c>
      <c r="R42" s="398"/>
      <c r="S42" s="399"/>
      <c r="T42" s="28">
        <f>+T30</f>
        <v>2763145252.8000002</v>
      </c>
      <c r="U42" s="398"/>
      <c r="V42" s="399"/>
    </row>
    <row r="44" spans="1:22" ht="15.75" thickBot="1"/>
    <row r="45" spans="1:22">
      <c r="E45" s="404" t="s">
        <v>22</v>
      </c>
      <c r="F45" s="405"/>
      <c r="G45" s="406"/>
      <c r="H45" s="404" t="s">
        <v>23</v>
      </c>
      <c r="I45" s="405"/>
      <c r="J45" s="406"/>
      <c r="K45" s="404" t="s">
        <v>95</v>
      </c>
      <c r="L45" s="405"/>
      <c r="M45" s="406"/>
      <c r="N45" s="413" t="s">
        <v>25</v>
      </c>
      <c r="O45" s="414"/>
      <c r="P45" s="415"/>
      <c r="Q45" s="404" t="s">
        <v>24</v>
      </c>
      <c r="R45" s="405"/>
      <c r="S45" s="406"/>
      <c r="T45" s="413" t="s">
        <v>96</v>
      </c>
      <c r="U45" s="414"/>
      <c r="V45" s="415"/>
    </row>
    <row r="46" spans="1:22">
      <c r="E46" s="407"/>
      <c r="F46" s="408"/>
      <c r="G46" s="409"/>
      <c r="H46" s="407"/>
      <c r="I46" s="408"/>
      <c r="J46" s="409"/>
      <c r="K46" s="407"/>
      <c r="L46" s="408"/>
      <c r="M46" s="409"/>
      <c r="N46" s="416"/>
      <c r="O46" s="417"/>
      <c r="P46" s="418"/>
      <c r="Q46" s="407"/>
      <c r="R46" s="408"/>
      <c r="S46" s="409"/>
      <c r="T46" s="416"/>
      <c r="U46" s="417"/>
      <c r="V46" s="418"/>
    </row>
    <row r="47" spans="1:22" ht="37.5" customHeight="1" thickBot="1">
      <c r="E47" s="410"/>
      <c r="F47" s="411"/>
      <c r="G47" s="412"/>
      <c r="H47" s="410"/>
      <c r="I47" s="411"/>
      <c r="J47" s="412"/>
      <c r="K47" s="410"/>
      <c r="L47" s="411"/>
      <c r="M47" s="412"/>
      <c r="N47" s="419"/>
      <c r="O47" s="420"/>
      <c r="P47" s="421"/>
      <c r="Q47" s="410"/>
      <c r="R47" s="411"/>
      <c r="S47" s="412"/>
      <c r="T47" s="419"/>
      <c r="U47" s="420"/>
      <c r="V47" s="421"/>
    </row>
    <row r="48" spans="1:22" ht="15.75" thickBot="1">
      <c r="A48" s="394" t="s">
        <v>76</v>
      </c>
      <c r="B48" s="395" t="s">
        <v>77</v>
      </c>
      <c r="C48" s="17" t="s">
        <v>78</v>
      </c>
      <c r="E48" s="18">
        <f>+'[2]DETALLADA FINANCIERA CONSORCIOS'!J285</f>
        <v>12625762031.5</v>
      </c>
      <c r="F48" s="396" t="s">
        <v>79</v>
      </c>
      <c r="G48" s="424">
        <f>+E48/E49</f>
        <v>22.30339654000867</v>
      </c>
      <c r="H48" s="18">
        <f>+'[2]DETALLADA FINANCIERA CONSORCIOS'!M308</f>
        <v>1406887571.8999999</v>
      </c>
      <c r="I48" s="396" t="s">
        <v>79</v>
      </c>
      <c r="J48" s="403">
        <f>+H48/H49</f>
        <v>20.66296081926988</v>
      </c>
      <c r="K48" s="18">
        <f>+'[2]DETALLADA FINANCIERA CONSORCIOS'!J331</f>
        <v>29527016166.400002</v>
      </c>
      <c r="L48" s="396" t="s">
        <v>79</v>
      </c>
      <c r="M48" s="403">
        <f>+K48/K49</f>
        <v>8.7689387489429791</v>
      </c>
      <c r="N48" s="18">
        <f>+'[2]DETALLADA FINANCIERA CONSORCIOS'!J354</f>
        <v>7300008607.8999996</v>
      </c>
      <c r="O48" s="396" t="s">
        <v>79</v>
      </c>
      <c r="P48" s="403">
        <f>+N48/N49</f>
        <v>202.20690426738418</v>
      </c>
      <c r="Q48" s="18">
        <f>+'[2]DETALLADA FINANCIERA CONSORCIOS'!J377</f>
        <v>26699183311.900002</v>
      </c>
      <c r="R48" s="396" t="s">
        <v>79</v>
      </c>
      <c r="S48" s="403">
        <f>+Q48/Q49</f>
        <v>2.1878671942168864</v>
      </c>
      <c r="T48" s="18">
        <f>+'[2]DETALLADA FINANCIERA CONSORCIOS'!J400</f>
        <v>1451249136.5</v>
      </c>
      <c r="U48" s="396" t="s">
        <v>79</v>
      </c>
      <c r="V48" s="403">
        <f>+T48/T49</f>
        <v>6.6482683010129584</v>
      </c>
    </row>
    <row r="49" spans="1:22" ht="15.75" thickTop="1">
      <c r="A49" s="394"/>
      <c r="B49" s="395"/>
      <c r="C49" t="s">
        <v>80</v>
      </c>
      <c r="E49" s="19">
        <f>+'[2]DETALLADA FINANCIERA CONSORCIOS'!J286</f>
        <v>566091447.5</v>
      </c>
      <c r="F49" s="396"/>
      <c r="G49" s="424"/>
      <c r="H49" s="19">
        <f>+'[2]DETALLADA FINANCIERA CONSORCIOS'!M309</f>
        <v>68087414.200000003</v>
      </c>
      <c r="I49" s="396"/>
      <c r="J49" s="403"/>
      <c r="K49" s="19">
        <f>+'[2]DETALLADA FINANCIERA CONSORCIOS'!J332</f>
        <v>3367228009.1999998</v>
      </c>
      <c r="L49" s="396"/>
      <c r="M49" s="403"/>
      <c r="N49" s="19">
        <f>+'[2]DETALLADA FINANCIERA CONSORCIOS'!J355</f>
        <v>36101678.299999997</v>
      </c>
      <c r="O49" s="396"/>
      <c r="P49" s="403"/>
      <c r="Q49" s="19">
        <f>+'[2]DETALLADA FINANCIERA CONSORCIOS'!J378</f>
        <v>12203292495.300001</v>
      </c>
      <c r="R49" s="396"/>
      <c r="S49" s="403"/>
      <c r="T49" s="19">
        <f>+'[2]DETALLADA FINANCIERA CONSORCIOS'!J401</f>
        <v>218289796.80000001</v>
      </c>
      <c r="U49" s="396"/>
      <c r="V49" s="403"/>
    </row>
    <row r="50" spans="1:22">
      <c r="E50" s="19">
        <f>+'[2]DETALLADA FINANCIERA CONSORCIOS'!J287</f>
        <v>0</v>
      </c>
      <c r="H50" s="19"/>
      <c r="J50" s="22"/>
      <c r="K50" s="19">
        <f>+'[2]DETALLADA FINANCIERA CONSORCIOS'!J333</f>
        <v>0</v>
      </c>
      <c r="M50" s="22"/>
      <c r="N50" s="19"/>
      <c r="P50" s="22"/>
      <c r="Q50" s="19">
        <f>+'[2]DETALLADA FINANCIERA CONSORCIOS'!J379</f>
        <v>0</v>
      </c>
      <c r="R50" s="20"/>
      <c r="S50" s="22"/>
      <c r="T50" s="19"/>
      <c r="U50" s="20"/>
      <c r="V50" s="22"/>
    </row>
    <row r="51" spans="1:22" ht="15.75" thickBot="1">
      <c r="A51" s="394" t="s">
        <v>81</v>
      </c>
      <c r="B51" s="395" t="s">
        <v>77</v>
      </c>
      <c r="C51" s="23" t="s">
        <v>82</v>
      </c>
      <c r="D51" s="262"/>
      <c r="E51" s="18">
        <f>+'[2]DETALLADA FINANCIERA CONSORCIOS'!J288</f>
        <v>9783121110.5</v>
      </c>
      <c r="F51" s="396" t="s">
        <v>79</v>
      </c>
      <c r="G51" s="422">
        <f>+E51/E52</f>
        <v>0.53435018253883593</v>
      </c>
      <c r="H51" s="18">
        <f>+'[2]DETALLADA FINANCIERA CONSORCIOS'!M311</f>
        <v>298901721.39999998</v>
      </c>
      <c r="I51" s="396" t="s">
        <v>79</v>
      </c>
      <c r="J51" s="397">
        <f>+H51/H52</f>
        <v>0.16043249306215865</v>
      </c>
      <c r="K51" s="18">
        <f>+'[2]DETALLADA FINANCIERA CONSORCIOS'!J334</f>
        <v>5997231066.6999998</v>
      </c>
      <c r="L51" s="396" t="s">
        <v>79</v>
      </c>
      <c r="M51" s="397">
        <f>+K51/K52</f>
        <v>0.18611268548090762</v>
      </c>
      <c r="N51" s="18">
        <f>+'[2]DETALLADA FINANCIERA CONSORCIOS'!J357</f>
        <v>3758910309.8000002</v>
      </c>
      <c r="O51" s="396" t="s">
        <v>79</v>
      </c>
      <c r="P51" s="397">
        <f>+N51/N52</f>
        <v>0.4797031331398679</v>
      </c>
      <c r="Q51" s="18">
        <f>+'[2]DETALLADA FINANCIERA CONSORCIOS'!J380</f>
        <v>13575103283.4</v>
      </c>
      <c r="R51" s="396" t="s">
        <v>79</v>
      </c>
      <c r="S51" s="397">
        <f>+Q51/Q52</f>
        <v>0.42438394520571476</v>
      </c>
      <c r="T51" s="18">
        <f>+'[2]DETALLADA FINANCIERA CONSORCIOS'!J403</f>
        <v>319882579.70000005</v>
      </c>
      <c r="U51" s="396" t="s">
        <v>79</v>
      </c>
      <c r="V51" s="397">
        <f>+T51/T52</f>
        <v>0.21612601763884581</v>
      </c>
    </row>
    <row r="52" spans="1:22" ht="15.75" thickTop="1">
      <c r="A52" s="394"/>
      <c r="B52" s="395"/>
      <c r="C52" s="262" t="s">
        <v>83</v>
      </c>
      <c r="D52" s="262"/>
      <c r="E52" s="19">
        <f>+'[2]DETALLADA FINANCIERA CONSORCIOS'!J289</f>
        <v>18308445342</v>
      </c>
      <c r="F52" s="396"/>
      <c r="G52" s="422"/>
      <c r="H52" s="19">
        <f>+'[2]DETALLADA FINANCIERA CONSORCIOS'!M312</f>
        <v>1863099648.3</v>
      </c>
      <c r="I52" s="396"/>
      <c r="J52" s="397"/>
      <c r="K52" s="19">
        <f>+'[2]DETALLADA FINANCIERA CONSORCIOS'!J335</f>
        <v>32223655530</v>
      </c>
      <c r="L52" s="396"/>
      <c r="M52" s="397"/>
      <c r="N52" s="19">
        <f>+'[2]DETALLADA FINANCIERA CONSORCIOS'!J358</f>
        <v>7835909440.8999996</v>
      </c>
      <c r="O52" s="396"/>
      <c r="P52" s="397"/>
      <c r="Q52" s="19">
        <f>+'[2]DETALLADA FINANCIERA CONSORCIOS'!J381</f>
        <v>31987787089.400002</v>
      </c>
      <c r="R52" s="396"/>
      <c r="S52" s="397"/>
      <c r="T52" s="19">
        <f>+'[2]DETALLADA FINANCIERA CONSORCIOS'!J404</f>
        <v>1480074371.4000001</v>
      </c>
      <c r="U52" s="396"/>
      <c r="V52" s="397"/>
    </row>
    <row r="53" spans="1:22">
      <c r="E53" s="19"/>
      <c r="H53" s="19"/>
      <c r="J53" s="22"/>
      <c r="K53" s="19"/>
      <c r="M53" s="22"/>
      <c r="N53" s="19"/>
      <c r="P53" s="22"/>
      <c r="Q53" s="19"/>
      <c r="R53" s="20"/>
      <c r="S53" s="22"/>
      <c r="T53" s="19"/>
      <c r="U53" s="20"/>
      <c r="V53" s="22"/>
    </row>
    <row r="54" spans="1:22">
      <c r="A54" s="394" t="s">
        <v>84</v>
      </c>
      <c r="C54" s="400" t="s">
        <v>85</v>
      </c>
      <c r="E54" s="401"/>
      <c r="F54" s="396">
        <f>+'[2]DETALLADA FINANCIERA CONSORCIOS'!K291</f>
        <v>24119341168</v>
      </c>
      <c r="G54" s="402"/>
      <c r="H54" s="401"/>
      <c r="I54" s="396">
        <f>+'[2]DETALLADA FINANCIERA CONSORCIOS'!N314</f>
        <v>6375171487</v>
      </c>
      <c r="J54" s="402"/>
      <c r="K54" s="401"/>
      <c r="L54" s="396">
        <f>+'[2]DETALLADA FINANCIERA CONSORCIOS'!K337</f>
        <v>29478503972</v>
      </c>
      <c r="M54" s="402"/>
      <c r="N54" s="401"/>
      <c r="O54" s="396">
        <f>+'[2]DETALLADA FINANCIERA CONSORCIOS'!K360</f>
        <v>16361500712</v>
      </c>
      <c r="P54" s="402"/>
      <c r="Q54" s="401"/>
      <c r="R54" s="396">
        <f>+'[2]DETALLADA FINANCIERA CONSORCIOS'!K383</f>
        <v>87776767574</v>
      </c>
      <c r="S54" s="402"/>
      <c r="T54" s="401"/>
      <c r="U54" s="396">
        <f>+'[2]DETALLADA FINANCIERA CONSORCIOS'!K406</f>
        <v>11157899949</v>
      </c>
      <c r="V54" s="402"/>
    </row>
    <row r="55" spans="1:22">
      <c r="A55" s="394"/>
      <c r="C55" s="400"/>
      <c r="E55" s="401"/>
      <c r="F55" s="396"/>
      <c r="G55" s="402"/>
      <c r="H55" s="401"/>
      <c r="I55" s="396"/>
      <c r="J55" s="402"/>
      <c r="K55" s="401"/>
      <c r="L55" s="396"/>
      <c r="M55" s="402"/>
      <c r="N55" s="401"/>
      <c r="O55" s="396"/>
      <c r="P55" s="402"/>
      <c r="Q55" s="401"/>
      <c r="R55" s="396"/>
      <c r="S55" s="402"/>
      <c r="T55" s="401"/>
      <c r="U55" s="396"/>
      <c r="V55" s="402"/>
    </row>
    <row r="56" spans="1:22">
      <c r="E56" s="19"/>
      <c r="H56" s="19"/>
      <c r="J56" s="22"/>
      <c r="K56" s="19"/>
      <c r="M56" s="22"/>
      <c r="N56" s="19"/>
      <c r="P56" s="22"/>
      <c r="Q56" s="19"/>
      <c r="R56" s="20"/>
      <c r="S56" s="22"/>
      <c r="T56" s="19"/>
      <c r="U56" s="20"/>
      <c r="V56" s="22"/>
    </row>
    <row r="57" spans="1:22" ht="15.75" thickBot="1">
      <c r="A57" s="394" t="s">
        <v>86</v>
      </c>
      <c r="B57" s="395" t="s">
        <v>77</v>
      </c>
      <c r="C57" s="17" t="s">
        <v>87</v>
      </c>
      <c r="E57" s="18">
        <f>+'[2]DETALLADA FINANCIERA CONSORCIOS'!J293</f>
        <v>2581997206</v>
      </c>
      <c r="F57" s="396" t="s">
        <v>79</v>
      </c>
      <c r="G57" s="424">
        <f>+E57/E58</f>
        <v>2.309082018920396</v>
      </c>
      <c r="H57" s="18">
        <f>+'[2]DETALLADA FINANCIERA CONSORCIOS'!M316</f>
        <v>124068189.70000002</v>
      </c>
      <c r="I57" s="396" t="s">
        <v>79</v>
      </c>
      <c r="J57" s="403">
        <f>+H57/H58</f>
        <v>23.599529467172982</v>
      </c>
      <c r="K57" s="18">
        <f>+'[2]DETALLADA FINANCIERA CONSORCIOS'!J339</f>
        <v>5265638832.8000002</v>
      </c>
      <c r="L57" s="396" t="s">
        <v>79</v>
      </c>
      <c r="M57" s="403">
        <f>+K57/K58</f>
        <v>44.525263213469906</v>
      </c>
      <c r="N57" s="18">
        <f>+'[2]DETALLADA FINANCIERA CONSORCIOS'!J362</f>
        <v>1054267812.9</v>
      </c>
      <c r="O57" s="396" t="s">
        <v>79</v>
      </c>
      <c r="P57" s="403">
        <f>+N57/N58</f>
        <v>13.3713724990935</v>
      </c>
      <c r="Q57" s="18">
        <f>+'[2]DETALLADA FINANCIERA CONSORCIOS'!J385</f>
        <v>6621885161.1000004</v>
      </c>
      <c r="R57" s="396" t="s">
        <v>79</v>
      </c>
      <c r="S57" s="403">
        <f>+Q57/Q58</f>
        <v>107.68897930919431</v>
      </c>
      <c r="T57" s="18">
        <f>+'[2]DETALLADA FINANCIERA CONSORCIOS'!J408</f>
        <v>477534026.40000004</v>
      </c>
      <c r="U57" s="396" t="s">
        <v>79</v>
      </c>
      <c r="V57" s="403">
        <f>+T57/T58</f>
        <v>79.191501339169676</v>
      </c>
    </row>
    <row r="58" spans="1:22" ht="15.75" thickTop="1">
      <c r="A58" s="394"/>
      <c r="B58" s="395"/>
      <c r="C58" t="s">
        <v>88</v>
      </c>
      <c r="E58" s="19">
        <f>+'[2]DETALLADA FINANCIERA CONSORCIOS'!J294</f>
        <v>1118192071.5</v>
      </c>
      <c r="F58" s="396"/>
      <c r="G58" s="424"/>
      <c r="H58" s="19">
        <f>+'[2]DETALLADA FINANCIERA CONSORCIOS'!M317</f>
        <v>5257231.5</v>
      </c>
      <c r="I58" s="396"/>
      <c r="J58" s="403"/>
      <c r="K58" s="19">
        <f>+'[2]DETALLADA FINANCIERA CONSORCIOS'!J340</f>
        <v>118261823.80000001</v>
      </c>
      <c r="L58" s="396"/>
      <c r="M58" s="403"/>
      <c r="N58" s="19">
        <f>+'[2]DETALLADA FINANCIERA CONSORCIOS'!J363</f>
        <v>78845145.699999988</v>
      </c>
      <c r="O58" s="396"/>
      <c r="P58" s="403"/>
      <c r="Q58" s="19">
        <f>+'[2]DETALLADA FINANCIERA CONSORCIOS'!J386</f>
        <v>61490834.100000001</v>
      </c>
      <c r="R58" s="396"/>
      <c r="S58" s="403"/>
      <c r="T58" s="19">
        <f>+'[2]DETALLADA FINANCIERA CONSORCIOS'!J409</f>
        <v>6030117.1000000006</v>
      </c>
      <c r="U58" s="396"/>
      <c r="V58" s="403"/>
    </row>
    <row r="59" spans="1:22">
      <c r="E59" s="19">
        <f>+'[2]DETALLADA FINANCIERA CONSORCIOS'!J295</f>
        <v>0</v>
      </c>
      <c r="H59" s="19"/>
      <c r="J59" s="22"/>
      <c r="K59" s="19"/>
      <c r="M59" s="22"/>
      <c r="N59" s="19"/>
      <c r="P59" s="22"/>
      <c r="Q59" s="19"/>
      <c r="R59" s="20"/>
      <c r="S59" s="22"/>
      <c r="T59" s="19"/>
      <c r="U59" s="20"/>
      <c r="V59" s="22"/>
    </row>
    <row r="60" spans="1:22" ht="15.75" thickBot="1">
      <c r="A60" s="394" t="s">
        <v>89</v>
      </c>
      <c r="B60" s="395" t="s">
        <v>77</v>
      </c>
      <c r="C60" s="23" t="s">
        <v>87</v>
      </c>
      <c r="D60" s="262"/>
      <c r="E60" s="18">
        <f>+E57</f>
        <v>2581997206</v>
      </c>
      <c r="F60" s="396" t="s">
        <v>79</v>
      </c>
      <c r="G60" s="422">
        <f>+E60/E61</f>
        <v>0.30286205379261066</v>
      </c>
      <c r="H60" s="18">
        <f>+H57</f>
        <v>124068189.70000002</v>
      </c>
      <c r="I60" s="396" t="s">
        <v>79</v>
      </c>
      <c r="J60" s="397">
        <f>+H60/H61</f>
        <v>7.9317449260327369E-2</v>
      </c>
      <c r="K60" s="18">
        <f>+K57</f>
        <v>5265638832.8000002</v>
      </c>
      <c r="L60" s="396" t="s">
        <v>79</v>
      </c>
      <c r="M60" s="397">
        <f>+K60/K61</f>
        <v>0.2007760852101087</v>
      </c>
      <c r="N60" s="18">
        <f>+N57</f>
        <v>1054267812.9</v>
      </c>
      <c r="O60" s="396" t="s">
        <v>79</v>
      </c>
      <c r="P60" s="397">
        <f>+N60/N61</f>
        <v>0.25858916791467457</v>
      </c>
      <c r="Q60" s="18">
        <f>+Q57</f>
        <v>6621885161.1000004</v>
      </c>
      <c r="R60" s="396" t="s">
        <v>79</v>
      </c>
      <c r="S60" s="397">
        <f>+Q60/Q61</f>
        <v>0.35963715180630962</v>
      </c>
      <c r="T60" s="18">
        <f>+T57</f>
        <v>477534026.40000004</v>
      </c>
      <c r="U60" s="396" t="s">
        <v>79</v>
      </c>
      <c r="V60" s="397">
        <f>+T60/T61</f>
        <v>0.41159921128237026</v>
      </c>
    </row>
    <row r="61" spans="1:22" ht="15.75" thickTop="1">
      <c r="A61" s="394"/>
      <c r="B61" s="395"/>
      <c r="C61" s="262" t="s">
        <v>90</v>
      </c>
      <c r="D61" s="262"/>
      <c r="E61" s="19">
        <f>+E52-E51</f>
        <v>8525324231.5</v>
      </c>
      <c r="F61" s="396"/>
      <c r="G61" s="422"/>
      <c r="H61" s="19">
        <f>+H52-H51</f>
        <v>1564197926.9000001</v>
      </c>
      <c r="I61" s="396"/>
      <c r="J61" s="397"/>
      <c r="K61" s="19">
        <f>+K52-K51</f>
        <v>26226424463.299999</v>
      </c>
      <c r="L61" s="396"/>
      <c r="M61" s="397"/>
      <c r="N61" s="19">
        <f>+N52-N51</f>
        <v>4076999131.0999994</v>
      </c>
      <c r="O61" s="396"/>
      <c r="P61" s="397"/>
      <c r="Q61" s="19">
        <f>+Q52-Q51</f>
        <v>18412683806</v>
      </c>
      <c r="R61" s="396"/>
      <c r="S61" s="397"/>
      <c r="T61" s="19">
        <f>+T52-T51</f>
        <v>1160191791.7</v>
      </c>
      <c r="U61" s="396"/>
      <c r="V61" s="397"/>
    </row>
    <row r="62" spans="1:22">
      <c r="E62" s="19"/>
      <c r="H62" s="19"/>
      <c r="J62" s="22"/>
      <c r="K62" s="19"/>
      <c r="M62" s="22"/>
      <c r="N62" s="19"/>
      <c r="P62" s="22"/>
      <c r="Q62" s="19"/>
      <c r="R62" s="20"/>
      <c r="S62" s="22"/>
      <c r="T62" s="19"/>
      <c r="U62" s="20"/>
      <c r="V62" s="22"/>
    </row>
    <row r="63" spans="1:22" ht="15.75" thickBot="1">
      <c r="A63" s="394" t="s">
        <v>91</v>
      </c>
      <c r="B63" s="395" t="s">
        <v>77</v>
      </c>
      <c r="C63" s="23" t="s">
        <v>87</v>
      </c>
      <c r="D63" s="262"/>
      <c r="E63" s="18">
        <f>+E60</f>
        <v>2581997206</v>
      </c>
      <c r="F63" s="396" t="s">
        <v>79</v>
      </c>
      <c r="G63" s="422">
        <f>+E63/E64</f>
        <v>0.14102766006444239</v>
      </c>
      <c r="H63" s="18">
        <f>+H60</f>
        <v>124068189.70000002</v>
      </c>
      <c r="I63" s="396" t="s">
        <v>79</v>
      </c>
      <c r="J63" s="397">
        <f>+H63/H64</f>
        <v>6.6592353132161788E-2</v>
      </c>
      <c r="K63" s="18">
        <f>+K60</f>
        <v>5265638832.8000002</v>
      </c>
      <c r="L63" s="396" t="s">
        <v>79</v>
      </c>
      <c r="M63" s="397">
        <f>+K63/K64</f>
        <v>0.16340910881131182</v>
      </c>
      <c r="N63" s="18">
        <f>+N60</f>
        <v>1054267812.9</v>
      </c>
      <c r="O63" s="396" t="s">
        <v>79</v>
      </c>
      <c r="P63" s="397">
        <f>+N63/N64</f>
        <v>0.13454313386997377</v>
      </c>
      <c r="Q63" s="18">
        <f>+Q60</f>
        <v>6621885161.1000004</v>
      </c>
      <c r="R63" s="396" t="s">
        <v>79</v>
      </c>
      <c r="S63" s="397">
        <f>+Q63/Q64</f>
        <v>0.20701291848020137</v>
      </c>
      <c r="T63" s="18">
        <f>+T60</f>
        <v>477534026.40000004</v>
      </c>
      <c r="U63" s="396" t="s">
        <v>79</v>
      </c>
      <c r="V63" s="397">
        <f>+T63/T64</f>
        <v>0.32264191288462168</v>
      </c>
    </row>
    <row r="64" spans="1:22" ht="16.5" thickTop="1" thickBot="1">
      <c r="A64" s="394"/>
      <c r="B64" s="395"/>
      <c r="C64" s="262" t="s">
        <v>92</v>
      </c>
      <c r="D64" s="262"/>
      <c r="E64" s="24">
        <f>+E52</f>
        <v>18308445342</v>
      </c>
      <c r="F64" s="398"/>
      <c r="G64" s="423"/>
      <c r="H64" s="24">
        <f>+H52</f>
        <v>1863099648.3</v>
      </c>
      <c r="I64" s="398"/>
      <c r="J64" s="399"/>
      <c r="K64" s="24">
        <f>+K52</f>
        <v>32223655530</v>
      </c>
      <c r="L64" s="398"/>
      <c r="M64" s="399"/>
      <c r="N64" s="24">
        <f>+N52</f>
        <v>7835909440.8999996</v>
      </c>
      <c r="O64" s="398"/>
      <c r="P64" s="399"/>
      <c r="Q64" s="24">
        <f>+Q52</f>
        <v>31987787089.400002</v>
      </c>
      <c r="R64" s="398"/>
      <c r="S64" s="399"/>
      <c r="T64" s="24">
        <f>+T52</f>
        <v>1480074371.4000001</v>
      </c>
      <c r="U64" s="398"/>
      <c r="V64" s="399"/>
    </row>
    <row r="66" spans="1:22" ht="15.75" thickBot="1"/>
    <row r="67" spans="1:22" ht="15" customHeight="1">
      <c r="E67" s="404" t="s">
        <v>26</v>
      </c>
      <c r="F67" s="405"/>
      <c r="G67" s="406"/>
      <c r="H67" s="404" t="s">
        <v>27</v>
      </c>
      <c r="I67" s="405"/>
      <c r="J67" s="406"/>
      <c r="K67" s="404" t="s">
        <v>97</v>
      </c>
      <c r="L67" s="405"/>
      <c r="M67" s="406"/>
      <c r="N67" s="413" t="s">
        <v>29</v>
      </c>
      <c r="O67" s="414"/>
      <c r="P67" s="415"/>
      <c r="Q67" s="404" t="s">
        <v>30</v>
      </c>
      <c r="R67" s="405"/>
      <c r="S67" s="406"/>
      <c r="T67" s="404" t="s">
        <v>31</v>
      </c>
      <c r="U67" s="405"/>
      <c r="V67" s="406"/>
    </row>
    <row r="68" spans="1:22">
      <c r="E68" s="407"/>
      <c r="F68" s="408"/>
      <c r="G68" s="409"/>
      <c r="H68" s="407"/>
      <c r="I68" s="408"/>
      <c r="J68" s="409"/>
      <c r="K68" s="407"/>
      <c r="L68" s="408"/>
      <c r="M68" s="409"/>
      <c r="N68" s="416"/>
      <c r="O68" s="417"/>
      <c r="P68" s="418"/>
      <c r="Q68" s="407"/>
      <c r="R68" s="408"/>
      <c r="S68" s="409"/>
      <c r="T68" s="407"/>
      <c r="U68" s="408"/>
      <c r="V68" s="409"/>
    </row>
    <row r="69" spans="1:22" ht="15.75" thickBot="1">
      <c r="E69" s="410"/>
      <c r="F69" s="411"/>
      <c r="G69" s="412"/>
      <c r="H69" s="410"/>
      <c r="I69" s="411"/>
      <c r="J69" s="412"/>
      <c r="K69" s="410"/>
      <c r="L69" s="411"/>
      <c r="M69" s="412"/>
      <c r="N69" s="419"/>
      <c r="O69" s="420"/>
      <c r="P69" s="421"/>
      <c r="Q69" s="410"/>
      <c r="R69" s="411"/>
      <c r="S69" s="412"/>
      <c r="T69" s="410"/>
      <c r="U69" s="411"/>
      <c r="V69" s="412"/>
    </row>
    <row r="70" spans="1:22" ht="15.75" thickBot="1">
      <c r="A70" s="394" t="s">
        <v>76</v>
      </c>
      <c r="B70" s="395" t="s">
        <v>77</v>
      </c>
      <c r="C70" s="17" t="s">
        <v>78</v>
      </c>
      <c r="E70" s="18">
        <f>+'[2]DETALLADA FINANCIERA CONSORCIOS'!M423</f>
        <v>2180770562.4000001</v>
      </c>
      <c r="F70" s="425" t="s">
        <v>79</v>
      </c>
      <c r="G70" s="426">
        <f>+E70/E71</f>
        <v>6.4990595755009641</v>
      </c>
      <c r="H70" s="18">
        <f>+'[2]DETALLADA FINANCIERA CONSORCIOS'!J446</f>
        <v>12923248451.200001</v>
      </c>
      <c r="I70" s="396" t="s">
        <v>79</v>
      </c>
      <c r="J70" s="403">
        <f>+H70/H71</f>
        <v>31.456058080166887</v>
      </c>
      <c r="K70" s="18">
        <f>+'[2]DETALLADA FINANCIERA CONSORCIOS'!M469</f>
        <v>1927790894.4000001</v>
      </c>
      <c r="L70" s="396" t="s">
        <v>79</v>
      </c>
      <c r="M70" s="403">
        <f>+K70/K71</f>
        <v>6.8483720543792588</v>
      </c>
      <c r="N70" s="18">
        <f>+'[2]DETALLADA FINANCIERA CONSORCIOS'!J491</f>
        <v>11685119260.5</v>
      </c>
      <c r="O70" s="396" t="s">
        <v>79</v>
      </c>
      <c r="P70" s="403">
        <f>+N70/N71</f>
        <v>7.1531194070723876</v>
      </c>
      <c r="Q70" s="18">
        <f>+'[2]DETALLADA FINANCIERA CONSORCIOS'!M514</f>
        <v>2217807340</v>
      </c>
      <c r="R70" s="396" t="s">
        <v>79</v>
      </c>
      <c r="S70" s="403">
        <f>+Q70/Q71</f>
        <v>9.8466112426382786</v>
      </c>
      <c r="T70" s="18">
        <f>+'[2]DETALLADA FINANCIERA CONSORCIOS'!J536</f>
        <v>10054903000</v>
      </c>
      <c r="U70" s="396" t="s">
        <v>79</v>
      </c>
      <c r="V70" s="403">
        <f>+T70/T71</f>
        <v>27.490642018628201</v>
      </c>
    </row>
    <row r="71" spans="1:22" ht="15.75" thickTop="1">
      <c r="A71" s="394"/>
      <c r="B71" s="395"/>
      <c r="C71" t="s">
        <v>80</v>
      </c>
      <c r="E71" s="19">
        <f>+'[2]DETALLADA FINANCIERA CONSORCIOS'!M424</f>
        <v>335551711.30000001</v>
      </c>
      <c r="F71" s="396"/>
      <c r="G71" s="403"/>
      <c r="H71" s="19">
        <f>+'[2]DETALLADA FINANCIERA CONSORCIOS'!J447</f>
        <v>410834962.79999995</v>
      </c>
      <c r="I71" s="396"/>
      <c r="J71" s="403"/>
      <c r="K71" s="19">
        <f>+'[2]DETALLADA FINANCIERA CONSORCIOS'!M470</f>
        <v>281496227</v>
      </c>
      <c r="L71" s="396"/>
      <c r="M71" s="403"/>
      <c r="N71" s="19">
        <f>+'[2]DETALLADA FINANCIERA CONSORCIOS'!J492</f>
        <v>1633569719.1000001</v>
      </c>
      <c r="O71" s="396"/>
      <c r="P71" s="403"/>
      <c r="Q71" s="19">
        <f>+'[2]DETALLADA FINANCIERA CONSORCIOS'!M515</f>
        <v>225235594.80000001</v>
      </c>
      <c r="R71" s="396"/>
      <c r="S71" s="403"/>
      <c r="T71" s="19">
        <f>+'[2]DETALLADA FINANCIERA CONSORCIOS'!J537</f>
        <v>365757300</v>
      </c>
      <c r="U71" s="396"/>
      <c r="V71" s="403"/>
    </row>
    <row r="72" spans="1:22">
      <c r="E72" s="19">
        <f>+'[2]DETALLADA FINANCIERA CONSORCIOS'!M425</f>
        <v>0</v>
      </c>
      <c r="H72" s="19">
        <f>+'[2]DETALLADA FINANCIERA CONSORCIOS'!J448</f>
        <v>0</v>
      </c>
      <c r="J72" s="22"/>
      <c r="K72" s="19">
        <f>+'[2]DETALLADA FINANCIERA CONSORCIOS'!M471</f>
        <v>0</v>
      </c>
      <c r="M72" s="22"/>
      <c r="N72" s="19">
        <f>+'[2]DETALLADA FINANCIERA CONSORCIOS'!J493</f>
        <v>0</v>
      </c>
      <c r="P72" s="22"/>
      <c r="Q72" s="19">
        <f>+'[2]DETALLADA FINANCIERA CONSORCIOS'!M516</f>
        <v>0</v>
      </c>
      <c r="R72" s="20"/>
      <c r="S72" s="22"/>
      <c r="T72" s="19"/>
      <c r="U72" s="20"/>
      <c r="V72" s="22"/>
    </row>
    <row r="73" spans="1:22" ht="15.75" thickBot="1">
      <c r="A73" s="394" t="s">
        <v>81</v>
      </c>
      <c r="B73" s="395" t="s">
        <v>77</v>
      </c>
      <c r="C73" s="23" t="s">
        <v>82</v>
      </c>
      <c r="D73" s="262"/>
      <c r="E73" s="18">
        <f>+'[2]DETALLADA FINANCIERA CONSORCIOS'!M426</f>
        <v>1151480792.1000001</v>
      </c>
      <c r="F73" s="396" t="s">
        <v>79</v>
      </c>
      <c r="G73" s="397">
        <f>+E73/E74</f>
        <v>0.52681812558526819</v>
      </c>
      <c r="H73" s="18">
        <f>+'[2]DETALLADA FINANCIERA CONSORCIOS'!J449</f>
        <v>1249571043.8999999</v>
      </c>
      <c r="I73" s="396" t="s">
        <v>79</v>
      </c>
      <c r="J73" s="397">
        <f>+H73/H74</f>
        <v>9.1971867014962017E-2</v>
      </c>
      <c r="K73" s="18">
        <f>+'[2]DETALLADA FINANCIERA CONSORCIOS'!M472</f>
        <v>284067267</v>
      </c>
      <c r="L73" s="396" t="s">
        <v>79</v>
      </c>
      <c r="M73" s="397">
        <f>+K73/K74</f>
        <v>0.10295366732022801</v>
      </c>
      <c r="N73" s="18">
        <f>+'[2]DETALLADA FINANCIERA CONSORCIOS'!J494</f>
        <v>3962055720.6000004</v>
      </c>
      <c r="O73" s="396" t="s">
        <v>79</v>
      </c>
      <c r="P73" s="397">
        <f>+N73/N74</f>
        <v>0.25150890752674676</v>
      </c>
      <c r="Q73" s="18">
        <f>+'[2]DETALLADA FINANCIERA CONSORCIOS'!M517</f>
        <v>514535723.60000002</v>
      </c>
      <c r="R73" s="396" t="s">
        <v>79</v>
      </c>
      <c r="S73" s="397">
        <f>+Q73/Q74</f>
        <v>0.16410964418439952</v>
      </c>
      <c r="T73" s="18">
        <f>+'[2]DETALLADA FINANCIERA CONSORCIOS'!J539</f>
        <v>5810778900</v>
      </c>
      <c r="U73" s="396" t="s">
        <v>79</v>
      </c>
      <c r="V73" s="397">
        <f>+T73/T74</f>
        <v>0.55879031477891694</v>
      </c>
    </row>
    <row r="74" spans="1:22" ht="15.75" thickTop="1">
      <c r="A74" s="394"/>
      <c r="B74" s="395"/>
      <c r="C74" s="262" t="s">
        <v>83</v>
      </c>
      <c r="D74" s="262"/>
      <c r="E74" s="19">
        <f>+'[2]DETALLADA FINANCIERA CONSORCIOS'!M427</f>
        <v>2185727362.4000001</v>
      </c>
      <c r="F74" s="396"/>
      <c r="G74" s="397"/>
      <c r="H74" s="19">
        <f>+'[2]DETALLADA FINANCIERA CONSORCIOS'!J450</f>
        <v>13586448600.599998</v>
      </c>
      <c r="I74" s="396"/>
      <c r="J74" s="397"/>
      <c r="K74" s="19">
        <f>+'[2]DETALLADA FINANCIERA CONSORCIOS'!M473</f>
        <v>2759175796.1999998</v>
      </c>
      <c r="L74" s="396"/>
      <c r="M74" s="397"/>
      <c r="N74" s="19">
        <f>+'[2]DETALLADA FINANCIERA CONSORCIOS'!J495</f>
        <v>15753142739.799999</v>
      </c>
      <c r="O74" s="396"/>
      <c r="P74" s="397"/>
      <c r="Q74" s="19">
        <f>+'[2]DETALLADA FINANCIERA CONSORCIOS'!M518</f>
        <v>3135316794.8000002</v>
      </c>
      <c r="R74" s="396"/>
      <c r="S74" s="397"/>
      <c r="T74" s="19">
        <f>+'[2]DETALLADA FINANCIERA CONSORCIOS'!J540</f>
        <v>10398854000</v>
      </c>
      <c r="U74" s="396"/>
      <c r="V74" s="397"/>
    </row>
    <row r="75" spans="1:22">
      <c r="E75" s="19"/>
      <c r="H75" s="19"/>
      <c r="J75" s="22"/>
      <c r="K75" s="19"/>
      <c r="M75" s="22"/>
      <c r="N75" s="19"/>
      <c r="P75" s="22"/>
      <c r="Q75" s="19"/>
      <c r="R75" s="20"/>
      <c r="S75" s="22"/>
      <c r="T75" s="19"/>
      <c r="U75" s="20"/>
      <c r="V75" s="22"/>
    </row>
    <row r="76" spans="1:22">
      <c r="A76" s="394" t="s">
        <v>84</v>
      </c>
      <c r="C76" s="400" t="s">
        <v>85</v>
      </c>
      <c r="E76" s="401"/>
      <c r="F76" s="396">
        <f>+'[2]DETALLADA FINANCIERA CONSORCIOS'!N429</f>
        <v>4480892363</v>
      </c>
      <c r="G76" s="402"/>
      <c r="H76" s="401"/>
      <c r="I76" s="396">
        <f>+'[2]DETALLADA FINANCIERA CONSORCIOS'!J452</f>
        <v>22678883004</v>
      </c>
      <c r="J76" s="402"/>
      <c r="K76" s="401"/>
      <c r="L76" s="396">
        <f>+'[2]DETALLADA FINANCIERA CONSORCIOS'!N475</f>
        <v>4927582106</v>
      </c>
      <c r="M76" s="402"/>
      <c r="N76" s="401"/>
      <c r="O76" s="396">
        <f>+'[2]DETALLADA FINANCIERA CONSORCIOS'!K497</f>
        <v>12107953398</v>
      </c>
      <c r="P76" s="402"/>
      <c r="Q76" s="401"/>
      <c r="R76" s="396">
        <f>+'[2]DETALLADA FINANCIERA CONSORCIOS'!N520</f>
        <v>7382655170</v>
      </c>
      <c r="S76" s="402"/>
      <c r="T76" s="401"/>
      <c r="U76" s="396">
        <f>+'[2]DETALLADA FINANCIERA CONSORCIOS'!K542</f>
        <v>11350737000</v>
      </c>
      <c r="V76" s="402"/>
    </row>
    <row r="77" spans="1:22">
      <c r="A77" s="394"/>
      <c r="C77" s="400"/>
      <c r="E77" s="401"/>
      <c r="F77" s="396"/>
      <c r="G77" s="402"/>
      <c r="H77" s="401"/>
      <c r="I77" s="396"/>
      <c r="J77" s="402"/>
      <c r="K77" s="401"/>
      <c r="L77" s="396"/>
      <c r="M77" s="402"/>
      <c r="N77" s="401"/>
      <c r="O77" s="396"/>
      <c r="P77" s="402"/>
      <c r="Q77" s="401"/>
      <c r="R77" s="396"/>
      <c r="S77" s="402"/>
      <c r="T77" s="401"/>
      <c r="U77" s="396"/>
      <c r="V77" s="402"/>
    </row>
    <row r="78" spans="1:22">
      <c r="E78" s="19"/>
      <c r="H78" s="19"/>
      <c r="J78" s="22"/>
      <c r="K78" s="19"/>
      <c r="M78" s="22"/>
      <c r="N78" s="19"/>
      <c r="P78" s="22"/>
      <c r="Q78" s="19"/>
      <c r="R78" s="20"/>
      <c r="S78" s="22"/>
      <c r="T78" s="19"/>
      <c r="U78" s="20"/>
      <c r="V78" s="22"/>
    </row>
    <row r="79" spans="1:22" ht="15.75" thickBot="1">
      <c r="A79" s="394" t="s">
        <v>86</v>
      </c>
      <c r="B79" s="395" t="s">
        <v>77</v>
      </c>
      <c r="C79" s="17" t="s">
        <v>87</v>
      </c>
      <c r="E79" s="18">
        <f>+'[2]DETALLADA FINANCIERA CONSORCIOS'!M431</f>
        <v>244858125</v>
      </c>
      <c r="F79" s="396" t="s">
        <v>79</v>
      </c>
      <c r="G79" s="424">
        <f>+E79/E80</f>
        <v>17.826190905289646</v>
      </c>
      <c r="H79" s="18">
        <f>+'[2]DETALLADA FINANCIERA CONSORCIOS'!J454</f>
        <v>562759665.0999999</v>
      </c>
      <c r="I79" s="396" t="s">
        <v>79</v>
      </c>
      <c r="J79" s="403">
        <f>+H79/H80</f>
        <v>8773.7216170498032</v>
      </c>
      <c r="K79" s="18">
        <f>+'[2]DETALLADA FINANCIERA CONSORCIOS'!M477</f>
        <v>584204990.20000005</v>
      </c>
      <c r="L79" s="396" t="s">
        <v>79</v>
      </c>
      <c r="M79" s="403">
        <f>+K79/K80</f>
        <v>17.812562747433045</v>
      </c>
      <c r="N79" s="18">
        <f>+'[2]DETALLADA FINANCIERA CONSORCIOS'!J499</f>
        <v>4621126400.8000002</v>
      </c>
      <c r="O79" s="396" t="s">
        <v>79</v>
      </c>
      <c r="P79" s="403">
        <f>+N79/N80</f>
        <v>58.81633736973432</v>
      </c>
      <c r="Q79" s="18">
        <f>+'[2]DETALLADA FINANCIERA CONSORCIOS'!M522</f>
        <v>271295380.39999998</v>
      </c>
      <c r="R79" s="396" t="s">
        <v>79</v>
      </c>
      <c r="S79" s="403">
        <f>+Q79/Q80</f>
        <v>3.7075386989174874</v>
      </c>
      <c r="T79" s="18">
        <f>+'[2]DETALLADA FINANCIERA CONSORCIOS'!J544</f>
        <v>2249764800</v>
      </c>
      <c r="U79" s="396" t="s">
        <v>79</v>
      </c>
      <c r="V79" s="403">
        <f>+T79/T80</f>
        <v>193.39839075716938</v>
      </c>
    </row>
    <row r="80" spans="1:22" ht="15.75" thickTop="1">
      <c r="A80" s="394"/>
      <c r="B80" s="395"/>
      <c r="C80" t="s">
        <v>88</v>
      </c>
      <c r="E80" s="19">
        <f>+'[2]DETALLADA FINANCIERA CONSORCIOS'!M432</f>
        <v>13735863.5</v>
      </c>
      <c r="F80" s="396"/>
      <c r="G80" s="424"/>
      <c r="H80" s="19">
        <f>+'[2]DETALLADA FINANCIERA CONSORCIOS'!J455</f>
        <v>64141.5</v>
      </c>
      <c r="I80" s="396"/>
      <c r="J80" s="403"/>
      <c r="K80" s="19">
        <f>+'[2]DETALLADA FINANCIERA CONSORCIOS'!M478</f>
        <v>32797357.600000001</v>
      </c>
      <c r="L80" s="396"/>
      <c r="M80" s="403"/>
      <c r="N80" s="19">
        <f>+'[2]DETALLADA FINANCIERA CONSORCIOS'!J500</f>
        <v>78568755</v>
      </c>
      <c r="O80" s="396"/>
      <c r="P80" s="403"/>
      <c r="Q80" s="19">
        <f>+'[2]DETALLADA FINANCIERA CONSORCIOS'!M523</f>
        <v>73173984.799999997</v>
      </c>
      <c r="R80" s="396"/>
      <c r="S80" s="403"/>
      <c r="T80" s="19">
        <f>+'[2]DETALLADA FINANCIERA CONSORCIOS'!J545</f>
        <v>11632800</v>
      </c>
      <c r="U80" s="396"/>
      <c r="V80" s="403"/>
    </row>
    <row r="81" spans="1:22">
      <c r="E81" s="19"/>
      <c r="H81" s="19"/>
      <c r="J81" s="22"/>
      <c r="K81" s="19"/>
      <c r="M81" s="22"/>
      <c r="N81" s="19"/>
      <c r="P81" s="22"/>
      <c r="Q81" s="19"/>
      <c r="R81" s="20"/>
      <c r="S81" s="22"/>
      <c r="T81" s="19"/>
      <c r="U81" s="20"/>
      <c r="V81" s="22"/>
    </row>
    <row r="82" spans="1:22" ht="15.75" thickBot="1">
      <c r="A82" s="394" t="s">
        <v>89</v>
      </c>
      <c r="B82" s="395" t="s">
        <v>77</v>
      </c>
      <c r="C82" s="23" t="s">
        <v>87</v>
      </c>
      <c r="D82" s="262"/>
      <c r="E82" s="18">
        <f>+E79</f>
        <v>244858125</v>
      </c>
      <c r="F82" s="396" t="s">
        <v>79</v>
      </c>
      <c r="G82" s="422">
        <f>+E82/E83</f>
        <v>0.2367502412205002</v>
      </c>
      <c r="H82" s="18">
        <f>+H79</f>
        <v>562759665.0999999</v>
      </c>
      <c r="I82" s="396" t="s">
        <v>79</v>
      </c>
      <c r="J82" s="397">
        <f>+H82/H83</f>
        <v>4.5616053374410964E-2</v>
      </c>
      <c r="K82" s="18">
        <f>+K79</f>
        <v>584204990.20000005</v>
      </c>
      <c r="L82" s="396" t="s">
        <v>79</v>
      </c>
      <c r="M82" s="397">
        <f>+K82/K83</f>
        <v>0.23603207023363365</v>
      </c>
      <c r="N82" s="18">
        <f>+N79</f>
        <v>4621126400.8000002</v>
      </c>
      <c r="O82" s="396" t="s">
        <v>79</v>
      </c>
      <c r="P82" s="397">
        <f>+N82/N83</f>
        <v>0.39191691090695846</v>
      </c>
      <c r="Q82" s="18">
        <f>+Q79</f>
        <v>271295380.39999998</v>
      </c>
      <c r="R82" s="396" t="s">
        <v>79</v>
      </c>
      <c r="S82" s="397">
        <f>+Q82/Q83</f>
        <v>0.10351699475446056</v>
      </c>
      <c r="T82" s="18">
        <f>+T79</f>
        <v>2249764800</v>
      </c>
      <c r="U82" s="396" t="s">
        <v>79</v>
      </c>
      <c r="V82" s="397">
        <f>+T82/T83</f>
        <v>0.49035047399289516</v>
      </c>
    </row>
    <row r="83" spans="1:22" ht="15.75" thickTop="1">
      <c r="A83" s="394"/>
      <c r="B83" s="395"/>
      <c r="C83" s="262" t="s">
        <v>90</v>
      </c>
      <c r="D83" s="262"/>
      <c r="E83" s="19">
        <f>+E74-E73</f>
        <v>1034246570.3</v>
      </c>
      <c r="F83" s="396"/>
      <c r="G83" s="422"/>
      <c r="H83" s="19">
        <f>+H74-H73</f>
        <v>12336877556.699999</v>
      </c>
      <c r="I83" s="396"/>
      <c r="J83" s="397"/>
      <c r="K83" s="19">
        <f>+K74-K73</f>
        <v>2475108529.1999998</v>
      </c>
      <c r="L83" s="396"/>
      <c r="M83" s="397"/>
      <c r="N83" s="19">
        <f>+N74-N73</f>
        <v>11791087019.199999</v>
      </c>
      <c r="O83" s="396"/>
      <c r="P83" s="397"/>
      <c r="Q83" s="19">
        <f>+Q74-Q73</f>
        <v>2620781071.2000003</v>
      </c>
      <c r="R83" s="396"/>
      <c r="S83" s="397"/>
      <c r="T83" s="19">
        <f>+T74-T73</f>
        <v>4588075100</v>
      </c>
      <c r="U83" s="396"/>
      <c r="V83" s="397"/>
    </row>
    <row r="84" spans="1:22">
      <c r="E84" s="19"/>
      <c r="H84" s="19"/>
      <c r="J84" s="22"/>
      <c r="K84" s="19"/>
      <c r="M84" s="22"/>
      <c r="N84" s="19"/>
      <c r="P84" s="22"/>
      <c r="Q84" s="19"/>
      <c r="R84" s="20"/>
      <c r="S84" s="22"/>
      <c r="T84" s="19"/>
      <c r="U84" s="20"/>
      <c r="V84" s="22"/>
    </row>
    <row r="85" spans="1:22" ht="15.75" thickBot="1">
      <c r="A85" s="394" t="s">
        <v>91</v>
      </c>
      <c r="B85" s="395" t="s">
        <v>77</v>
      </c>
      <c r="C85" s="23" t="s">
        <v>87</v>
      </c>
      <c r="D85" s="262"/>
      <c r="E85" s="18">
        <f>+E82</f>
        <v>244858125</v>
      </c>
      <c r="F85" s="396" t="s">
        <v>79</v>
      </c>
      <c r="G85" s="422">
        <f>+E85/E86</f>
        <v>0.1120259229088562</v>
      </c>
      <c r="H85" s="18">
        <f>+H82</f>
        <v>562759665.0999999</v>
      </c>
      <c r="I85" s="396" t="s">
        <v>79</v>
      </c>
      <c r="J85" s="397">
        <f>+H85/H86</f>
        <v>4.1420659779712231E-2</v>
      </c>
      <c r="K85" s="18">
        <f>+K82</f>
        <v>584204990.20000005</v>
      </c>
      <c r="L85" s="396" t="s">
        <v>79</v>
      </c>
      <c r="M85" s="397">
        <f>+K85/K86</f>
        <v>0.21173170299789545</v>
      </c>
      <c r="N85" s="18">
        <f>+N82</f>
        <v>4621126400.8000002</v>
      </c>
      <c r="O85" s="396" t="s">
        <v>79</v>
      </c>
      <c r="P85" s="397">
        <f>+N85/N86</f>
        <v>0.29334631680349199</v>
      </c>
      <c r="Q85" s="18">
        <f>+Q82</f>
        <v>271295380.39999998</v>
      </c>
      <c r="R85" s="396" t="s">
        <v>79</v>
      </c>
      <c r="S85" s="397">
        <f>+Q85/Q86</f>
        <v>8.6528857578267698E-2</v>
      </c>
      <c r="T85" s="18">
        <f>+T82</f>
        <v>2249764800</v>
      </c>
      <c r="U85" s="396" t="s">
        <v>79</v>
      </c>
      <c r="V85" s="397">
        <f>+T85/T86</f>
        <v>0.21634737827841413</v>
      </c>
    </row>
    <row r="86" spans="1:22" ht="16.5" thickTop="1" thickBot="1">
      <c r="A86" s="394"/>
      <c r="B86" s="395"/>
      <c r="C86" s="262" t="s">
        <v>92</v>
      </c>
      <c r="D86" s="262"/>
      <c r="E86" s="24">
        <f>+E74</f>
        <v>2185727362.4000001</v>
      </c>
      <c r="F86" s="398"/>
      <c r="G86" s="423"/>
      <c r="H86" s="24">
        <f>+H74</f>
        <v>13586448600.599998</v>
      </c>
      <c r="I86" s="398"/>
      <c r="J86" s="399"/>
      <c r="K86" s="24">
        <f>+K74</f>
        <v>2759175796.1999998</v>
      </c>
      <c r="L86" s="398"/>
      <c r="M86" s="399"/>
      <c r="N86" s="24">
        <f>+N74</f>
        <v>15753142739.799999</v>
      </c>
      <c r="O86" s="398"/>
      <c r="P86" s="399"/>
      <c r="Q86" s="24">
        <f>+Q74</f>
        <v>3135316794.8000002</v>
      </c>
      <c r="R86" s="398"/>
      <c r="S86" s="399"/>
      <c r="T86" s="24">
        <f>+T74</f>
        <v>10398854000</v>
      </c>
      <c r="U86" s="398"/>
      <c r="V86" s="399"/>
    </row>
    <row r="88" spans="1:22" ht="15.75" thickBot="1"/>
    <row r="89" spans="1:22">
      <c r="E89" s="413" t="s">
        <v>32</v>
      </c>
      <c r="F89" s="414"/>
      <c r="G89" s="415"/>
      <c r="H89" s="404" t="s">
        <v>33</v>
      </c>
      <c r="I89" s="405"/>
      <c r="J89" s="406"/>
      <c r="K89" s="404" t="s">
        <v>34</v>
      </c>
      <c r="L89" s="405"/>
      <c r="M89" s="406"/>
      <c r="N89" s="413" t="s">
        <v>98</v>
      </c>
      <c r="O89" s="414"/>
      <c r="P89" s="415"/>
      <c r="Q89" s="413" t="s">
        <v>36</v>
      </c>
      <c r="R89" s="414"/>
      <c r="S89" s="415"/>
      <c r="T89" s="404" t="s">
        <v>37</v>
      </c>
      <c r="U89" s="405"/>
      <c r="V89" s="406"/>
    </row>
    <row r="90" spans="1:22">
      <c r="E90" s="416"/>
      <c r="F90" s="417"/>
      <c r="G90" s="418"/>
      <c r="H90" s="407"/>
      <c r="I90" s="408"/>
      <c r="J90" s="409"/>
      <c r="K90" s="407"/>
      <c r="L90" s="408"/>
      <c r="M90" s="409"/>
      <c r="N90" s="416"/>
      <c r="O90" s="417"/>
      <c r="P90" s="418"/>
      <c r="Q90" s="416"/>
      <c r="R90" s="417"/>
      <c r="S90" s="418"/>
      <c r="T90" s="407"/>
      <c r="U90" s="408"/>
      <c r="V90" s="409"/>
    </row>
    <row r="91" spans="1:22" ht="37.5" customHeight="1" thickBot="1">
      <c r="E91" s="419"/>
      <c r="F91" s="420"/>
      <c r="G91" s="421"/>
      <c r="H91" s="410"/>
      <c r="I91" s="411"/>
      <c r="J91" s="412"/>
      <c r="K91" s="410"/>
      <c r="L91" s="411"/>
      <c r="M91" s="412"/>
      <c r="N91" s="419"/>
      <c r="O91" s="420"/>
      <c r="P91" s="421"/>
      <c r="Q91" s="419"/>
      <c r="R91" s="420"/>
      <c r="S91" s="421"/>
      <c r="T91" s="410"/>
      <c r="U91" s="411"/>
      <c r="V91" s="412"/>
    </row>
    <row r="92" spans="1:22" ht="15.75" thickBot="1">
      <c r="A92" s="394" t="s">
        <v>76</v>
      </c>
      <c r="B92" s="395" t="s">
        <v>77</v>
      </c>
      <c r="C92" s="17" t="s">
        <v>78</v>
      </c>
      <c r="E92" s="18">
        <f>+'[2]DETALLADA FINANCIERA CONSORCIOS'!J559</f>
        <v>4239752550.6000004</v>
      </c>
      <c r="F92" s="396" t="s">
        <v>79</v>
      </c>
      <c r="G92" s="424">
        <f>+E92/E93</f>
        <v>3.2703670079457536</v>
      </c>
      <c r="H92" s="18">
        <f>+'[2]DETALLADA FINANCIERA CONSORCIOS'!J582</f>
        <v>15065226126.18</v>
      </c>
      <c r="I92" s="396" t="s">
        <v>79</v>
      </c>
      <c r="J92" s="403">
        <f>+H92/H93</f>
        <v>9.5625923909165884</v>
      </c>
      <c r="K92" s="18">
        <f>+'[2]DETALLADA FINANCIERA CONSORCIOS'!J605</f>
        <v>13155880997.4</v>
      </c>
      <c r="L92" s="396" t="s">
        <v>79</v>
      </c>
      <c r="M92" s="403">
        <f>+K92/K93</f>
        <v>17.478430551258857</v>
      </c>
      <c r="N92" s="18">
        <v>13012029016</v>
      </c>
      <c r="O92" s="396" t="s">
        <v>79</v>
      </c>
      <c r="P92" s="403">
        <f>+N92/N93</f>
        <v>12.074657489026901</v>
      </c>
      <c r="Q92" s="18">
        <f>+'[2]DETALLADA FINANCIERA CONSORCIOS'!J628</f>
        <v>14922988249.5</v>
      </c>
      <c r="R92" s="396" t="s">
        <v>79</v>
      </c>
      <c r="S92" s="403">
        <f>+Q92/Q93</f>
        <v>5.0016325650902562</v>
      </c>
      <c r="T92" s="18">
        <f>+'[2]DETALLADA FINANCIERA CONSORCIOS'!M651</f>
        <v>7539926353.8999996</v>
      </c>
      <c r="U92" s="396" t="s">
        <v>79</v>
      </c>
      <c r="V92" s="403">
        <f>+T92/T93</f>
        <v>4.5325823151041789</v>
      </c>
    </row>
    <row r="93" spans="1:22" ht="15.75" thickTop="1">
      <c r="A93" s="394"/>
      <c r="B93" s="395"/>
      <c r="C93" t="s">
        <v>80</v>
      </c>
      <c r="E93" s="19">
        <f>+'[2]DETALLADA FINANCIERA CONSORCIOS'!J560</f>
        <v>1296414910.1000001</v>
      </c>
      <c r="F93" s="396"/>
      <c r="G93" s="424"/>
      <c r="H93" s="19">
        <f>+'[2]DETALLADA FINANCIERA CONSORCIOS'!J583</f>
        <v>1575433262.27</v>
      </c>
      <c r="I93" s="396"/>
      <c r="J93" s="403"/>
      <c r="K93" s="19">
        <f>+'[2]DETALLADA FINANCIERA CONSORCIOS'!J606</f>
        <v>752692351.80000007</v>
      </c>
      <c r="L93" s="396"/>
      <c r="M93" s="403"/>
      <c r="N93" s="19">
        <v>1077631314</v>
      </c>
      <c r="O93" s="396"/>
      <c r="P93" s="403"/>
      <c r="Q93" s="19">
        <f>+'[2]DETALLADA FINANCIERA CONSORCIOS'!J629</f>
        <v>2983623458</v>
      </c>
      <c r="R93" s="396"/>
      <c r="S93" s="403"/>
      <c r="T93" s="19">
        <f>+'[2]DETALLADA FINANCIERA CONSORCIOS'!M652</f>
        <v>1663494632.8</v>
      </c>
      <c r="U93" s="396"/>
      <c r="V93" s="403"/>
    </row>
    <row r="94" spans="1:22">
      <c r="E94" s="19">
        <f>+'[2]DETALLADA FINANCIERA CONSORCIOS'!J561</f>
        <v>0</v>
      </c>
      <c r="H94" s="19">
        <f>+'[2]DETALLADA FINANCIERA CONSORCIOS'!J584</f>
        <v>0</v>
      </c>
      <c r="J94" s="22"/>
      <c r="K94" s="19">
        <f>+'[2]DETALLADA FINANCIERA CONSORCIOS'!J607</f>
        <v>0</v>
      </c>
      <c r="M94" s="22"/>
      <c r="N94" s="19"/>
      <c r="P94" s="22"/>
      <c r="Q94" s="19">
        <f>+'[2]DETALLADA FINANCIERA CONSORCIOS'!J630</f>
        <v>0</v>
      </c>
      <c r="R94" s="20"/>
      <c r="S94" s="22"/>
      <c r="T94" s="19">
        <f>+'[2]DETALLADA FINANCIERA CONSORCIOS'!M653</f>
        <v>0</v>
      </c>
      <c r="U94" s="20"/>
      <c r="V94" s="22"/>
    </row>
    <row r="95" spans="1:22" ht="15.75" thickBot="1">
      <c r="A95" s="394" t="s">
        <v>81</v>
      </c>
      <c r="B95" s="395" t="s">
        <v>77</v>
      </c>
      <c r="C95" s="23" t="s">
        <v>82</v>
      </c>
      <c r="D95" s="262"/>
      <c r="E95" s="18">
        <f>+'[2]DETALLADA FINANCIERA CONSORCIOS'!J562</f>
        <v>1516163037.3000002</v>
      </c>
      <c r="F95" s="396" t="s">
        <v>79</v>
      </c>
      <c r="G95" s="422">
        <f>+E95/E96</f>
        <v>0.33563840917738852</v>
      </c>
      <c r="H95" s="18">
        <f>+'[2]DETALLADA FINANCIERA CONSORCIOS'!J585</f>
        <v>1647626790.1399999</v>
      </c>
      <c r="I95" s="396" t="s">
        <v>79</v>
      </c>
      <c r="J95" s="397">
        <f>+H95/H96</f>
        <v>9.6422625675220322E-2</v>
      </c>
      <c r="K95" s="18">
        <f>+'[2]DETALLADA FINANCIERA CONSORCIOS'!J608</f>
        <v>4985425048.8000002</v>
      </c>
      <c r="L95" s="396" t="s">
        <v>79</v>
      </c>
      <c r="M95" s="397">
        <f>+K95/K96</f>
        <v>0.33224011025398997</v>
      </c>
      <c r="N95" s="18">
        <v>2823527614</v>
      </c>
      <c r="O95" s="396" t="s">
        <v>79</v>
      </c>
      <c r="P95" s="397">
        <f>+N95/N96</f>
        <v>0.18093108915916306</v>
      </c>
      <c r="Q95" s="18">
        <f>+'[2]DETALLADA FINANCIERA CONSORCIOS'!J631</f>
        <v>5072197723.5</v>
      </c>
      <c r="R95" s="396" t="s">
        <v>79</v>
      </c>
      <c r="S95" s="397">
        <f>+Q95/Q96</f>
        <v>0.29662181229425288</v>
      </c>
      <c r="T95" s="18">
        <f>+'[2]DETALLADA FINANCIERA CONSORCIOS'!M654</f>
        <v>1815731701.9000001</v>
      </c>
      <c r="U95" s="396" t="s">
        <v>79</v>
      </c>
      <c r="V95" s="397">
        <f>+T95/T96</f>
        <v>0.22996950339395547</v>
      </c>
    </row>
    <row r="96" spans="1:22" ht="15.75" thickTop="1">
      <c r="A96" s="394"/>
      <c r="B96" s="395"/>
      <c r="C96" s="262" t="s">
        <v>83</v>
      </c>
      <c r="D96" s="262"/>
      <c r="E96" s="19">
        <f>+'[2]DETALLADA FINANCIERA CONSORCIOS'!J563</f>
        <v>4517251291.4000006</v>
      </c>
      <c r="F96" s="396"/>
      <c r="G96" s="422"/>
      <c r="H96" s="19">
        <f>+'[2]DETALLADA FINANCIERA CONSORCIOS'!J586</f>
        <v>17087553658.719999</v>
      </c>
      <c r="I96" s="396"/>
      <c r="J96" s="397"/>
      <c r="K96" s="19">
        <f>+'[2]DETALLADA FINANCIERA CONSORCIOS'!J609</f>
        <v>15005488184.400002</v>
      </c>
      <c r="L96" s="396"/>
      <c r="M96" s="397"/>
      <c r="N96" s="19">
        <v>15605541464</v>
      </c>
      <c r="O96" s="396"/>
      <c r="P96" s="397"/>
      <c r="Q96" s="19">
        <f>+'[2]DETALLADA FINANCIERA CONSORCIOS'!J632</f>
        <v>17099881105.4</v>
      </c>
      <c r="R96" s="396"/>
      <c r="S96" s="397"/>
      <c r="T96" s="19">
        <f>+'[2]DETALLADA FINANCIERA CONSORCIOS'!M655</f>
        <v>7895532560.2000008</v>
      </c>
      <c r="U96" s="396"/>
      <c r="V96" s="397"/>
    </row>
    <row r="97" spans="1:22">
      <c r="E97" s="19"/>
      <c r="H97" s="19"/>
      <c r="J97" s="22"/>
      <c r="K97" s="19"/>
      <c r="M97" s="22"/>
      <c r="N97" s="19"/>
      <c r="P97" s="22"/>
      <c r="Q97" s="19"/>
      <c r="R97" s="20"/>
      <c r="S97" s="22"/>
      <c r="T97" s="19"/>
      <c r="U97" s="20"/>
      <c r="V97" s="22"/>
    </row>
    <row r="98" spans="1:22">
      <c r="A98" s="394" t="s">
        <v>84</v>
      </c>
      <c r="C98" s="400" t="s">
        <v>85</v>
      </c>
      <c r="E98" s="401"/>
      <c r="F98" s="396">
        <f>+'[2]DETALLADA FINANCIERA CONSORCIOS'!K565</f>
        <v>19520846997</v>
      </c>
      <c r="G98" s="402"/>
      <c r="H98" s="401"/>
      <c r="I98" s="396">
        <f>+'[2]DETALLADA FINANCIERA CONSORCIOS'!K588</f>
        <v>26495687151</v>
      </c>
      <c r="J98" s="402"/>
      <c r="K98" s="401"/>
      <c r="L98" s="396">
        <f>+'[2]DETALLADA FINANCIERA CONSORCIOS'!K611</f>
        <v>24045900964</v>
      </c>
      <c r="M98" s="402"/>
      <c r="N98" s="401"/>
      <c r="O98" s="396">
        <f>+N92-N93</f>
        <v>11934397702</v>
      </c>
      <c r="P98" s="402"/>
      <c r="Q98" s="401"/>
      <c r="R98" s="396">
        <f>+'[2]DETALLADA FINANCIERA CONSORCIOS'!K634</f>
        <v>13698257091</v>
      </c>
      <c r="S98" s="402"/>
      <c r="T98" s="401"/>
      <c r="U98" s="396">
        <f>+'[2]DETALLADA FINANCIERA CONSORCIOS'!N657</f>
        <v>49004714659</v>
      </c>
      <c r="V98" s="402"/>
    </row>
    <row r="99" spans="1:22">
      <c r="A99" s="394"/>
      <c r="C99" s="400"/>
      <c r="E99" s="401"/>
      <c r="F99" s="396"/>
      <c r="G99" s="402"/>
      <c r="H99" s="401"/>
      <c r="I99" s="396"/>
      <c r="J99" s="402"/>
      <c r="K99" s="401"/>
      <c r="L99" s="396"/>
      <c r="M99" s="402"/>
      <c r="N99" s="401"/>
      <c r="O99" s="396"/>
      <c r="P99" s="402"/>
      <c r="Q99" s="401"/>
      <c r="R99" s="396"/>
      <c r="S99" s="402"/>
      <c r="T99" s="401"/>
      <c r="U99" s="396"/>
      <c r="V99" s="402"/>
    </row>
    <row r="100" spans="1:22">
      <c r="E100" s="19"/>
      <c r="H100" s="19"/>
      <c r="J100" s="22"/>
      <c r="K100" s="19"/>
      <c r="M100" s="22"/>
      <c r="N100" s="19"/>
      <c r="P100" s="22"/>
      <c r="Q100" s="19"/>
      <c r="R100" s="20"/>
      <c r="S100" s="22"/>
      <c r="T100" s="19"/>
      <c r="U100" s="20"/>
      <c r="V100" s="22"/>
    </row>
    <row r="101" spans="1:22" ht="15.75" thickBot="1">
      <c r="A101" s="394" t="s">
        <v>86</v>
      </c>
      <c r="B101" s="395" t="s">
        <v>77</v>
      </c>
      <c r="C101" s="17" t="s">
        <v>87</v>
      </c>
      <c r="E101" s="18">
        <f>+'[2]DETALLADA FINANCIERA CONSORCIOS'!J567</f>
        <v>2512449381.1999998</v>
      </c>
      <c r="F101" s="396" t="s">
        <v>79</v>
      </c>
      <c r="G101" s="424">
        <f>+E101/E102</f>
        <v>15.192644308363283</v>
      </c>
      <c r="H101" s="18">
        <f>+'[2]DETALLADA FINANCIERA CONSORCIOS'!J590</f>
        <v>1653472057.4699998</v>
      </c>
      <c r="I101" s="396" t="s">
        <v>79</v>
      </c>
      <c r="J101" s="403">
        <f>+H101/H102</f>
        <v>57.527837973608719</v>
      </c>
      <c r="K101" s="18">
        <f>+'[2]DETALLADA FINANCIERA CONSORCIOS'!J613</f>
        <v>1628507691.2</v>
      </c>
      <c r="L101" s="396" t="s">
        <v>79</v>
      </c>
      <c r="M101" s="403">
        <f>+K101/K102</f>
        <v>19.51760549093699</v>
      </c>
      <c r="N101" s="18">
        <v>2784127999</v>
      </c>
      <c r="O101" s="396" t="s">
        <v>79</v>
      </c>
      <c r="P101" s="403">
        <f>+N101/N102</f>
        <v>76.177032181319049</v>
      </c>
      <c r="Q101" s="18">
        <f>+'[2]DETALLADA FINANCIERA CONSORCIOS'!J636</f>
        <v>6238570848.8000002</v>
      </c>
      <c r="R101" s="396" t="s">
        <v>79</v>
      </c>
      <c r="S101" s="403">
        <f>+Q101/Q102</f>
        <v>69.41269426210043</v>
      </c>
      <c r="T101" s="18">
        <f>+'[2]DETALLADA FINANCIERA CONSORCIOS'!M659</f>
        <v>2694134035.5999999</v>
      </c>
      <c r="U101" s="396" t="s">
        <v>79</v>
      </c>
      <c r="V101" s="403">
        <f>+T101/T102</f>
        <v>346.54197139308434</v>
      </c>
    </row>
    <row r="102" spans="1:22" ht="15.75" thickTop="1">
      <c r="A102" s="394"/>
      <c r="B102" s="395"/>
      <c r="C102" t="s">
        <v>88</v>
      </c>
      <c r="E102" s="19">
        <f>+'[2]DETALLADA FINANCIERA CONSORCIOS'!J568</f>
        <v>165372750.80000001</v>
      </c>
      <c r="F102" s="396"/>
      <c r="G102" s="424"/>
      <c r="H102" s="19">
        <f>+'[2]DETALLADA FINANCIERA CONSORCIOS'!J591</f>
        <v>28742120.609999999</v>
      </c>
      <c r="I102" s="396"/>
      <c r="J102" s="403"/>
      <c r="K102" s="19">
        <f>+'[2]DETALLADA FINANCIERA CONSORCIOS'!J614</f>
        <v>83437883.399999991</v>
      </c>
      <c r="L102" s="396"/>
      <c r="M102" s="403"/>
      <c r="N102" s="19">
        <v>36548129</v>
      </c>
      <c r="O102" s="396"/>
      <c r="P102" s="403"/>
      <c r="Q102" s="19">
        <f>+'[2]DETALLADA FINANCIERA CONSORCIOS'!J637</f>
        <v>89876512</v>
      </c>
      <c r="R102" s="396"/>
      <c r="S102" s="403"/>
      <c r="T102" s="19">
        <f>+'[2]DETALLADA FINANCIERA CONSORCIOS'!M660</f>
        <v>7774336.9000000004</v>
      </c>
      <c r="U102" s="396"/>
      <c r="V102" s="403"/>
    </row>
    <row r="103" spans="1:22">
      <c r="E103" s="19"/>
      <c r="H103" s="19"/>
      <c r="J103" s="22"/>
      <c r="K103" s="19"/>
      <c r="M103" s="22"/>
      <c r="N103" s="19"/>
      <c r="P103" s="22"/>
      <c r="Q103" s="19"/>
      <c r="R103" s="20"/>
      <c r="S103" s="22"/>
      <c r="T103" s="19"/>
      <c r="U103" s="20"/>
      <c r="V103" s="22"/>
    </row>
    <row r="104" spans="1:22" ht="15.75" thickBot="1">
      <c r="A104" s="394" t="s">
        <v>89</v>
      </c>
      <c r="B104" s="395" t="s">
        <v>77</v>
      </c>
      <c r="C104" s="23" t="s">
        <v>87</v>
      </c>
      <c r="D104" s="262"/>
      <c r="E104" s="18">
        <f>+E101</f>
        <v>2512449381.1999998</v>
      </c>
      <c r="F104" s="396" t="s">
        <v>79</v>
      </c>
      <c r="G104" s="422">
        <f>+E104/E105</f>
        <v>0.83717943908099468</v>
      </c>
      <c r="H104" s="18">
        <f>+H101</f>
        <v>1653472057.4699998</v>
      </c>
      <c r="I104" s="396" t="s">
        <v>79</v>
      </c>
      <c r="J104" s="397">
        <f>+H104/H105</f>
        <v>0.10709066639653511</v>
      </c>
      <c r="K104" s="18">
        <f>+K101</f>
        <v>1628507691.2</v>
      </c>
      <c r="L104" s="396" t="s">
        <v>79</v>
      </c>
      <c r="M104" s="397">
        <f>+K104/K105</f>
        <v>0.16252469362334859</v>
      </c>
      <c r="N104" s="18">
        <f>+N101</f>
        <v>2784127999</v>
      </c>
      <c r="O104" s="396" t="s">
        <v>79</v>
      </c>
      <c r="P104" s="397">
        <f>+N104/N105</f>
        <v>0.21781606808382545</v>
      </c>
      <c r="Q104" s="18">
        <f>+Q101</f>
        <v>6238570848.8000002</v>
      </c>
      <c r="R104" s="396" t="s">
        <v>79</v>
      </c>
      <c r="S104" s="397">
        <f>+Q104/Q105</f>
        <v>0.51868432604305059</v>
      </c>
      <c r="T104" s="18">
        <f>+T101</f>
        <v>2694134035.5999999</v>
      </c>
      <c r="U104" s="396" t="s">
        <v>79</v>
      </c>
      <c r="V104" s="397">
        <f>+T104/T105</f>
        <v>0.44312866463743322</v>
      </c>
    </row>
    <row r="105" spans="1:22" ht="15.75" thickTop="1">
      <c r="A105" s="394"/>
      <c r="B105" s="395"/>
      <c r="C105" s="262" t="s">
        <v>90</v>
      </c>
      <c r="D105" s="262"/>
      <c r="E105" s="19">
        <f>+E96-E95</f>
        <v>3001088254.1000004</v>
      </c>
      <c r="F105" s="396"/>
      <c r="G105" s="422"/>
      <c r="H105" s="19">
        <f>+H96-H95</f>
        <v>15439926868.58</v>
      </c>
      <c r="I105" s="396"/>
      <c r="J105" s="397"/>
      <c r="K105" s="19">
        <f>+K96-K95</f>
        <v>10020063135.600002</v>
      </c>
      <c r="L105" s="396"/>
      <c r="M105" s="397"/>
      <c r="N105" s="19">
        <f>+N96-N95</f>
        <v>12782013850</v>
      </c>
      <c r="O105" s="396"/>
      <c r="P105" s="397"/>
      <c r="Q105" s="19">
        <f>+Q96-Q95</f>
        <v>12027683381.9</v>
      </c>
      <c r="R105" s="396"/>
      <c r="S105" s="397"/>
      <c r="T105" s="19">
        <f>+T96-T95</f>
        <v>6079800858.3000011</v>
      </c>
      <c r="U105" s="396"/>
      <c r="V105" s="397"/>
    </row>
    <row r="106" spans="1:22">
      <c r="E106" s="19"/>
      <c r="H106" s="19"/>
      <c r="J106" s="22"/>
      <c r="K106" s="19"/>
      <c r="M106" s="22"/>
      <c r="N106" s="19"/>
      <c r="P106" s="22"/>
      <c r="Q106" s="19"/>
      <c r="R106" s="20"/>
      <c r="S106" s="22"/>
      <c r="T106" s="19"/>
      <c r="U106" s="20"/>
      <c r="V106" s="22"/>
    </row>
    <row r="107" spans="1:22" ht="15.75" thickBot="1">
      <c r="A107" s="394" t="s">
        <v>91</v>
      </c>
      <c r="B107" s="395" t="s">
        <v>77</v>
      </c>
      <c r="C107" s="23" t="s">
        <v>87</v>
      </c>
      <c r="D107" s="262"/>
      <c r="E107" s="18">
        <f>+E104</f>
        <v>2512449381.1999998</v>
      </c>
      <c r="F107" s="396" t="s">
        <v>79</v>
      </c>
      <c r="G107" s="422">
        <f>+E107/E108</f>
        <v>0.55618986395183112</v>
      </c>
      <c r="H107" s="18">
        <f>+H104</f>
        <v>1653472057.4699998</v>
      </c>
      <c r="I107" s="396" t="s">
        <v>79</v>
      </c>
      <c r="J107" s="397">
        <f>+H107/H108</f>
        <v>9.6764703157272119E-2</v>
      </c>
      <c r="K107" s="18">
        <f>+K104</f>
        <v>1628507691.2</v>
      </c>
      <c r="L107" s="396" t="s">
        <v>79</v>
      </c>
      <c r="M107" s="397">
        <f>+K107/K108</f>
        <v>0.10852747149493133</v>
      </c>
      <c r="N107" s="18">
        <f>+N104</f>
        <v>2784127999</v>
      </c>
      <c r="O107" s="396" t="s">
        <v>79</v>
      </c>
      <c r="P107" s="397">
        <f>+N107/N108</f>
        <v>0.17840636964905252</v>
      </c>
      <c r="Q107" s="18">
        <f>+Q104</f>
        <v>6238570848.8000002</v>
      </c>
      <c r="R107" s="396" t="s">
        <v>79</v>
      </c>
      <c r="S107" s="397">
        <f>+Q107/Q108</f>
        <v>0.36483124124353777</v>
      </c>
      <c r="T107" s="18">
        <f>+T104</f>
        <v>2694134035.5999999</v>
      </c>
      <c r="U107" s="396" t="s">
        <v>79</v>
      </c>
      <c r="V107" s="397">
        <f>+T107/T108</f>
        <v>0.34122258569113612</v>
      </c>
    </row>
    <row r="108" spans="1:22" ht="16.5" thickTop="1" thickBot="1">
      <c r="A108" s="394"/>
      <c r="B108" s="395"/>
      <c r="C108" s="262" t="s">
        <v>92</v>
      </c>
      <c r="D108" s="262"/>
      <c r="E108" s="24">
        <f>+E96</f>
        <v>4517251291.4000006</v>
      </c>
      <c r="F108" s="398"/>
      <c r="G108" s="423"/>
      <c r="H108" s="24">
        <f>+H96</f>
        <v>17087553658.719999</v>
      </c>
      <c r="I108" s="398"/>
      <c r="J108" s="399"/>
      <c r="K108" s="24">
        <f>+K96</f>
        <v>15005488184.400002</v>
      </c>
      <c r="L108" s="398"/>
      <c r="M108" s="399"/>
      <c r="N108" s="24">
        <f>+N96</f>
        <v>15605541464</v>
      </c>
      <c r="O108" s="398"/>
      <c r="P108" s="399"/>
      <c r="Q108" s="24">
        <f>+Q96</f>
        <v>17099881105.4</v>
      </c>
      <c r="R108" s="398"/>
      <c r="S108" s="399"/>
      <c r="T108" s="24">
        <f>+T96</f>
        <v>7895532560.2000008</v>
      </c>
      <c r="U108" s="398"/>
      <c r="V108" s="399"/>
    </row>
    <row r="110" spans="1:22" ht="15.75" thickBot="1"/>
    <row r="111" spans="1:22" ht="15" customHeight="1">
      <c r="E111" s="413" t="s">
        <v>38</v>
      </c>
      <c r="F111" s="414"/>
      <c r="G111" s="415"/>
      <c r="H111" s="413" t="s">
        <v>99</v>
      </c>
      <c r="I111" s="414"/>
      <c r="J111" s="415"/>
      <c r="K111" s="404" t="s">
        <v>40</v>
      </c>
      <c r="L111" s="405"/>
      <c r="M111" s="406"/>
      <c r="N111" s="413" t="s">
        <v>41</v>
      </c>
      <c r="O111" s="414"/>
      <c r="P111" s="415"/>
      <c r="Q111" s="404" t="s">
        <v>100</v>
      </c>
      <c r="R111" s="405"/>
      <c r="S111" s="406"/>
      <c r="T111" s="404" t="s">
        <v>43</v>
      </c>
      <c r="U111" s="405"/>
      <c r="V111" s="406"/>
    </row>
    <row r="112" spans="1:22" ht="30" customHeight="1">
      <c r="E112" s="416"/>
      <c r="F112" s="417"/>
      <c r="G112" s="418"/>
      <c r="H112" s="416"/>
      <c r="I112" s="417"/>
      <c r="J112" s="418"/>
      <c r="K112" s="407"/>
      <c r="L112" s="408"/>
      <c r="M112" s="409"/>
      <c r="N112" s="416"/>
      <c r="O112" s="417"/>
      <c r="P112" s="418"/>
      <c r="Q112" s="407"/>
      <c r="R112" s="408"/>
      <c r="S112" s="409"/>
      <c r="T112" s="407"/>
      <c r="U112" s="408"/>
      <c r="V112" s="409"/>
    </row>
    <row r="113" spans="1:22" ht="15.75" thickBot="1">
      <c r="E113" s="419"/>
      <c r="F113" s="420"/>
      <c r="G113" s="421"/>
      <c r="H113" s="419"/>
      <c r="I113" s="420"/>
      <c r="J113" s="421"/>
      <c r="K113" s="410"/>
      <c r="L113" s="411"/>
      <c r="M113" s="412"/>
      <c r="N113" s="419"/>
      <c r="O113" s="420"/>
      <c r="P113" s="421"/>
      <c r="Q113" s="410"/>
      <c r="R113" s="411"/>
      <c r="S113" s="412"/>
      <c r="T113" s="410"/>
      <c r="U113" s="411"/>
      <c r="V113" s="412"/>
    </row>
    <row r="114" spans="1:22" ht="15.75" thickBot="1">
      <c r="A114" s="394" t="s">
        <v>76</v>
      </c>
      <c r="B114" s="395" t="s">
        <v>77</v>
      </c>
      <c r="C114" s="17" t="s">
        <v>78</v>
      </c>
      <c r="E114" s="18">
        <f>+'[2]DETALLADA FINANCIERA CONSORCIOS'!M674</f>
        <v>1953453626.75</v>
      </c>
      <c r="F114" s="396" t="s">
        <v>79</v>
      </c>
      <c r="G114" s="403">
        <f>+E114/E115</f>
        <v>110.48415616196247</v>
      </c>
      <c r="H114" s="18">
        <f>+'[2]DETALLADA FINANCIERA CONSORCIOS'!J697</f>
        <v>69562603753.699997</v>
      </c>
      <c r="I114" s="396" t="s">
        <v>79</v>
      </c>
      <c r="J114" s="403">
        <f>+H114/H115</f>
        <v>36.74961912476833</v>
      </c>
      <c r="K114" s="18">
        <f>+'[2]DETALLADA FINANCIERA CONSORCIOS'!J720</f>
        <v>11115767648.700001</v>
      </c>
      <c r="L114" s="425" t="s">
        <v>79</v>
      </c>
      <c r="M114" s="426">
        <f>+K114/K115</f>
        <v>2.9756181568134843</v>
      </c>
      <c r="N114" s="18">
        <f>+'[2]DETALLADA FINANCIERA CONSORCIOS'!J743</f>
        <v>12642734012.6</v>
      </c>
      <c r="O114" s="396" t="s">
        <v>79</v>
      </c>
      <c r="P114" s="424">
        <f>+N114/N115</f>
        <v>3.6388021982973631</v>
      </c>
      <c r="Q114" s="18">
        <f>+'[2]DETALLADA FINANCIERA CONSORCIOS'!J766</f>
        <v>2256023457</v>
      </c>
      <c r="R114" s="396" t="s">
        <v>79</v>
      </c>
      <c r="S114" s="403">
        <f>+Q114/Q115</f>
        <v>11.572769227298581</v>
      </c>
      <c r="T114" s="18">
        <f>+'[2]DETALLADA FINANCIERA CONSORCIOS'!M789</f>
        <v>27230226664.800003</v>
      </c>
      <c r="U114" s="425" t="s">
        <v>79</v>
      </c>
      <c r="V114" s="426">
        <f>+T114/T115</f>
        <v>12.971952345945782</v>
      </c>
    </row>
    <row r="115" spans="1:22" ht="15.75" thickTop="1">
      <c r="A115" s="394"/>
      <c r="B115" s="395"/>
      <c r="C115" t="s">
        <v>80</v>
      </c>
      <c r="E115" s="19">
        <f>+'[2]DETALLADA FINANCIERA CONSORCIOS'!M675</f>
        <v>17680848.5</v>
      </c>
      <c r="F115" s="396"/>
      <c r="G115" s="403"/>
      <c r="H115" s="19">
        <f>+'[2]DETALLADA FINANCIERA CONSORCIOS'!J698</f>
        <v>1892879583.8000002</v>
      </c>
      <c r="I115" s="396"/>
      <c r="J115" s="403"/>
      <c r="K115" s="19">
        <f>+'[2]DETALLADA FINANCIERA CONSORCIOS'!J721</f>
        <v>3735616286.4000001</v>
      </c>
      <c r="L115" s="396"/>
      <c r="M115" s="403"/>
      <c r="N115" s="19">
        <f>+'[2]DETALLADA FINANCIERA CONSORCIOS'!J744</f>
        <v>3474421890.4000001</v>
      </c>
      <c r="O115" s="396"/>
      <c r="P115" s="424"/>
      <c r="Q115" s="19">
        <f>+'[2]DETALLADA FINANCIERA CONSORCIOS'!J767</f>
        <v>194942404.25</v>
      </c>
      <c r="R115" s="396"/>
      <c r="S115" s="403"/>
      <c r="T115" s="19">
        <f>+'[2]DETALLADA FINANCIERA CONSORCIOS'!M790</f>
        <v>2099161786.8000002</v>
      </c>
      <c r="U115" s="396"/>
      <c r="V115" s="403"/>
    </row>
    <row r="116" spans="1:22">
      <c r="E116" s="19">
        <f>+'[2]DETALLADA FINANCIERA CONSORCIOS'!M676</f>
        <v>0</v>
      </c>
      <c r="G116" s="22"/>
      <c r="H116" s="19">
        <f>+'[2]DETALLADA FINANCIERA CONSORCIOS'!J699</f>
        <v>0</v>
      </c>
      <c r="J116" s="22"/>
      <c r="K116" s="19">
        <f>+'[2]DETALLADA FINANCIERA CONSORCIOS'!J722</f>
        <v>0</v>
      </c>
      <c r="M116" s="22"/>
      <c r="N116" s="19">
        <f>+'[2]DETALLADA FINANCIERA CONSORCIOS'!J745</f>
        <v>0</v>
      </c>
      <c r="Q116" s="19">
        <f>+'[2]DETALLADA FINANCIERA CONSORCIOS'!J768</f>
        <v>0</v>
      </c>
      <c r="R116" s="20"/>
      <c r="S116" s="22"/>
      <c r="T116" s="19"/>
      <c r="U116" s="20"/>
      <c r="V116" s="22"/>
    </row>
    <row r="117" spans="1:22" ht="15.75" thickBot="1">
      <c r="A117" s="394" t="s">
        <v>81</v>
      </c>
      <c r="B117" s="395" t="s">
        <v>77</v>
      </c>
      <c r="C117" s="23" t="s">
        <v>82</v>
      </c>
      <c r="D117" s="262"/>
      <c r="E117" s="18">
        <f>+'[2]DETALLADA FINANCIERA CONSORCIOS'!M677</f>
        <v>1003871104.25</v>
      </c>
      <c r="F117" s="396" t="s">
        <v>79</v>
      </c>
      <c r="G117" s="397">
        <f>+E117/E118</f>
        <v>0.44373238545978755</v>
      </c>
      <c r="H117" s="18">
        <f>+'[2]DETALLADA FINANCIERA CONSORCIOS'!J700</f>
        <v>40744403269</v>
      </c>
      <c r="I117" s="396" t="s">
        <v>79</v>
      </c>
      <c r="J117" s="397">
        <f>+H117/H118</f>
        <v>0.57654935606640612</v>
      </c>
      <c r="K117" s="18">
        <f>+'[2]DETALLADA FINANCIERA CONSORCIOS'!J723</f>
        <v>6812316541.1000004</v>
      </c>
      <c r="L117" s="396" t="s">
        <v>79</v>
      </c>
      <c r="M117" s="397">
        <f>+K117/K118</f>
        <v>0.59301751053899487</v>
      </c>
      <c r="N117" s="18">
        <f>+'[2]DETALLADA FINANCIERA CONSORCIOS'!J746</f>
        <v>3842145143.2000003</v>
      </c>
      <c r="O117" s="396" t="s">
        <v>79</v>
      </c>
      <c r="P117" s="422">
        <f>+N117/N118</f>
        <v>0.29831836222914682</v>
      </c>
      <c r="Q117" s="18">
        <f>+'[2]DETALLADA FINANCIERA CONSORCIOS'!J769</f>
        <v>363368617</v>
      </c>
      <c r="R117" s="396" t="s">
        <v>79</v>
      </c>
      <c r="S117" s="397">
        <f>+Q117/Q118</f>
        <v>0.13703788410244244</v>
      </c>
      <c r="T117" s="18">
        <f>+'[2]DETALLADA FINANCIERA CONSORCIOS'!M792</f>
        <v>8774841234.5</v>
      </c>
      <c r="U117" s="396" t="s">
        <v>79</v>
      </c>
      <c r="V117" s="397">
        <f>+T117/T118</f>
        <v>0.30634925757816278</v>
      </c>
    </row>
    <row r="118" spans="1:22" ht="15.75" thickTop="1">
      <c r="A118" s="394"/>
      <c r="B118" s="395"/>
      <c r="C118" s="262" t="s">
        <v>83</v>
      </c>
      <c r="D118" s="262"/>
      <c r="E118" s="19">
        <f>+'[2]DETALLADA FINANCIERA CONSORCIOS'!M678</f>
        <v>2262334544.75</v>
      </c>
      <c r="F118" s="396"/>
      <c r="G118" s="397"/>
      <c r="H118" s="19">
        <f>+'[2]DETALLADA FINANCIERA CONSORCIOS'!J701</f>
        <v>70669410763</v>
      </c>
      <c r="I118" s="396"/>
      <c r="J118" s="397"/>
      <c r="K118" s="19">
        <f>+'[2]DETALLADA FINANCIERA CONSORCIOS'!J724</f>
        <v>11487547028.6</v>
      </c>
      <c r="L118" s="396"/>
      <c r="M118" s="397"/>
      <c r="N118" s="19">
        <f>+'[2]DETALLADA FINANCIERA CONSORCIOS'!J747</f>
        <v>12879345121.400002</v>
      </c>
      <c r="O118" s="396"/>
      <c r="P118" s="422"/>
      <c r="Q118" s="19">
        <f>+'[2]DETALLADA FINANCIERA CONSORCIOS'!J770</f>
        <v>2651592436.5</v>
      </c>
      <c r="R118" s="396"/>
      <c r="S118" s="397"/>
      <c r="T118" s="19">
        <f>+'[2]DETALLADA FINANCIERA CONSORCIOS'!M793</f>
        <v>28643259343.5</v>
      </c>
      <c r="U118" s="396"/>
      <c r="V118" s="397"/>
    </row>
    <row r="119" spans="1:22">
      <c r="E119" s="19"/>
      <c r="G119" s="22"/>
      <c r="H119" s="19"/>
      <c r="J119" s="22"/>
      <c r="K119" s="19"/>
      <c r="M119" s="22"/>
      <c r="N119" s="19"/>
      <c r="Q119" s="19"/>
      <c r="R119" s="20"/>
      <c r="S119" s="22"/>
      <c r="T119" s="19"/>
      <c r="U119" s="20"/>
      <c r="V119" s="22"/>
    </row>
    <row r="120" spans="1:22">
      <c r="A120" s="394" t="s">
        <v>84</v>
      </c>
      <c r="C120" s="400" t="s">
        <v>85</v>
      </c>
      <c r="E120" s="401"/>
      <c r="F120" s="396">
        <f>+'[2]DETALLADA FINANCIERA CONSORCIOS'!N680</f>
        <v>4793256777</v>
      </c>
      <c r="G120" s="402"/>
      <c r="H120" s="401"/>
      <c r="I120" s="396">
        <f>+'[2]DETALLADA FINANCIERA CONSORCIOS'!K703</f>
        <v>116779183779</v>
      </c>
      <c r="J120" s="402"/>
      <c r="K120" s="401"/>
      <c r="L120" s="396">
        <f>+'[2]DETALLADA FINANCIERA CONSORCIOS'!K726</f>
        <v>49939863319</v>
      </c>
      <c r="M120" s="402"/>
      <c r="N120" s="401"/>
      <c r="O120" s="396">
        <f>+'[2]DETALLADA FINANCIERA CONSORCIOS'!K749</f>
        <v>11692207604</v>
      </c>
      <c r="P120" s="402"/>
      <c r="Q120" s="401"/>
      <c r="R120" s="396">
        <f>+'[2]DETALLADA FINANCIERA CONSORCIOS'!K772</f>
        <v>6250551157</v>
      </c>
      <c r="S120" s="402"/>
      <c r="T120" s="401"/>
      <c r="U120" s="396">
        <f>+'[2]DETALLADA FINANCIERA CONSORCIOS'!N795</f>
        <v>58222507584</v>
      </c>
      <c r="V120" s="402"/>
    </row>
    <row r="121" spans="1:22">
      <c r="A121" s="394"/>
      <c r="C121" s="400"/>
      <c r="E121" s="401"/>
      <c r="F121" s="396"/>
      <c r="G121" s="402"/>
      <c r="H121" s="401"/>
      <c r="I121" s="396"/>
      <c r="J121" s="402"/>
      <c r="K121" s="401"/>
      <c r="L121" s="396"/>
      <c r="M121" s="402"/>
      <c r="N121" s="401"/>
      <c r="O121" s="396"/>
      <c r="P121" s="402"/>
      <c r="Q121" s="401"/>
      <c r="R121" s="396"/>
      <c r="S121" s="402"/>
      <c r="T121" s="401"/>
      <c r="U121" s="396"/>
      <c r="V121" s="402"/>
    </row>
    <row r="122" spans="1:22">
      <c r="E122" s="19"/>
      <c r="G122" s="22"/>
      <c r="H122" s="19"/>
      <c r="J122" s="22"/>
      <c r="K122" s="19"/>
      <c r="M122" s="22"/>
      <c r="N122" s="19"/>
      <c r="Q122" s="19"/>
      <c r="R122" s="20"/>
      <c r="S122" s="22"/>
      <c r="T122" s="19"/>
      <c r="U122" s="20"/>
      <c r="V122" s="22"/>
    </row>
    <row r="123" spans="1:22" ht="15.75" thickBot="1">
      <c r="A123" s="394" t="s">
        <v>86</v>
      </c>
      <c r="B123" s="395" t="s">
        <v>77</v>
      </c>
      <c r="C123" s="17" t="s">
        <v>87</v>
      </c>
      <c r="E123" s="18">
        <f>+'[2]DETALLADA FINANCIERA CONSORCIOS'!M682</f>
        <v>387137161.25</v>
      </c>
      <c r="F123" s="396" t="s">
        <v>79</v>
      </c>
      <c r="G123" s="403">
        <f>+E123/E124</f>
        <v>705.00735033007061</v>
      </c>
      <c r="H123" s="18">
        <f>+'[2]DETALLADA FINANCIERA CONSORCIOS'!J705</f>
        <v>26158306225.299999</v>
      </c>
      <c r="I123" s="396" t="s">
        <v>79</v>
      </c>
      <c r="J123" s="403">
        <f>+H123/H124</f>
        <v>1065.4365621761569</v>
      </c>
      <c r="K123" s="18">
        <f>+'[2]DETALLADA FINANCIERA CONSORCIOS'!J728</f>
        <v>415791914.20000005</v>
      </c>
      <c r="L123" s="396" t="s">
        <v>79</v>
      </c>
      <c r="M123" s="403">
        <f>+K123/K124</f>
        <v>4.8625495543840422</v>
      </c>
      <c r="N123" s="18">
        <f>+'[2]DETALLADA FINANCIERA CONSORCIOS'!J751</f>
        <v>3148832116.6000004</v>
      </c>
      <c r="O123" s="396" t="s">
        <v>79</v>
      </c>
      <c r="P123" s="424">
        <f>+N123/N124</f>
        <v>18.935198651467768</v>
      </c>
      <c r="Q123" s="18">
        <f>+'[2]DETALLADA FINANCIERA CONSORCIOS'!J774</f>
        <v>571038860.25</v>
      </c>
      <c r="R123" s="396" t="s">
        <v>79</v>
      </c>
      <c r="S123" s="403">
        <f>+Q123/Q124</f>
        <v>5.3526640427743422</v>
      </c>
      <c r="T123" s="18">
        <f>+'[2]DETALLADA FINANCIERA CONSORCIOS'!M797</f>
        <v>5468393290.5</v>
      </c>
      <c r="U123" s="396" t="s">
        <v>79</v>
      </c>
      <c r="V123" s="403">
        <f>+T123/T124</f>
        <v>1412.2655578705585</v>
      </c>
    </row>
    <row r="124" spans="1:22" ht="15.75" thickTop="1">
      <c r="A124" s="394"/>
      <c r="B124" s="395"/>
      <c r="C124" t="s">
        <v>88</v>
      </c>
      <c r="E124" s="19">
        <f>+'[2]DETALLADA FINANCIERA CONSORCIOS'!M683</f>
        <v>549125</v>
      </c>
      <c r="F124" s="396"/>
      <c r="G124" s="403"/>
      <c r="H124" s="19">
        <f>+'[2]DETALLADA FINANCIERA CONSORCIOS'!J706</f>
        <v>24551725.699999999</v>
      </c>
      <c r="I124" s="396"/>
      <c r="J124" s="403"/>
      <c r="K124" s="19">
        <f>+'[2]DETALLADA FINANCIERA CONSORCIOS'!J729</f>
        <v>85509033.800000012</v>
      </c>
      <c r="L124" s="396"/>
      <c r="M124" s="403"/>
      <c r="N124" s="19">
        <f>+'[2]DETALLADA FINANCIERA CONSORCIOS'!J752</f>
        <v>166295172</v>
      </c>
      <c r="O124" s="396"/>
      <c r="P124" s="424"/>
      <c r="Q124" s="19">
        <f>+'[2]DETALLADA FINANCIERA CONSORCIOS'!J775</f>
        <v>106683112.5</v>
      </c>
      <c r="R124" s="396"/>
      <c r="S124" s="403"/>
      <c r="T124" s="19">
        <f>+'[2]DETALLADA FINANCIERA CONSORCIOS'!M798</f>
        <v>3872071.5520000006</v>
      </c>
      <c r="U124" s="396"/>
      <c r="V124" s="403"/>
    </row>
    <row r="125" spans="1:22">
      <c r="E125" s="19"/>
      <c r="G125" s="22"/>
      <c r="H125" s="19"/>
      <c r="J125" s="22"/>
      <c r="K125" s="19"/>
      <c r="M125" s="22"/>
      <c r="N125" s="19"/>
      <c r="Q125" s="19"/>
      <c r="R125" s="20"/>
      <c r="S125" s="22"/>
      <c r="T125" s="19"/>
      <c r="U125" s="20"/>
      <c r="V125" s="22"/>
    </row>
    <row r="126" spans="1:22" ht="15.75" thickBot="1">
      <c r="A126" s="394" t="s">
        <v>89</v>
      </c>
      <c r="B126" s="395" t="s">
        <v>77</v>
      </c>
      <c r="C126" s="23" t="s">
        <v>87</v>
      </c>
      <c r="D126" s="262"/>
      <c r="E126" s="18">
        <f>+E123</f>
        <v>387137161.25</v>
      </c>
      <c r="F126" s="396" t="s">
        <v>79</v>
      </c>
      <c r="G126" s="397">
        <f>+E126/E127</f>
        <v>0.30762686367447162</v>
      </c>
      <c r="H126" s="18">
        <f>+H123</f>
        <v>26158306225.299999</v>
      </c>
      <c r="I126" s="396" t="s">
        <v>79</v>
      </c>
      <c r="J126" s="397">
        <f>+H126/H127</f>
        <v>0.87412864409623858</v>
      </c>
      <c r="K126" s="18">
        <f>+K123</f>
        <v>415791914.20000005</v>
      </c>
      <c r="L126" s="396" t="s">
        <v>79</v>
      </c>
      <c r="M126" s="397">
        <f>+K126/K127</f>
        <v>8.8935062198898712E-2</v>
      </c>
      <c r="N126" s="18">
        <f>+N123</f>
        <v>3148832116.6000004</v>
      </c>
      <c r="O126" s="396" t="s">
        <v>79</v>
      </c>
      <c r="P126" s="422">
        <f>+N126/N127</f>
        <v>0.34843005844683922</v>
      </c>
      <c r="Q126" s="18">
        <f>+Q123</f>
        <v>571038860.25</v>
      </c>
      <c r="R126" s="396" t="s">
        <v>79</v>
      </c>
      <c r="S126" s="397">
        <f>+Q126/Q127</f>
        <v>0.24955550911745064</v>
      </c>
      <c r="T126" s="18">
        <f>+T123</f>
        <v>5468393290.5</v>
      </c>
      <c r="U126" s="396" t="s">
        <v>79</v>
      </c>
      <c r="V126" s="397">
        <f>+T126/T127</f>
        <v>0.27523043155725246</v>
      </c>
    </row>
    <row r="127" spans="1:22" ht="15.75" thickTop="1">
      <c r="A127" s="394"/>
      <c r="B127" s="395"/>
      <c r="C127" s="262" t="s">
        <v>90</v>
      </c>
      <c r="D127" s="262"/>
      <c r="E127" s="19">
        <f>+E118-E117</f>
        <v>1258463440.5</v>
      </c>
      <c r="F127" s="396"/>
      <c r="G127" s="397"/>
      <c r="H127" s="19">
        <f>+H118-H117</f>
        <v>29925007494</v>
      </c>
      <c r="I127" s="396"/>
      <c r="J127" s="397"/>
      <c r="K127" s="19">
        <f>+K118-K117</f>
        <v>4675230487.5</v>
      </c>
      <c r="L127" s="396"/>
      <c r="M127" s="397"/>
      <c r="N127" s="19">
        <f>+N118-N117</f>
        <v>9037199978.2000008</v>
      </c>
      <c r="O127" s="396"/>
      <c r="P127" s="422"/>
      <c r="Q127" s="19">
        <f>+Q118-Q117</f>
        <v>2288223819.5</v>
      </c>
      <c r="R127" s="396"/>
      <c r="S127" s="397"/>
      <c r="T127" s="19">
        <f>+T118-T117</f>
        <v>19868418109</v>
      </c>
      <c r="U127" s="396"/>
      <c r="V127" s="397"/>
    </row>
    <row r="128" spans="1:22">
      <c r="E128" s="19"/>
      <c r="G128" s="22"/>
      <c r="H128" s="19"/>
      <c r="J128" s="22"/>
      <c r="K128" s="19"/>
      <c r="M128" s="22"/>
      <c r="N128" s="19"/>
      <c r="Q128" s="19"/>
      <c r="R128" s="20"/>
      <c r="S128" s="22"/>
      <c r="T128" s="19"/>
      <c r="U128" s="20"/>
      <c r="V128" s="22"/>
    </row>
    <row r="129" spans="1:22" ht="15.75" thickBot="1">
      <c r="A129" s="394" t="s">
        <v>91</v>
      </c>
      <c r="B129" s="395" t="s">
        <v>77</v>
      </c>
      <c r="C129" s="23" t="s">
        <v>87</v>
      </c>
      <c r="D129" s="262"/>
      <c r="E129" s="18">
        <f>+E126</f>
        <v>387137161.25</v>
      </c>
      <c r="F129" s="396" t="s">
        <v>79</v>
      </c>
      <c r="G129" s="397">
        <f>+E129/E130</f>
        <v>0.17112286162468546</v>
      </c>
      <c r="H129" s="18">
        <f>+H126</f>
        <v>26158306225.299999</v>
      </c>
      <c r="I129" s="396" t="s">
        <v>79</v>
      </c>
      <c r="J129" s="397">
        <f>+H129/H130</f>
        <v>0.37015033722335156</v>
      </c>
      <c r="K129" s="18">
        <f>+K126</f>
        <v>415791914.20000005</v>
      </c>
      <c r="L129" s="396" t="s">
        <v>79</v>
      </c>
      <c r="M129" s="397">
        <f>+K129/K130</f>
        <v>3.6195013014077126E-2</v>
      </c>
      <c r="N129" s="18">
        <f>+N126</f>
        <v>3148832116.6000004</v>
      </c>
      <c r="O129" s="396" t="s">
        <v>79</v>
      </c>
      <c r="P129" s="422">
        <f>+N129/N130</f>
        <v>0.24448697405957223</v>
      </c>
      <c r="Q129" s="18">
        <f>+Q126</f>
        <v>571038860.25</v>
      </c>
      <c r="R129" s="396" t="s">
        <v>79</v>
      </c>
      <c r="S129" s="397">
        <f>+Q129/Q130</f>
        <v>0.21535695018188741</v>
      </c>
      <c r="T129" s="18">
        <f>+T126</f>
        <v>5468393290.5</v>
      </c>
      <c r="U129" s="396" t="s">
        <v>79</v>
      </c>
      <c r="V129" s="397">
        <f>+T129/T130</f>
        <v>0.19091379318677082</v>
      </c>
    </row>
    <row r="130" spans="1:22" ht="16.5" thickTop="1" thickBot="1">
      <c r="A130" s="394"/>
      <c r="B130" s="395"/>
      <c r="C130" s="262" t="s">
        <v>92</v>
      </c>
      <c r="D130" s="262"/>
      <c r="E130" s="24">
        <f>+E118</f>
        <v>2262334544.75</v>
      </c>
      <c r="F130" s="398"/>
      <c r="G130" s="399"/>
      <c r="H130" s="24">
        <f>+H118</f>
        <v>70669410763</v>
      </c>
      <c r="I130" s="398"/>
      <c r="J130" s="399"/>
      <c r="K130" s="24">
        <f>+K118</f>
        <v>11487547028.6</v>
      </c>
      <c r="L130" s="398"/>
      <c r="M130" s="399"/>
      <c r="N130" s="24">
        <f>+N118</f>
        <v>12879345121.400002</v>
      </c>
      <c r="O130" s="398"/>
      <c r="P130" s="423"/>
      <c r="Q130" s="24">
        <f>+Q118</f>
        <v>2651592436.5</v>
      </c>
      <c r="R130" s="398"/>
      <c r="S130" s="399"/>
      <c r="T130" s="24">
        <f>+T118</f>
        <v>28643259343.5</v>
      </c>
      <c r="U130" s="398"/>
      <c r="V130" s="399"/>
    </row>
    <row r="132" spans="1:22" ht="15.75" thickBot="1"/>
    <row r="133" spans="1:22">
      <c r="E133" s="404" t="s">
        <v>101</v>
      </c>
      <c r="F133" s="405"/>
      <c r="G133" s="406"/>
      <c r="H133" s="404" t="s">
        <v>45</v>
      </c>
      <c r="I133" s="405"/>
      <c r="J133" s="406"/>
      <c r="K133" s="404" t="s">
        <v>46</v>
      </c>
      <c r="L133" s="405"/>
      <c r="M133" s="406"/>
      <c r="N133" s="413" t="s">
        <v>47</v>
      </c>
      <c r="O133" s="414"/>
      <c r="P133" s="415"/>
      <c r="Q133" s="413" t="s">
        <v>102</v>
      </c>
      <c r="R133" s="414"/>
      <c r="S133" s="415"/>
      <c r="T133" s="413" t="s">
        <v>49</v>
      </c>
      <c r="U133" s="414"/>
      <c r="V133" s="415"/>
    </row>
    <row r="134" spans="1:22">
      <c r="E134" s="407"/>
      <c r="F134" s="408"/>
      <c r="G134" s="409"/>
      <c r="H134" s="407"/>
      <c r="I134" s="408"/>
      <c r="J134" s="409"/>
      <c r="K134" s="407"/>
      <c r="L134" s="408"/>
      <c r="M134" s="409"/>
      <c r="N134" s="416"/>
      <c r="O134" s="417"/>
      <c r="P134" s="418"/>
      <c r="Q134" s="416"/>
      <c r="R134" s="417"/>
      <c r="S134" s="418"/>
      <c r="T134" s="416"/>
      <c r="U134" s="417"/>
      <c r="V134" s="418"/>
    </row>
    <row r="135" spans="1:22" ht="15.75" thickBot="1">
      <c r="E135" s="410"/>
      <c r="F135" s="411"/>
      <c r="G135" s="412"/>
      <c r="H135" s="410"/>
      <c r="I135" s="411"/>
      <c r="J135" s="412"/>
      <c r="K135" s="410"/>
      <c r="L135" s="411"/>
      <c r="M135" s="412"/>
      <c r="N135" s="419"/>
      <c r="O135" s="420"/>
      <c r="P135" s="421"/>
      <c r="Q135" s="419"/>
      <c r="R135" s="420"/>
      <c r="S135" s="421"/>
      <c r="T135" s="419"/>
      <c r="U135" s="420"/>
      <c r="V135" s="421"/>
    </row>
    <row r="136" spans="1:22" ht="15.75" thickBot="1">
      <c r="A136" s="394" t="s">
        <v>76</v>
      </c>
      <c r="B136" s="395" t="s">
        <v>77</v>
      </c>
      <c r="C136" s="17" t="s">
        <v>78</v>
      </c>
      <c r="E136" s="18">
        <f>+'[2]DETALLADA FINANCIERA CONSORCIOS'!J813</f>
        <v>29623235044.600002</v>
      </c>
      <c r="F136" s="396" t="s">
        <v>79</v>
      </c>
      <c r="G136" s="403">
        <f>+E136/E137</f>
        <v>4.6755880062945776</v>
      </c>
      <c r="H136" s="18">
        <f>+'[2]DETALLADA FINANCIERA CONSORCIOS'!J836</f>
        <v>3184394510.9000001</v>
      </c>
      <c r="I136" s="396" t="s">
        <v>79</v>
      </c>
      <c r="J136" s="403">
        <f>+H136/H137</f>
        <v>75.381124890291915</v>
      </c>
      <c r="K136" s="18">
        <f>+'[2]DETALLADA FINANCIERA CONSORCIOS'!M859</f>
        <v>5520727796.6800003</v>
      </c>
      <c r="L136" s="396" t="s">
        <v>79</v>
      </c>
      <c r="M136" s="403">
        <f>+K136/K137</f>
        <v>3.9051304966822724</v>
      </c>
      <c r="N136" s="18">
        <f>+'[2]DETALLADA FINANCIERA CONSORCIOS'!J882</f>
        <v>14830668029.400002</v>
      </c>
      <c r="O136" s="396" t="s">
        <v>79</v>
      </c>
      <c r="P136" s="403">
        <f>+N136/N137</f>
        <v>141.96958805124424</v>
      </c>
      <c r="Q136" s="18">
        <v>15650201000</v>
      </c>
      <c r="R136" s="396" t="s">
        <v>79</v>
      </c>
      <c r="S136" s="424">
        <f>+Q136/Q137</f>
        <v>36.469518631839698</v>
      </c>
      <c r="T136" s="18"/>
      <c r="U136" s="396" t="s">
        <v>79</v>
      </c>
      <c r="V136" s="403" t="e">
        <f>+T136/T137</f>
        <v>#DIV/0!</v>
      </c>
    </row>
    <row r="137" spans="1:22" ht="15.75" thickTop="1">
      <c r="A137" s="394"/>
      <c r="B137" s="395"/>
      <c r="C137" t="s">
        <v>80</v>
      </c>
      <c r="E137" s="19">
        <f>+'[2]DETALLADA FINANCIERA CONSORCIOS'!J814</f>
        <v>6335723978.3999996</v>
      </c>
      <c r="F137" s="396"/>
      <c r="G137" s="403"/>
      <c r="H137" s="19">
        <f>+'[2]DETALLADA FINANCIERA CONSORCIOS'!J837</f>
        <v>42243924</v>
      </c>
      <c r="I137" s="396"/>
      <c r="J137" s="403"/>
      <c r="K137" s="19">
        <f>+'[2]DETALLADA FINANCIERA CONSORCIOS'!M860</f>
        <v>1413711475.5500002</v>
      </c>
      <c r="L137" s="396"/>
      <c r="M137" s="403"/>
      <c r="N137" s="19">
        <f>+'[2]DETALLADA FINANCIERA CONSORCIOS'!J883</f>
        <v>104463697.00000001</v>
      </c>
      <c r="O137" s="396"/>
      <c r="P137" s="403"/>
      <c r="Q137" s="19">
        <v>429131000</v>
      </c>
      <c r="R137" s="396"/>
      <c r="S137" s="424"/>
      <c r="T137" s="19"/>
      <c r="U137" s="396"/>
      <c r="V137" s="403"/>
    </row>
    <row r="138" spans="1:22">
      <c r="E138" s="19">
        <f>+'[2]DETALLADA FINANCIERA CONSORCIOS'!J815</f>
        <v>0</v>
      </c>
      <c r="G138" s="22"/>
      <c r="H138" s="19">
        <f>+'[2]DETALLADA FINANCIERA CONSORCIOS'!J838</f>
        <v>0</v>
      </c>
      <c r="J138" s="22"/>
      <c r="K138" s="19">
        <f>+'[2]DETALLADA FINANCIERA CONSORCIOS'!M861</f>
        <v>0</v>
      </c>
      <c r="M138" s="22"/>
      <c r="N138" s="19">
        <f>+'[2]DETALLADA FINANCIERA CONSORCIOS'!J884</f>
        <v>0</v>
      </c>
      <c r="P138" s="22"/>
      <c r="Q138" s="19"/>
      <c r="R138" s="20"/>
      <c r="T138" s="19"/>
      <c r="U138" s="20"/>
      <c r="V138" s="22"/>
    </row>
    <row r="139" spans="1:22" ht="15.75" thickBot="1">
      <c r="A139" s="394" t="s">
        <v>81</v>
      </c>
      <c r="B139" s="395" t="s">
        <v>77</v>
      </c>
      <c r="C139" s="23" t="s">
        <v>82</v>
      </c>
      <c r="D139" s="262"/>
      <c r="E139" s="18">
        <f>+'[2]DETALLADA FINANCIERA CONSORCIOS'!J816</f>
        <v>6694621519.6000004</v>
      </c>
      <c r="F139" s="396" t="s">
        <v>79</v>
      </c>
      <c r="G139" s="397">
        <f>+E139/E140</f>
        <v>0.22550650705166658</v>
      </c>
      <c r="H139" s="18">
        <f>+'[2]DETALLADA FINANCIERA CONSORCIOS'!J839</f>
        <v>55728924</v>
      </c>
      <c r="I139" s="396" t="s">
        <v>79</v>
      </c>
      <c r="J139" s="397">
        <f>+H139/H140</f>
        <v>1.7387450133387466E-2</v>
      </c>
      <c r="K139" s="18">
        <f>+'[2]DETALLADA FINANCIERA CONSORCIOS'!M862</f>
        <v>2856682040.4000006</v>
      </c>
      <c r="L139" s="396" t="s">
        <v>79</v>
      </c>
      <c r="M139" s="397">
        <f>+K139/K140</f>
        <v>0.4811140762199505</v>
      </c>
      <c r="N139" s="18">
        <f>+'[2]DETALLADA FINANCIERA CONSORCIOS'!J885</f>
        <v>106763697.00000001</v>
      </c>
      <c r="O139" s="396" t="s">
        <v>79</v>
      </c>
      <c r="P139" s="397">
        <f>+N139/N140</f>
        <v>7.1818052337682039E-3</v>
      </c>
      <c r="Q139" s="18">
        <v>429131000</v>
      </c>
      <c r="R139" s="396" t="s">
        <v>79</v>
      </c>
      <c r="S139" s="422">
        <f>+Q139/Q140</f>
        <v>1.975741798087053E-2</v>
      </c>
      <c r="T139" s="18"/>
      <c r="U139" s="396" t="s">
        <v>79</v>
      </c>
      <c r="V139" s="397" t="e">
        <f>+T139/T140</f>
        <v>#DIV/0!</v>
      </c>
    </row>
    <row r="140" spans="1:22" ht="15.75" thickTop="1">
      <c r="A140" s="394"/>
      <c r="B140" s="395"/>
      <c r="C140" s="262" t="s">
        <v>83</v>
      </c>
      <c r="D140" s="262"/>
      <c r="E140" s="19">
        <f>+'[2]DETALLADA FINANCIERA CONSORCIOS'!J817</f>
        <v>29687043656.200005</v>
      </c>
      <c r="F140" s="396"/>
      <c r="G140" s="397"/>
      <c r="H140" s="19">
        <f>+'[2]DETALLADA FINANCIERA CONSORCIOS'!J840</f>
        <v>3205123440.9000001</v>
      </c>
      <c r="I140" s="396"/>
      <c r="J140" s="397"/>
      <c r="K140" s="19">
        <f>+'[2]DETALLADA FINANCIERA CONSORCIOS'!M863</f>
        <v>5937639702.5100002</v>
      </c>
      <c r="L140" s="396"/>
      <c r="M140" s="397"/>
      <c r="N140" s="19">
        <f>+'[2]DETALLADA FINANCIERA CONSORCIOS'!J886</f>
        <v>14865858029.400002</v>
      </c>
      <c r="O140" s="396"/>
      <c r="P140" s="397"/>
      <c r="Q140" s="19">
        <v>21719994000</v>
      </c>
      <c r="R140" s="396"/>
      <c r="S140" s="422"/>
      <c r="T140" s="19"/>
      <c r="U140" s="396"/>
      <c r="V140" s="397"/>
    </row>
    <row r="141" spans="1:22">
      <c r="E141" s="19"/>
      <c r="G141" s="22"/>
      <c r="H141" s="19"/>
      <c r="J141" s="22"/>
      <c r="K141" s="19"/>
      <c r="M141" s="22"/>
      <c r="N141" s="19"/>
      <c r="P141" s="22"/>
      <c r="Q141" s="19"/>
      <c r="R141" s="20"/>
      <c r="T141" s="19"/>
      <c r="U141" s="20"/>
      <c r="V141" s="22"/>
    </row>
    <row r="142" spans="1:22">
      <c r="A142" s="394" t="s">
        <v>84</v>
      </c>
      <c r="C142" s="400" t="s">
        <v>85</v>
      </c>
      <c r="E142" s="401"/>
      <c r="F142" s="396">
        <f>+'[2]DETALLADA FINANCIERA CONSORCIOS'!K819</f>
        <v>51348845414</v>
      </c>
      <c r="G142" s="402"/>
      <c r="H142" s="401"/>
      <c r="I142" s="396">
        <f>+'[2]DETALLADA FINANCIERA CONSORCIOS'!K842</f>
        <v>10209727397</v>
      </c>
      <c r="J142" s="402"/>
      <c r="K142" s="401"/>
      <c r="L142" s="396">
        <f>+'[2]DETALLADA FINANCIERA CONSORCIOS'!N865</f>
        <v>12226220447</v>
      </c>
      <c r="M142" s="402"/>
      <c r="N142" s="401"/>
      <c r="O142" s="396">
        <f>+'[2]DETALLADA FINANCIERA CONSORCIOS'!K888</f>
        <v>16676633892</v>
      </c>
      <c r="P142" s="402"/>
      <c r="Q142" s="401"/>
      <c r="R142" s="396">
        <f>+Q136-Q137</f>
        <v>15221070000</v>
      </c>
      <c r="S142" s="402"/>
      <c r="T142" s="401"/>
      <c r="U142" s="396" t="e">
        <f>+'[2]DETALLADA FINANCIERA CONSORCIOS'!#REF!</f>
        <v>#REF!</v>
      </c>
      <c r="V142" s="402"/>
    </row>
    <row r="143" spans="1:22">
      <c r="A143" s="394"/>
      <c r="C143" s="400"/>
      <c r="E143" s="401"/>
      <c r="F143" s="396"/>
      <c r="G143" s="402"/>
      <c r="H143" s="401"/>
      <c r="I143" s="396"/>
      <c r="J143" s="402"/>
      <c r="K143" s="401"/>
      <c r="L143" s="396"/>
      <c r="M143" s="402"/>
      <c r="N143" s="401"/>
      <c r="O143" s="396"/>
      <c r="P143" s="402"/>
      <c r="Q143" s="401"/>
      <c r="R143" s="396"/>
      <c r="S143" s="402"/>
      <c r="T143" s="401"/>
      <c r="U143" s="396"/>
      <c r="V143" s="402"/>
    </row>
    <row r="144" spans="1:22">
      <c r="E144" s="19"/>
      <c r="G144" s="22"/>
      <c r="H144" s="19"/>
      <c r="J144" s="22"/>
      <c r="K144" s="19"/>
      <c r="M144" s="22"/>
      <c r="N144" s="19"/>
      <c r="P144" s="22"/>
      <c r="Q144" s="19"/>
      <c r="R144" s="20"/>
      <c r="T144" s="19"/>
      <c r="U144" s="20"/>
      <c r="V144" s="22"/>
    </row>
    <row r="145" spans="1:22" ht="15.75" thickBot="1">
      <c r="A145" s="394" t="s">
        <v>86</v>
      </c>
      <c r="B145" s="395" t="s">
        <v>77</v>
      </c>
      <c r="C145" s="17" t="s">
        <v>87</v>
      </c>
      <c r="E145" s="18">
        <f>+'[2]DETALLADA FINANCIERA CONSORCIOS'!J821</f>
        <v>16683933233.199999</v>
      </c>
      <c r="F145" s="396" t="s">
        <v>79</v>
      </c>
      <c r="G145" s="403">
        <f>+E145/E146</f>
        <v>662.69086173766527</v>
      </c>
      <c r="H145" s="18">
        <f>+'[2]DETALLADA FINANCIERA CONSORCIOS'!J844</f>
        <v>881668515.39999998</v>
      </c>
      <c r="I145" s="396" t="s">
        <v>79</v>
      </c>
      <c r="J145" s="403">
        <f>+H145/H146</f>
        <v>413.82499679540535</v>
      </c>
      <c r="K145" s="18">
        <f>+'[2]DETALLADA FINANCIERA CONSORCIOS'!M867</f>
        <v>1075639908.46</v>
      </c>
      <c r="L145" s="396" t="s">
        <v>79</v>
      </c>
      <c r="M145" s="403">
        <f>+K145/K146</f>
        <v>36.360097906755129</v>
      </c>
      <c r="N145" s="18">
        <f>+'[2]DETALLADA FINANCIERA CONSORCIOS'!J890</f>
        <v>1811258016.7</v>
      </c>
      <c r="O145" s="396" t="s">
        <v>79</v>
      </c>
      <c r="P145" s="403">
        <f>+N145/N146</f>
        <v>29076.849499374719</v>
      </c>
      <c r="Q145" s="18">
        <v>7048912000</v>
      </c>
      <c r="R145" s="396" t="s">
        <v>79</v>
      </c>
      <c r="S145" s="424" t="s">
        <v>103</v>
      </c>
      <c r="T145" s="18"/>
      <c r="U145" s="396" t="s">
        <v>79</v>
      </c>
      <c r="V145" s="403" t="e">
        <f>+T145/T146</f>
        <v>#DIV/0!</v>
      </c>
    </row>
    <row r="146" spans="1:22" ht="15.75" thickTop="1">
      <c r="A146" s="394"/>
      <c r="B146" s="395"/>
      <c r="C146" t="s">
        <v>88</v>
      </c>
      <c r="E146" s="19">
        <f>+'[2]DETALLADA FINANCIERA CONSORCIOS'!J822</f>
        <v>25176042.399999999</v>
      </c>
      <c r="F146" s="396"/>
      <c r="G146" s="403"/>
      <c r="H146" s="19">
        <f>+'[2]DETALLADA FINANCIERA CONSORCIOS'!J845</f>
        <v>2130534.7000000002</v>
      </c>
      <c r="I146" s="396"/>
      <c r="J146" s="403"/>
      <c r="K146" s="19">
        <f>+'[2]DETALLADA FINANCIERA CONSORCIOS'!M868</f>
        <v>29582976.130000003</v>
      </c>
      <c r="L146" s="396"/>
      <c r="M146" s="403"/>
      <c r="N146" s="19">
        <f>+'[2]DETALLADA FINANCIERA CONSORCIOS'!J891</f>
        <v>62292.100000000006</v>
      </c>
      <c r="O146" s="396"/>
      <c r="P146" s="403"/>
      <c r="Q146" s="19">
        <v>0</v>
      </c>
      <c r="R146" s="396"/>
      <c r="S146" s="424"/>
      <c r="T146" s="19"/>
      <c r="U146" s="396"/>
      <c r="V146" s="403"/>
    </row>
    <row r="147" spans="1:22">
      <c r="E147" s="19"/>
      <c r="G147" s="22"/>
      <c r="H147" s="19"/>
      <c r="J147" s="22"/>
      <c r="K147" s="19"/>
      <c r="M147" s="22"/>
      <c r="N147" s="19"/>
      <c r="P147" s="22"/>
      <c r="Q147" s="19"/>
      <c r="R147" s="20"/>
      <c r="T147" s="19"/>
      <c r="U147" s="20"/>
      <c r="V147" s="22"/>
    </row>
    <row r="148" spans="1:22" ht="15.75" thickBot="1">
      <c r="A148" s="394" t="s">
        <v>89</v>
      </c>
      <c r="B148" s="395" t="s">
        <v>77</v>
      </c>
      <c r="C148" s="23" t="s">
        <v>87</v>
      </c>
      <c r="D148" s="262"/>
      <c r="E148" s="18">
        <f>+E145</f>
        <v>16683933233.199999</v>
      </c>
      <c r="F148" s="396" t="s">
        <v>79</v>
      </c>
      <c r="G148" s="397">
        <f>+E148/E149</f>
        <v>0.72562747561258578</v>
      </c>
      <c r="H148" s="18">
        <f>+H145</f>
        <v>881668515.39999998</v>
      </c>
      <c r="I148" s="396" t="s">
        <v>79</v>
      </c>
      <c r="J148" s="397">
        <f>+H148/H149</f>
        <v>0.27994857762940434</v>
      </c>
      <c r="K148" s="18">
        <f>+K145</f>
        <v>1075639908.46</v>
      </c>
      <c r="L148" s="396" t="s">
        <v>79</v>
      </c>
      <c r="M148" s="397">
        <f>+K148/K149</f>
        <v>0.34912518327932685</v>
      </c>
      <c r="N148" s="18">
        <f>+N145</f>
        <v>1811258016.7</v>
      </c>
      <c r="O148" s="396" t="s">
        <v>79</v>
      </c>
      <c r="P148" s="397">
        <f>+N148/N149</f>
        <v>0.12272148791161418</v>
      </c>
      <c r="Q148" s="18">
        <f>+Q145</f>
        <v>7048912000</v>
      </c>
      <c r="R148" s="396" t="s">
        <v>79</v>
      </c>
      <c r="S148" s="422">
        <f>+Q148/Q149</f>
        <v>0.33107685677184623</v>
      </c>
      <c r="T148" s="18">
        <f>+T145</f>
        <v>0</v>
      </c>
      <c r="U148" s="396" t="s">
        <v>79</v>
      </c>
      <c r="V148" s="397" t="e">
        <f>+T148/T149</f>
        <v>#DIV/0!</v>
      </c>
    </row>
    <row r="149" spans="1:22" ht="15.75" thickTop="1">
      <c r="A149" s="394"/>
      <c r="B149" s="395"/>
      <c r="C149" s="262" t="s">
        <v>90</v>
      </c>
      <c r="D149" s="262"/>
      <c r="E149" s="19">
        <f>+E140-E139</f>
        <v>22992422136.600006</v>
      </c>
      <c r="F149" s="396"/>
      <c r="G149" s="397"/>
      <c r="H149" s="19">
        <f>+H140-H139</f>
        <v>3149394516.9000001</v>
      </c>
      <c r="I149" s="396"/>
      <c r="J149" s="397"/>
      <c r="K149" s="19">
        <f>+K140-K139</f>
        <v>3080957662.1099997</v>
      </c>
      <c r="L149" s="396"/>
      <c r="M149" s="397"/>
      <c r="N149" s="19">
        <f>+N140-N139</f>
        <v>14759094332.400002</v>
      </c>
      <c r="O149" s="396"/>
      <c r="P149" s="397"/>
      <c r="Q149" s="19">
        <f>+Q140-Q139</f>
        <v>21290863000</v>
      </c>
      <c r="R149" s="396"/>
      <c r="S149" s="422"/>
      <c r="T149" s="19">
        <f>+T140-T139</f>
        <v>0</v>
      </c>
      <c r="U149" s="396"/>
      <c r="V149" s="397"/>
    </row>
    <row r="150" spans="1:22">
      <c r="E150" s="19"/>
      <c r="G150" s="22"/>
      <c r="H150" s="19"/>
      <c r="J150" s="22"/>
      <c r="K150" s="19"/>
      <c r="M150" s="22"/>
      <c r="N150" s="19"/>
      <c r="P150" s="22"/>
      <c r="Q150" s="19"/>
      <c r="R150" s="20"/>
      <c r="T150" s="19"/>
      <c r="U150" s="20"/>
      <c r="V150" s="22"/>
    </row>
    <row r="151" spans="1:22" ht="15.75" thickBot="1">
      <c r="A151" s="394" t="s">
        <v>91</v>
      </c>
      <c r="B151" s="395" t="s">
        <v>77</v>
      </c>
      <c r="C151" s="23" t="s">
        <v>87</v>
      </c>
      <c r="D151" s="262"/>
      <c r="E151" s="18">
        <f>+E148</f>
        <v>16683933233.199999</v>
      </c>
      <c r="F151" s="396" t="s">
        <v>79</v>
      </c>
      <c r="G151" s="397">
        <f>+E151/E152</f>
        <v>0.56199375816647323</v>
      </c>
      <c r="H151" s="18">
        <f>+H148</f>
        <v>881668515.39999998</v>
      </c>
      <c r="I151" s="396" t="s">
        <v>79</v>
      </c>
      <c r="J151" s="397">
        <f>+H151/H152</f>
        <v>0.27508098569596029</v>
      </c>
      <c r="K151" s="18">
        <f>+K148</f>
        <v>1075639908.46</v>
      </c>
      <c r="L151" s="396" t="s">
        <v>79</v>
      </c>
      <c r="M151" s="397">
        <f>+K151/K152</f>
        <v>0.18115614324077262</v>
      </c>
      <c r="N151" s="18">
        <f>+N148</f>
        <v>1811258016.7</v>
      </c>
      <c r="O151" s="396" t="s">
        <v>79</v>
      </c>
      <c r="P151" s="397">
        <f>+N151/N152</f>
        <v>0.12184012608743472</v>
      </c>
      <c r="Q151" s="18">
        <f>+Q148</f>
        <v>7048912000</v>
      </c>
      <c r="R151" s="396" t="s">
        <v>79</v>
      </c>
      <c r="S151" s="422">
        <f>+Q151/Q152</f>
        <v>0.32453563292881205</v>
      </c>
      <c r="T151" s="18">
        <f>+T148</f>
        <v>0</v>
      </c>
      <c r="U151" s="396" t="s">
        <v>79</v>
      </c>
      <c r="V151" s="397" t="e">
        <f>+T151/T152</f>
        <v>#DIV/0!</v>
      </c>
    </row>
    <row r="152" spans="1:22" ht="16.5" thickTop="1" thickBot="1">
      <c r="A152" s="394"/>
      <c r="B152" s="395"/>
      <c r="C152" s="262" t="s">
        <v>92</v>
      </c>
      <c r="D152" s="262"/>
      <c r="E152" s="24">
        <f>+E140</f>
        <v>29687043656.200005</v>
      </c>
      <c r="F152" s="398"/>
      <c r="G152" s="399"/>
      <c r="H152" s="24">
        <f>+H140</f>
        <v>3205123440.9000001</v>
      </c>
      <c r="I152" s="398"/>
      <c r="J152" s="399"/>
      <c r="K152" s="24">
        <f>+K140</f>
        <v>5937639702.5100002</v>
      </c>
      <c r="L152" s="398"/>
      <c r="M152" s="399"/>
      <c r="N152" s="24">
        <f>+N140</f>
        <v>14865858029.400002</v>
      </c>
      <c r="O152" s="398"/>
      <c r="P152" s="399"/>
      <c r="Q152" s="24">
        <f>+Q140</f>
        <v>21719994000</v>
      </c>
      <c r="R152" s="398"/>
      <c r="S152" s="423"/>
      <c r="T152" s="24">
        <f>+T140</f>
        <v>0</v>
      </c>
      <c r="U152" s="398"/>
      <c r="V152" s="399"/>
    </row>
    <row r="154" spans="1:22" ht="15.75" thickBot="1"/>
    <row r="155" spans="1:22" ht="39.75" customHeight="1">
      <c r="E155" s="413" t="s">
        <v>50</v>
      </c>
      <c r="F155" s="414"/>
      <c r="G155" s="415"/>
      <c r="H155" s="413" t="s">
        <v>104</v>
      </c>
      <c r="I155" s="414"/>
      <c r="J155" s="415"/>
      <c r="K155" s="404" t="s">
        <v>105</v>
      </c>
      <c r="L155" s="405"/>
      <c r="M155" s="406"/>
      <c r="N155" s="413" t="s">
        <v>53</v>
      </c>
      <c r="O155" s="414"/>
      <c r="P155" s="415"/>
      <c r="Q155" s="404" t="s">
        <v>37</v>
      </c>
      <c r="R155" s="405"/>
      <c r="S155" s="406"/>
      <c r="T155" s="404" t="s">
        <v>54</v>
      </c>
      <c r="U155" s="405"/>
      <c r="V155" s="406"/>
    </row>
    <row r="156" spans="1:22">
      <c r="E156" s="416"/>
      <c r="F156" s="417"/>
      <c r="G156" s="418"/>
      <c r="H156" s="416"/>
      <c r="I156" s="417"/>
      <c r="J156" s="418"/>
      <c r="K156" s="407"/>
      <c r="L156" s="408"/>
      <c r="M156" s="409"/>
      <c r="N156" s="416"/>
      <c r="O156" s="417"/>
      <c r="P156" s="418"/>
      <c r="Q156" s="407"/>
      <c r="R156" s="408"/>
      <c r="S156" s="409"/>
      <c r="T156" s="407"/>
      <c r="U156" s="408"/>
      <c r="V156" s="409"/>
    </row>
    <row r="157" spans="1:22" ht="15.75" thickBot="1">
      <c r="E157" s="419"/>
      <c r="F157" s="420"/>
      <c r="G157" s="421"/>
      <c r="H157" s="419"/>
      <c r="I157" s="420"/>
      <c r="J157" s="421"/>
      <c r="K157" s="410"/>
      <c r="L157" s="411"/>
      <c r="M157" s="412"/>
      <c r="N157" s="419"/>
      <c r="O157" s="420"/>
      <c r="P157" s="421"/>
      <c r="Q157" s="410"/>
      <c r="R157" s="411"/>
      <c r="S157" s="412"/>
      <c r="T157" s="410"/>
      <c r="U157" s="411"/>
      <c r="V157" s="412"/>
    </row>
    <row r="158" spans="1:22" ht="15.75" thickBot="1">
      <c r="A158" s="394" t="s">
        <v>76</v>
      </c>
      <c r="B158" s="395" t="s">
        <v>77</v>
      </c>
      <c r="C158" s="17" t="s">
        <v>78</v>
      </c>
      <c r="E158" s="26">
        <f>+'[2]DETALLADA FINANCIERA CONSORCIOS'!J928</f>
        <v>25714830520.300003</v>
      </c>
      <c r="F158" s="396" t="s">
        <v>79</v>
      </c>
      <c r="G158" s="403">
        <f>+E158/E159</f>
        <v>2.9675438491874329</v>
      </c>
      <c r="H158" s="26">
        <v>16630378000</v>
      </c>
      <c r="I158" s="396" t="s">
        <v>79</v>
      </c>
      <c r="J158" s="403">
        <f>+H158/H159</f>
        <v>58.193549515881266</v>
      </c>
      <c r="K158" s="26">
        <v>14333855000</v>
      </c>
      <c r="L158" s="396" t="s">
        <v>79</v>
      </c>
      <c r="M158" s="403">
        <f>+K158/K159</f>
        <v>27.114791652479212</v>
      </c>
      <c r="N158" s="26">
        <f>+'[2]DETALLADA FINANCIERA CONSORCIOS'!J951</f>
        <v>3033239424.2000003</v>
      </c>
      <c r="O158" s="396" t="s">
        <v>79</v>
      </c>
      <c r="P158" s="403">
        <f t="shared" ref="P158" si="0">+N158/N159</f>
        <v>35.425472641629334</v>
      </c>
      <c r="Q158" s="26">
        <f>+'[2]DETALLADA FINANCIERA CONSORCIOS'!J974</f>
        <v>3531349829.5</v>
      </c>
      <c r="R158" s="396" t="s">
        <v>79</v>
      </c>
      <c r="S158" s="403">
        <f t="shared" ref="S158" si="1">+Q158/Q159</f>
        <v>2.4561051596899666</v>
      </c>
      <c r="T158" s="26">
        <f>+'[2]DETALLADA FINANCIERA CONSORCIOS'!J997</f>
        <v>2304658809.9000001</v>
      </c>
      <c r="U158" s="396" t="s">
        <v>79</v>
      </c>
      <c r="V158" s="403">
        <f t="shared" ref="V158" si="2">+T158/T159</f>
        <v>21.171708406522807</v>
      </c>
    </row>
    <row r="159" spans="1:22" ht="15.75" thickTop="1">
      <c r="A159" s="394"/>
      <c r="B159" s="395"/>
      <c r="C159" t="s">
        <v>80</v>
      </c>
      <c r="E159" s="27">
        <f>+'[2]DETALLADA FINANCIERA CONSORCIOS'!J929</f>
        <v>8665358231.2999992</v>
      </c>
      <c r="F159" s="396"/>
      <c r="G159" s="403"/>
      <c r="H159" s="27">
        <v>285777000</v>
      </c>
      <c r="I159" s="396"/>
      <c r="J159" s="403"/>
      <c r="K159" s="27">
        <v>528636000</v>
      </c>
      <c r="L159" s="396"/>
      <c r="M159" s="403"/>
      <c r="N159" s="27">
        <f>+'[2]DETALLADA FINANCIERA CONSORCIOS'!J952</f>
        <v>85623118</v>
      </c>
      <c r="O159" s="396"/>
      <c r="P159" s="403"/>
      <c r="Q159" s="27">
        <f>+'[2]DETALLADA FINANCIERA CONSORCIOS'!J975</f>
        <v>1437784459.5</v>
      </c>
      <c r="R159" s="396"/>
      <c r="S159" s="403"/>
      <c r="T159" s="27">
        <f>+'[2]DETALLADA FINANCIERA CONSORCIOS'!J998</f>
        <v>108855590</v>
      </c>
      <c r="U159" s="396"/>
      <c r="V159" s="403"/>
    </row>
    <row r="160" spans="1:22">
      <c r="E160" s="27">
        <f>+'[2]DETALLADA FINANCIERA CONSORCIOS'!J930</f>
        <v>0</v>
      </c>
      <c r="G160" s="22"/>
      <c r="H160" s="27"/>
      <c r="J160" s="22"/>
      <c r="K160" s="27"/>
      <c r="M160" s="22"/>
      <c r="N160" s="27">
        <f>+'[2]DETALLADA FINANCIERA CONSORCIOS'!J953</f>
        <v>0</v>
      </c>
      <c r="P160" s="22"/>
      <c r="Q160" s="27">
        <f>+'[2]DETALLADA FINANCIERA CONSORCIOS'!J976</f>
        <v>0</v>
      </c>
      <c r="R160" s="20"/>
      <c r="S160" s="22"/>
      <c r="T160" s="27">
        <f>+'[2]DETALLADA FINANCIERA CONSORCIOS'!J999</f>
        <v>0</v>
      </c>
      <c r="U160" s="20"/>
      <c r="V160" s="22"/>
    </row>
    <row r="161" spans="1:22" ht="15.75" thickBot="1">
      <c r="A161" s="394" t="s">
        <v>81</v>
      </c>
      <c r="B161" s="395" t="s">
        <v>77</v>
      </c>
      <c r="C161" s="23" t="s">
        <v>82</v>
      </c>
      <c r="D161" s="262"/>
      <c r="E161" s="26">
        <f>+'[2]DETALLADA FINANCIERA CONSORCIOS'!J931</f>
        <v>10006053158.5</v>
      </c>
      <c r="F161" s="396" t="s">
        <v>79</v>
      </c>
      <c r="G161" s="397">
        <f>+E161/E162</f>
        <v>0.37107464853758371</v>
      </c>
      <c r="H161" s="26">
        <v>285777000</v>
      </c>
      <c r="I161" s="396" t="s">
        <v>79</v>
      </c>
      <c r="J161" s="397">
        <f>+H161/H162</f>
        <v>1.2863052647157423E-2</v>
      </c>
      <c r="K161" s="26">
        <v>528636000</v>
      </c>
      <c r="L161" s="396" t="s">
        <v>79</v>
      </c>
      <c r="M161" s="397">
        <f>+K161/K162</f>
        <v>2.84370147686503E-2</v>
      </c>
      <c r="N161" s="26">
        <f>+'[2]DETALLADA FINANCIERA CONSORCIOS'!J954</f>
        <v>2183799800.4000001</v>
      </c>
      <c r="O161" s="396" t="s">
        <v>79</v>
      </c>
      <c r="P161" s="397">
        <f t="shared" ref="P161" si="3">+N161/N162</f>
        <v>0.55666279319453316</v>
      </c>
      <c r="Q161" s="26">
        <f>+'[2]DETALLADA FINANCIERA CONSORCIOS'!J977</f>
        <v>1543564146</v>
      </c>
      <c r="R161" s="396" t="s">
        <v>79</v>
      </c>
      <c r="S161" s="397">
        <f t="shared" ref="S161" si="4">+Q161/Q162</f>
        <v>0.42865064864317554</v>
      </c>
      <c r="T161" s="26">
        <f>+'[2]DETALLADA FINANCIERA CONSORCIOS'!J1000</f>
        <v>1388548434.2</v>
      </c>
      <c r="U161" s="396" t="s">
        <v>79</v>
      </c>
      <c r="V161" s="397">
        <f t="shared" ref="V161" si="5">+T161/T162</f>
        <v>0.57053412323985375</v>
      </c>
    </row>
    <row r="162" spans="1:22" ht="15.75" thickTop="1">
      <c r="A162" s="394"/>
      <c r="B162" s="395"/>
      <c r="C162" s="262" t="s">
        <v>83</v>
      </c>
      <c r="D162" s="262"/>
      <c r="E162" s="27">
        <f>+'[2]DETALLADA FINANCIERA CONSORCIOS'!J932</f>
        <v>26965068074.400002</v>
      </c>
      <c r="F162" s="396"/>
      <c r="G162" s="397"/>
      <c r="H162" s="27">
        <v>22216888000</v>
      </c>
      <c r="I162" s="396"/>
      <c r="J162" s="397"/>
      <c r="K162" s="27">
        <v>18589715000</v>
      </c>
      <c r="L162" s="396"/>
      <c r="M162" s="397"/>
      <c r="N162" s="27">
        <f>+'[2]DETALLADA FINANCIERA CONSORCIOS'!J955</f>
        <v>3923020951.1000004</v>
      </c>
      <c r="O162" s="396"/>
      <c r="P162" s="397"/>
      <c r="Q162" s="27">
        <f>+'[2]DETALLADA FINANCIERA CONSORCIOS'!J978</f>
        <v>3600984043.5</v>
      </c>
      <c r="R162" s="396"/>
      <c r="S162" s="397"/>
      <c r="T162" s="27">
        <f>+'[2]DETALLADA FINANCIERA CONSORCIOS'!J1001</f>
        <v>2433769300.8000002</v>
      </c>
      <c r="U162" s="396"/>
      <c r="V162" s="397"/>
    </row>
    <row r="163" spans="1:22">
      <c r="E163" s="27"/>
      <c r="G163" s="22"/>
      <c r="H163" s="27"/>
      <c r="J163" s="22"/>
      <c r="K163" s="27"/>
      <c r="M163" s="22"/>
      <c r="N163" s="27"/>
      <c r="P163" s="22"/>
      <c r="Q163" s="27"/>
      <c r="R163" s="20"/>
      <c r="S163" s="22"/>
      <c r="T163" s="27"/>
      <c r="U163" s="20"/>
      <c r="V163" s="22"/>
    </row>
    <row r="164" spans="1:22">
      <c r="A164" s="394" t="s">
        <v>84</v>
      </c>
      <c r="C164" s="400" t="s">
        <v>85</v>
      </c>
      <c r="E164" s="401"/>
      <c r="F164" s="396">
        <f>+'[2]DETALLADA FINANCIERA CONSORCIOS'!K934</f>
        <v>31253622986</v>
      </c>
      <c r="G164" s="402"/>
      <c r="H164" s="401"/>
      <c r="I164" s="396">
        <f>+H158-H159</f>
        <v>16344601000</v>
      </c>
      <c r="J164" s="402"/>
      <c r="K164" s="401"/>
      <c r="L164" s="396">
        <f>+K158-K159</f>
        <v>13805219000</v>
      </c>
      <c r="M164" s="402"/>
      <c r="N164" s="401"/>
      <c r="O164" s="396">
        <f>+'[2]DETALLADA FINANCIERA CONSORCIOS'!K957</f>
        <v>4202396830</v>
      </c>
      <c r="P164" s="402"/>
      <c r="Q164" s="401"/>
      <c r="R164" s="396">
        <f>+'[2]DETALLADA FINANCIERA CONSORCIOS'!K980</f>
        <v>4187130740</v>
      </c>
      <c r="S164" s="402"/>
      <c r="T164" s="401"/>
      <c r="U164" s="396">
        <f>+'[2]DETALLADA FINANCIERA CONSORCIOS'!K1003</f>
        <v>4913456983</v>
      </c>
      <c r="V164" s="402"/>
    </row>
    <row r="165" spans="1:22">
      <c r="A165" s="394"/>
      <c r="C165" s="400"/>
      <c r="E165" s="401"/>
      <c r="F165" s="396"/>
      <c r="G165" s="402"/>
      <c r="H165" s="401"/>
      <c r="I165" s="396"/>
      <c r="J165" s="402"/>
      <c r="K165" s="401"/>
      <c r="L165" s="396"/>
      <c r="M165" s="402"/>
      <c r="N165" s="401"/>
      <c r="O165" s="396"/>
      <c r="P165" s="402"/>
      <c r="Q165" s="401"/>
      <c r="R165" s="396"/>
      <c r="S165" s="402"/>
      <c r="T165" s="401"/>
      <c r="U165" s="396"/>
      <c r="V165" s="402"/>
    </row>
    <row r="166" spans="1:22">
      <c r="E166" s="27"/>
      <c r="G166" s="22"/>
      <c r="H166" s="27"/>
      <c r="J166" s="22"/>
      <c r="K166" s="27"/>
      <c r="M166" s="22"/>
      <c r="N166" s="27"/>
      <c r="P166" s="22"/>
      <c r="Q166" s="27"/>
      <c r="R166" s="20"/>
      <c r="S166" s="22"/>
      <c r="T166" s="27"/>
      <c r="U166" s="20"/>
      <c r="V166" s="22"/>
    </row>
    <row r="167" spans="1:22" ht="15.75" thickBot="1">
      <c r="A167" s="394" t="s">
        <v>86</v>
      </c>
      <c r="B167" s="395" t="s">
        <v>77</v>
      </c>
      <c r="C167" s="17" t="s">
        <v>87</v>
      </c>
      <c r="E167" s="26">
        <f>+'[2]DETALLADA FINANCIERA CONSORCIOS'!J936</f>
        <v>8033717397.1000004</v>
      </c>
      <c r="F167" s="396" t="s">
        <v>79</v>
      </c>
      <c r="G167" s="403">
        <f>+E167/E168</f>
        <v>155.61954349781718</v>
      </c>
      <c r="H167" s="26">
        <v>12654812000</v>
      </c>
      <c r="I167" s="396" t="s">
        <v>79</v>
      </c>
      <c r="J167" s="403">
        <f>+H167/H168</f>
        <v>1109.1955473748794</v>
      </c>
      <c r="K167" s="26">
        <v>12084180000</v>
      </c>
      <c r="L167" s="396" t="s">
        <v>79</v>
      </c>
      <c r="M167" s="403">
        <f>+K167/K168</f>
        <v>252.58517620500814</v>
      </c>
      <c r="N167" s="26">
        <f>+'[2]DETALLADA FINANCIERA CONSORCIOS'!J959</f>
        <v>731378920.29999995</v>
      </c>
      <c r="O167" s="396" t="s">
        <v>79</v>
      </c>
      <c r="P167" s="403">
        <f t="shared" ref="P167" si="6">+N167/N168</f>
        <v>22.304893068498895</v>
      </c>
      <c r="Q167" s="26">
        <f>+'[2]DETALLADA FINANCIERA CONSORCIOS'!J982</f>
        <v>533360511.5</v>
      </c>
      <c r="R167" s="396" t="s">
        <v>79</v>
      </c>
      <c r="S167" s="403">
        <f t="shared" ref="S167" si="7">+Q167/Q168</f>
        <v>23.126774132466043</v>
      </c>
      <c r="T167" s="26">
        <f>+'[2]DETALLADA FINANCIERA CONSORCIOS'!J1005</f>
        <v>851259332.60000002</v>
      </c>
      <c r="U167" s="396" t="s">
        <v>79</v>
      </c>
      <c r="V167" s="403">
        <f t="shared" ref="V167" si="8">+T167/T168</f>
        <v>52256.558170656848</v>
      </c>
    </row>
    <row r="168" spans="1:22" ht="15.75" thickTop="1">
      <c r="A168" s="394"/>
      <c r="B168" s="395"/>
      <c r="C168" t="s">
        <v>88</v>
      </c>
      <c r="E168" s="27">
        <f>+'[2]DETALLADA FINANCIERA CONSORCIOS'!J937</f>
        <v>51624090.5</v>
      </c>
      <c r="F168" s="396"/>
      <c r="G168" s="403"/>
      <c r="H168" s="27">
        <v>11409000</v>
      </c>
      <c r="I168" s="396"/>
      <c r="J168" s="403"/>
      <c r="K168" s="27">
        <v>47842000</v>
      </c>
      <c r="L168" s="396"/>
      <c r="M168" s="403"/>
      <c r="N168" s="27">
        <f>+'[2]DETALLADA FINANCIERA CONSORCIOS'!J960</f>
        <v>32790066.199999999</v>
      </c>
      <c r="O168" s="396"/>
      <c r="P168" s="403"/>
      <c r="Q168" s="27">
        <f>+'[2]DETALLADA FINANCIERA CONSORCIOS'!J983</f>
        <v>23062469</v>
      </c>
      <c r="R168" s="396"/>
      <c r="S168" s="403"/>
      <c r="T168" s="27">
        <f>+'[2]DETALLADA FINANCIERA CONSORCIOS'!J1006</f>
        <v>16290</v>
      </c>
      <c r="U168" s="396"/>
      <c r="V168" s="403"/>
    </row>
    <row r="169" spans="1:22">
      <c r="E169" s="27"/>
      <c r="G169" s="22"/>
      <c r="H169" s="27"/>
      <c r="J169" s="22"/>
      <c r="K169" s="27"/>
      <c r="M169" s="22"/>
      <c r="N169" s="27"/>
      <c r="P169" s="22"/>
      <c r="Q169" s="27"/>
      <c r="R169" s="20"/>
      <c r="S169" s="22"/>
      <c r="T169" s="27"/>
      <c r="U169" s="20"/>
      <c r="V169" s="22"/>
    </row>
    <row r="170" spans="1:22" ht="15.75" thickBot="1">
      <c r="A170" s="394" t="s">
        <v>89</v>
      </c>
      <c r="B170" s="395" t="s">
        <v>77</v>
      </c>
      <c r="C170" s="23" t="s">
        <v>87</v>
      </c>
      <c r="D170" s="262"/>
      <c r="E170" s="26">
        <f>+E167</f>
        <v>8033717397.1000004</v>
      </c>
      <c r="F170" s="396" t="s">
        <v>79</v>
      </c>
      <c r="G170" s="397">
        <f>+E170/E171</f>
        <v>0.47371368189363122</v>
      </c>
      <c r="H170" s="26">
        <f>+H167</f>
        <v>12654812000</v>
      </c>
      <c r="I170" s="396" t="s">
        <v>79</v>
      </c>
      <c r="J170" s="397">
        <f>+H170/H171</f>
        <v>0.57702557795635612</v>
      </c>
      <c r="K170" s="26">
        <f>+K167</f>
        <v>12084180000</v>
      </c>
      <c r="L170" s="396" t="s">
        <v>79</v>
      </c>
      <c r="M170" s="397">
        <f>+K170/K171</f>
        <v>0.66907298284892058</v>
      </c>
      <c r="N170" s="26">
        <f t="shared" ref="N170" si="9">+N167</f>
        <v>731378920.29999995</v>
      </c>
      <c r="O170" s="396" t="s">
        <v>79</v>
      </c>
      <c r="P170" s="397">
        <f t="shared" ref="P170" si="10">+N170/N171</f>
        <v>0.42052094410514451</v>
      </c>
      <c r="Q170" s="26">
        <f t="shared" ref="Q170" si="11">+Q167</f>
        <v>533360511.5</v>
      </c>
      <c r="R170" s="396" t="s">
        <v>79</v>
      </c>
      <c r="S170" s="397">
        <f t="shared" ref="S170" si="12">+Q170/Q171</f>
        <v>0.25923755872493209</v>
      </c>
      <c r="T170" s="26">
        <f t="shared" ref="T170" si="13">+T167</f>
        <v>851259332.60000002</v>
      </c>
      <c r="U170" s="396" t="s">
        <v>79</v>
      </c>
      <c r="V170" s="397">
        <f t="shared" ref="V170" si="14">+T170/T171</f>
        <v>0.8144300977926916</v>
      </c>
    </row>
    <row r="171" spans="1:22" ht="15.75" thickTop="1">
      <c r="A171" s="394"/>
      <c r="B171" s="395"/>
      <c r="C171" s="262" t="s">
        <v>90</v>
      </c>
      <c r="D171" s="262"/>
      <c r="E171" s="27">
        <f>+E162-E161</f>
        <v>16959014915.900002</v>
      </c>
      <c r="F171" s="396"/>
      <c r="G171" s="397"/>
      <c r="H171" s="27">
        <f>+H162-H161</f>
        <v>21931111000</v>
      </c>
      <c r="I171" s="396"/>
      <c r="J171" s="397"/>
      <c r="K171" s="27">
        <f>+K162-K161</f>
        <v>18061079000</v>
      </c>
      <c r="L171" s="396"/>
      <c r="M171" s="397"/>
      <c r="N171" s="27">
        <f t="shared" ref="N171" si="15">+N162-N161</f>
        <v>1739221150.7000003</v>
      </c>
      <c r="O171" s="396"/>
      <c r="P171" s="397"/>
      <c r="Q171" s="27">
        <f t="shared" ref="Q171" si="16">+Q162-Q161</f>
        <v>2057419897.5</v>
      </c>
      <c r="R171" s="396"/>
      <c r="S171" s="397"/>
      <c r="T171" s="27">
        <f t="shared" ref="T171" si="17">+T162-T161</f>
        <v>1045220866.6000001</v>
      </c>
      <c r="U171" s="396"/>
      <c r="V171" s="397"/>
    </row>
    <row r="172" spans="1:22">
      <c r="E172" s="27"/>
      <c r="G172" s="22"/>
      <c r="H172" s="27"/>
      <c r="J172" s="22"/>
      <c r="K172" s="27"/>
      <c r="M172" s="22"/>
      <c r="N172" s="27"/>
      <c r="P172" s="22"/>
      <c r="Q172" s="27"/>
      <c r="R172" s="20"/>
      <c r="S172" s="22"/>
      <c r="T172" s="27"/>
      <c r="U172" s="20"/>
      <c r="V172" s="22"/>
    </row>
    <row r="173" spans="1:22" ht="15.75" thickBot="1">
      <c r="A173" s="394" t="s">
        <v>91</v>
      </c>
      <c r="B173" s="395" t="s">
        <v>77</v>
      </c>
      <c r="C173" s="23" t="s">
        <v>87</v>
      </c>
      <c r="D173" s="262"/>
      <c r="E173" s="26">
        <f>+E170</f>
        <v>8033717397.1000004</v>
      </c>
      <c r="F173" s="396" t="s">
        <v>79</v>
      </c>
      <c r="G173" s="397">
        <f>+E173/E174</f>
        <v>0.29793054387750728</v>
      </c>
      <c r="H173" s="26">
        <f>+H170</f>
        <v>12654812000</v>
      </c>
      <c r="I173" s="396" t="s">
        <v>79</v>
      </c>
      <c r="J173" s="397">
        <f>+H173/H174</f>
        <v>0.56960326756834712</v>
      </c>
      <c r="K173" s="26">
        <f>+K170</f>
        <v>12084180000</v>
      </c>
      <c r="L173" s="396" t="s">
        <v>79</v>
      </c>
      <c r="M173" s="397">
        <f>+K173/K174</f>
        <v>0.65004654455434097</v>
      </c>
      <c r="N173" s="26">
        <f t="shared" ref="N173" si="18">+N170</f>
        <v>731378920.29999995</v>
      </c>
      <c r="O173" s="396" t="s">
        <v>79</v>
      </c>
      <c r="P173" s="397">
        <f t="shared" ref="P173" si="19">+N173/N174</f>
        <v>0.18643258076277264</v>
      </c>
      <c r="Q173" s="26">
        <f t="shared" ref="Q173" si="20">+Q170</f>
        <v>533360511.5</v>
      </c>
      <c r="R173" s="396" t="s">
        <v>79</v>
      </c>
      <c r="S173" s="397">
        <f t="shared" ref="S173" si="21">+Q173/Q174</f>
        <v>0.14811521102481665</v>
      </c>
      <c r="T173" s="26">
        <f t="shared" ref="T173" si="22">+T170</f>
        <v>851259332.60000002</v>
      </c>
      <c r="U173" s="396" t="s">
        <v>79</v>
      </c>
      <c r="V173" s="397">
        <f t="shared" ref="V173" si="23">+T173/T174</f>
        <v>0.34976993600838996</v>
      </c>
    </row>
    <row r="174" spans="1:22" ht="16.5" thickTop="1" thickBot="1">
      <c r="A174" s="394"/>
      <c r="B174" s="395"/>
      <c r="C174" s="262" t="s">
        <v>92</v>
      </c>
      <c r="D174" s="262"/>
      <c r="E174" s="28">
        <f>+E162</f>
        <v>26965068074.400002</v>
      </c>
      <c r="F174" s="398"/>
      <c r="G174" s="399"/>
      <c r="H174" s="28">
        <f>+H162</f>
        <v>22216888000</v>
      </c>
      <c r="I174" s="398"/>
      <c r="J174" s="399"/>
      <c r="K174" s="28">
        <f>+K162</f>
        <v>18589715000</v>
      </c>
      <c r="L174" s="398"/>
      <c r="M174" s="399"/>
      <c r="N174" s="28">
        <f t="shared" ref="N174" si="24">+N162</f>
        <v>3923020951.1000004</v>
      </c>
      <c r="O174" s="398"/>
      <c r="P174" s="399"/>
      <c r="Q174" s="28">
        <f t="shared" ref="Q174" si="25">+Q162</f>
        <v>3600984043.5</v>
      </c>
      <c r="R174" s="398"/>
      <c r="S174" s="399"/>
      <c r="T174" s="28">
        <f t="shared" ref="T174" si="26">+T162</f>
        <v>2433769300.8000002</v>
      </c>
      <c r="U174" s="398"/>
      <c r="V174" s="399"/>
    </row>
    <row r="175" spans="1:22">
      <c r="K175" s="25"/>
    </row>
    <row r="176" spans="1:22" ht="15.75" thickBot="1"/>
    <row r="177" spans="1:7">
      <c r="E177" s="404" t="s">
        <v>55</v>
      </c>
      <c r="F177" s="405"/>
      <c r="G177" s="406"/>
    </row>
    <row r="178" spans="1:7">
      <c r="E178" s="407"/>
      <c r="F178" s="408"/>
      <c r="G178" s="409"/>
    </row>
    <row r="179" spans="1:7" ht="15.75" thickBot="1">
      <c r="E179" s="410"/>
      <c r="F179" s="411"/>
      <c r="G179" s="412"/>
    </row>
    <row r="180" spans="1:7" ht="15.75" thickBot="1">
      <c r="A180" s="394" t="s">
        <v>76</v>
      </c>
      <c r="B180" s="395" t="s">
        <v>77</v>
      </c>
      <c r="C180" s="17" t="s">
        <v>78</v>
      </c>
      <c r="E180" s="26">
        <f>+'[2]DETALLADA FINANCIERA CONSORCIOS'!J1020</f>
        <v>13320985771.099998</v>
      </c>
      <c r="F180" s="396" t="s">
        <v>79</v>
      </c>
      <c r="G180" s="403">
        <f>+E180/E181</f>
        <v>14.845099248329817</v>
      </c>
    </row>
    <row r="181" spans="1:7" ht="15.75" thickTop="1">
      <c r="A181" s="394"/>
      <c r="B181" s="395"/>
      <c r="C181" t="s">
        <v>80</v>
      </c>
      <c r="E181" s="27">
        <f>+'[2]DETALLADA FINANCIERA CONSORCIOS'!J1021</f>
        <v>897332213.69999993</v>
      </c>
      <c r="F181" s="396"/>
      <c r="G181" s="403"/>
    </row>
    <row r="182" spans="1:7">
      <c r="E182" s="27">
        <f>+'[2]DETALLADA FINANCIERA CONSORCIOS'!J1022</f>
        <v>0</v>
      </c>
      <c r="G182" s="22"/>
    </row>
    <row r="183" spans="1:7" ht="15.75" thickBot="1">
      <c r="A183" s="394" t="s">
        <v>81</v>
      </c>
      <c r="B183" s="395" t="s">
        <v>77</v>
      </c>
      <c r="C183" s="23" t="s">
        <v>82</v>
      </c>
      <c r="D183" s="262"/>
      <c r="E183" s="26">
        <f>+'[2]DETALLADA FINANCIERA CONSORCIOS'!J1023</f>
        <v>4222470818.8999996</v>
      </c>
      <c r="F183" s="396" t="s">
        <v>79</v>
      </c>
      <c r="G183" s="397">
        <f>+E183/E184</f>
        <v>0.29960600460734105</v>
      </c>
    </row>
    <row r="184" spans="1:7" ht="15.75" thickTop="1">
      <c r="A184" s="394"/>
      <c r="B184" s="395"/>
      <c r="C184" s="262" t="s">
        <v>83</v>
      </c>
      <c r="D184" s="262"/>
      <c r="E184" s="27">
        <f>+'[2]DETALLADA FINANCIERA CONSORCIOS'!J1024</f>
        <v>14093411860.799999</v>
      </c>
      <c r="F184" s="396"/>
      <c r="G184" s="397"/>
    </row>
    <row r="185" spans="1:7">
      <c r="E185" s="27"/>
      <c r="G185" s="22"/>
    </row>
    <row r="186" spans="1:7">
      <c r="A186" s="394" t="s">
        <v>84</v>
      </c>
      <c r="C186" s="400" t="s">
        <v>85</v>
      </c>
      <c r="E186" s="401"/>
      <c r="F186" s="396">
        <f>+'[2]DETALLADA FINANCIERA CONSORCIOS'!K1026</f>
        <v>25988038002</v>
      </c>
      <c r="G186" s="402"/>
    </row>
    <row r="187" spans="1:7">
      <c r="A187" s="394"/>
      <c r="C187" s="400"/>
      <c r="E187" s="401"/>
      <c r="F187" s="396"/>
      <c r="G187" s="402"/>
    </row>
    <row r="188" spans="1:7">
      <c r="E188" s="27"/>
      <c r="G188" s="22"/>
    </row>
    <row r="189" spans="1:7" ht="15.75" thickBot="1">
      <c r="A189" s="394" t="s">
        <v>86</v>
      </c>
      <c r="B189" s="395" t="s">
        <v>77</v>
      </c>
      <c r="C189" s="17" t="s">
        <v>87</v>
      </c>
      <c r="E189" s="26">
        <f>+'[2]DETALLADA FINANCIERA CONSORCIOS'!J1028</f>
        <v>613756429.79999995</v>
      </c>
      <c r="F189" s="396" t="s">
        <v>79</v>
      </c>
      <c r="G189" s="403" t="s">
        <v>103</v>
      </c>
    </row>
    <row r="190" spans="1:7" ht="15.75" thickTop="1">
      <c r="A190" s="394"/>
      <c r="B190" s="395"/>
      <c r="C190" t="s">
        <v>88</v>
      </c>
      <c r="E190" s="27">
        <f>+'[2]DETALLADA FINANCIERA CONSORCIOS'!J1029</f>
        <v>0</v>
      </c>
      <c r="F190" s="396"/>
      <c r="G190" s="403"/>
    </row>
    <row r="191" spans="1:7">
      <c r="E191" s="27"/>
      <c r="G191" s="22"/>
    </row>
    <row r="192" spans="1:7" ht="15.75" thickBot="1">
      <c r="A192" s="394" t="s">
        <v>89</v>
      </c>
      <c r="B192" s="395" t="s">
        <v>77</v>
      </c>
      <c r="C192" s="23" t="s">
        <v>87</v>
      </c>
      <c r="D192" s="262"/>
      <c r="E192" s="26">
        <f>+E189</f>
        <v>613756429.79999995</v>
      </c>
      <c r="F192" s="396" t="s">
        <v>79</v>
      </c>
      <c r="G192" s="397">
        <f>+E192/E193</f>
        <v>6.2178107152574137E-2</v>
      </c>
    </row>
    <row r="193" spans="1:7" ht="15.75" thickTop="1">
      <c r="A193" s="394"/>
      <c r="B193" s="395"/>
      <c r="C193" s="262" t="s">
        <v>90</v>
      </c>
      <c r="D193" s="262"/>
      <c r="E193" s="27">
        <f>+E184-E183</f>
        <v>9870941041.8999996</v>
      </c>
      <c r="F193" s="396"/>
      <c r="G193" s="397"/>
    </row>
    <row r="194" spans="1:7">
      <c r="E194" s="27"/>
      <c r="G194" s="22"/>
    </row>
    <row r="195" spans="1:7" ht="15.75" thickBot="1">
      <c r="A195" s="394" t="s">
        <v>91</v>
      </c>
      <c r="B195" s="395" t="s">
        <v>77</v>
      </c>
      <c r="C195" s="23" t="s">
        <v>87</v>
      </c>
      <c r="D195" s="262"/>
      <c r="E195" s="26">
        <f>+E192</f>
        <v>613756429.79999995</v>
      </c>
      <c r="F195" s="396" t="s">
        <v>79</v>
      </c>
      <c r="G195" s="397">
        <f>+E195/E196</f>
        <v>4.3549172894544262E-2</v>
      </c>
    </row>
    <row r="196" spans="1:7" ht="16.5" thickTop="1" thickBot="1">
      <c r="A196" s="394"/>
      <c r="B196" s="395"/>
      <c r="C196" s="262" t="s">
        <v>92</v>
      </c>
      <c r="D196" s="262"/>
      <c r="E196" s="28">
        <f>+E184</f>
        <v>14093411860.799999</v>
      </c>
      <c r="F196" s="398"/>
      <c r="G196" s="399"/>
    </row>
  </sheetData>
  <mergeCells count="745">
    <mergeCell ref="E1:G3"/>
    <mergeCell ref="H1:J3"/>
    <mergeCell ref="K1:M3"/>
    <mergeCell ref="N1:P3"/>
    <mergeCell ref="Q1:S3"/>
    <mergeCell ref="T1:V3"/>
    <mergeCell ref="V7:V8"/>
    <mergeCell ref="U4:U5"/>
    <mergeCell ref="V4:V5"/>
    <mergeCell ref="O4:O5"/>
    <mergeCell ref="P4:P5"/>
    <mergeCell ref="R4:R5"/>
    <mergeCell ref="S4:S5"/>
    <mergeCell ref="A7:A8"/>
    <mergeCell ref="B7:B8"/>
    <mergeCell ref="F7:F8"/>
    <mergeCell ref="G7:G8"/>
    <mergeCell ref="I7:I8"/>
    <mergeCell ref="J7:J8"/>
    <mergeCell ref="L7:L8"/>
    <mergeCell ref="M7:M8"/>
    <mergeCell ref="L4:L5"/>
    <mergeCell ref="M4:M5"/>
    <mergeCell ref="A4:A5"/>
    <mergeCell ref="B4:B5"/>
    <mergeCell ref="F4:F5"/>
    <mergeCell ref="G4:G5"/>
    <mergeCell ref="I4:I5"/>
    <mergeCell ref="J4:J5"/>
    <mergeCell ref="E10:E11"/>
    <mergeCell ref="F10:G11"/>
    <mergeCell ref="H10:H11"/>
    <mergeCell ref="I10:J11"/>
    <mergeCell ref="O7:O8"/>
    <mergeCell ref="P7:P8"/>
    <mergeCell ref="R7:R8"/>
    <mergeCell ref="S7:S8"/>
    <mergeCell ref="U7:U8"/>
    <mergeCell ref="O13:O14"/>
    <mergeCell ref="P13:P14"/>
    <mergeCell ref="R13:R14"/>
    <mergeCell ref="S13:S14"/>
    <mergeCell ref="U13:U14"/>
    <mergeCell ref="V13:V14"/>
    <mergeCell ref="T10:T11"/>
    <mergeCell ref="U10:V11"/>
    <mergeCell ref="A13:A14"/>
    <mergeCell ref="B13:B14"/>
    <mergeCell ref="F13:F14"/>
    <mergeCell ref="G13:G14"/>
    <mergeCell ref="I13:I14"/>
    <mergeCell ref="J13:J14"/>
    <mergeCell ref="L13:L14"/>
    <mergeCell ref="M13:M14"/>
    <mergeCell ref="K10:K11"/>
    <mergeCell ref="L10:M11"/>
    <mergeCell ref="N10:N11"/>
    <mergeCell ref="O10:P11"/>
    <mergeCell ref="Q10:Q11"/>
    <mergeCell ref="R10:S11"/>
    <mergeCell ref="A10:A11"/>
    <mergeCell ref="C10:C11"/>
    <mergeCell ref="U16:U17"/>
    <mergeCell ref="V16:V17"/>
    <mergeCell ref="A19:A20"/>
    <mergeCell ref="B19:B20"/>
    <mergeCell ref="F19:F20"/>
    <mergeCell ref="G19:G20"/>
    <mergeCell ref="I19:I20"/>
    <mergeCell ref="J19:J20"/>
    <mergeCell ref="L19:L20"/>
    <mergeCell ref="M19:M20"/>
    <mergeCell ref="L16:L17"/>
    <mergeCell ref="M16:M17"/>
    <mergeCell ref="O16:O17"/>
    <mergeCell ref="P16:P17"/>
    <mergeCell ref="R16:R17"/>
    <mergeCell ref="S16:S17"/>
    <mergeCell ref="A16:A17"/>
    <mergeCell ref="B16:B17"/>
    <mergeCell ref="F16:F17"/>
    <mergeCell ref="G16:G17"/>
    <mergeCell ref="I16:I17"/>
    <mergeCell ref="J16:J17"/>
    <mergeCell ref="E23:G25"/>
    <mergeCell ref="H23:J25"/>
    <mergeCell ref="K23:M25"/>
    <mergeCell ref="N23:P25"/>
    <mergeCell ref="Q23:S25"/>
    <mergeCell ref="T23:V25"/>
    <mergeCell ref="O19:O20"/>
    <mergeCell ref="P19:P20"/>
    <mergeCell ref="R19:R20"/>
    <mergeCell ref="S19:S20"/>
    <mergeCell ref="U19:U20"/>
    <mergeCell ref="V19:V20"/>
    <mergeCell ref="V29:V30"/>
    <mergeCell ref="U26:U27"/>
    <mergeCell ref="V26:V27"/>
    <mergeCell ref="A29:A30"/>
    <mergeCell ref="B29:B30"/>
    <mergeCell ref="F29:F30"/>
    <mergeCell ref="G29:G30"/>
    <mergeCell ref="I29:I30"/>
    <mergeCell ref="J29:J30"/>
    <mergeCell ref="L29:L30"/>
    <mergeCell ref="M29:M30"/>
    <mergeCell ref="L26:L27"/>
    <mergeCell ref="M26:M27"/>
    <mergeCell ref="O26:O27"/>
    <mergeCell ref="P26:P27"/>
    <mergeCell ref="R26:R27"/>
    <mergeCell ref="S26:S27"/>
    <mergeCell ref="A26:A27"/>
    <mergeCell ref="B26:B27"/>
    <mergeCell ref="F26:F27"/>
    <mergeCell ref="G26:G27"/>
    <mergeCell ref="I26:I27"/>
    <mergeCell ref="J26:J27"/>
    <mergeCell ref="E32:E33"/>
    <mergeCell ref="F32:G33"/>
    <mergeCell ref="H32:H33"/>
    <mergeCell ref="I32:J33"/>
    <mergeCell ref="O29:O30"/>
    <mergeCell ref="P29:P30"/>
    <mergeCell ref="R29:R30"/>
    <mergeCell ref="S29:S30"/>
    <mergeCell ref="U29:U30"/>
    <mergeCell ref="O35:O36"/>
    <mergeCell ref="P35:P36"/>
    <mergeCell ref="R35:R36"/>
    <mergeCell ref="S35:S36"/>
    <mergeCell ref="U35:U36"/>
    <mergeCell ref="V35:V36"/>
    <mergeCell ref="T32:T33"/>
    <mergeCell ref="U32:V33"/>
    <mergeCell ref="A35:A36"/>
    <mergeCell ref="B35:B36"/>
    <mergeCell ref="F35:F36"/>
    <mergeCell ref="G35:G36"/>
    <mergeCell ref="I35:I36"/>
    <mergeCell ref="J35:J36"/>
    <mergeCell ref="L35:L36"/>
    <mergeCell ref="M35:M36"/>
    <mergeCell ref="K32:K33"/>
    <mergeCell ref="L32:M33"/>
    <mergeCell ref="N32:N33"/>
    <mergeCell ref="O32:P33"/>
    <mergeCell ref="Q32:Q33"/>
    <mergeCell ref="R32:S33"/>
    <mergeCell ref="A32:A33"/>
    <mergeCell ref="C32:C33"/>
    <mergeCell ref="U38:U39"/>
    <mergeCell ref="V38:V39"/>
    <mergeCell ref="A41:A42"/>
    <mergeCell ref="B41:B42"/>
    <mergeCell ref="F41:F42"/>
    <mergeCell ref="G41:G42"/>
    <mergeCell ref="I41:I42"/>
    <mergeCell ref="J41:J42"/>
    <mergeCell ref="L41:L42"/>
    <mergeCell ref="M41:M42"/>
    <mergeCell ref="L38:L39"/>
    <mergeCell ref="M38:M39"/>
    <mergeCell ref="O38:O39"/>
    <mergeCell ref="P38:P39"/>
    <mergeCell ref="R38:R39"/>
    <mergeCell ref="S38:S39"/>
    <mergeCell ref="A38:A39"/>
    <mergeCell ref="B38:B39"/>
    <mergeCell ref="F38:F39"/>
    <mergeCell ref="G38:G39"/>
    <mergeCell ref="I38:I39"/>
    <mergeCell ref="J38:J39"/>
    <mergeCell ref="E45:G47"/>
    <mergeCell ref="H45:J47"/>
    <mergeCell ref="K45:M47"/>
    <mergeCell ref="N45:P47"/>
    <mergeCell ref="Q45:S47"/>
    <mergeCell ref="T45:V47"/>
    <mergeCell ref="O41:O42"/>
    <mergeCell ref="P41:P42"/>
    <mergeCell ref="R41:R42"/>
    <mergeCell ref="S41:S42"/>
    <mergeCell ref="U41:U42"/>
    <mergeCell ref="V41:V42"/>
    <mergeCell ref="V51:V52"/>
    <mergeCell ref="U48:U49"/>
    <mergeCell ref="V48:V49"/>
    <mergeCell ref="A51:A52"/>
    <mergeCell ref="B51:B52"/>
    <mergeCell ref="F51:F52"/>
    <mergeCell ref="G51:G52"/>
    <mergeCell ref="I51:I52"/>
    <mergeCell ref="J51:J52"/>
    <mergeCell ref="L51:L52"/>
    <mergeCell ref="M51:M52"/>
    <mergeCell ref="L48:L49"/>
    <mergeCell ref="M48:M49"/>
    <mergeCell ref="O48:O49"/>
    <mergeCell ref="P48:P49"/>
    <mergeCell ref="R48:R49"/>
    <mergeCell ref="S48:S49"/>
    <mergeCell ref="A48:A49"/>
    <mergeCell ref="B48:B49"/>
    <mergeCell ref="F48:F49"/>
    <mergeCell ref="G48:G49"/>
    <mergeCell ref="I48:I49"/>
    <mergeCell ref="J48:J49"/>
    <mergeCell ref="E54:E55"/>
    <mergeCell ref="F54:G55"/>
    <mergeCell ref="H54:H55"/>
    <mergeCell ref="I54:J55"/>
    <mergeCell ref="O51:O52"/>
    <mergeCell ref="P51:P52"/>
    <mergeCell ref="R51:R52"/>
    <mergeCell ref="S51:S52"/>
    <mergeCell ref="U51:U52"/>
    <mergeCell ref="O57:O58"/>
    <mergeCell ref="P57:P58"/>
    <mergeCell ref="R57:R58"/>
    <mergeCell ref="S57:S58"/>
    <mergeCell ref="U57:U58"/>
    <mergeCell ref="V57:V58"/>
    <mergeCell ref="T54:T55"/>
    <mergeCell ref="U54:V55"/>
    <mergeCell ref="A57:A58"/>
    <mergeCell ref="B57:B58"/>
    <mergeCell ref="F57:F58"/>
    <mergeCell ref="G57:G58"/>
    <mergeCell ref="I57:I58"/>
    <mergeCell ref="J57:J58"/>
    <mergeCell ref="L57:L58"/>
    <mergeCell ref="M57:M58"/>
    <mergeCell ref="K54:K55"/>
    <mergeCell ref="L54:M55"/>
    <mergeCell ref="N54:N55"/>
    <mergeCell ref="O54:P55"/>
    <mergeCell ref="Q54:Q55"/>
    <mergeCell ref="R54:S55"/>
    <mergeCell ref="A54:A55"/>
    <mergeCell ref="C54:C55"/>
    <mergeCell ref="U60:U61"/>
    <mergeCell ref="V60:V61"/>
    <mergeCell ref="A63:A64"/>
    <mergeCell ref="B63:B64"/>
    <mergeCell ref="F63:F64"/>
    <mergeCell ref="G63:G64"/>
    <mergeCell ref="I63:I64"/>
    <mergeCell ref="J63:J64"/>
    <mergeCell ref="L63:L64"/>
    <mergeCell ref="M63:M64"/>
    <mergeCell ref="L60:L61"/>
    <mergeCell ref="M60:M61"/>
    <mergeCell ref="O60:O61"/>
    <mergeCell ref="P60:P61"/>
    <mergeCell ref="R60:R61"/>
    <mergeCell ref="S60:S61"/>
    <mergeCell ref="A60:A61"/>
    <mergeCell ref="B60:B61"/>
    <mergeCell ref="F60:F61"/>
    <mergeCell ref="G60:G61"/>
    <mergeCell ref="I60:I61"/>
    <mergeCell ref="J60:J61"/>
    <mergeCell ref="E67:G69"/>
    <mergeCell ref="H67:J69"/>
    <mergeCell ref="K67:M69"/>
    <mergeCell ref="N67:P69"/>
    <mergeCell ref="Q67:S69"/>
    <mergeCell ref="T67:V69"/>
    <mergeCell ref="O63:O64"/>
    <mergeCell ref="P63:P64"/>
    <mergeCell ref="R63:R64"/>
    <mergeCell ref="S63:S64"/>
    <mergeCell ref="U63:U64"/>
    <mergeCell ref="V63:V64"/>
    <mergeCell ref="V73:V74"/>
    <mergeCell ref="U70:U71"/>
    <mergeCell ref="V70:V71"/>
    <mergeCell ref="A73:A74"/>
    <mergeCell ref="B73:B74"/>
    <mergeCell ref="F73:F74"/>
    <mergeCell ref="G73:G74"/>
    <mergeCell ref="I73:I74"/>
    <mergeCell ref="J73:J74"/>
    <mergeCell ref="L73:L74"/>
    <mergeCell ref="M73:M74"/>
    <mergeCell ref="L70:L71"/>
    <mergeCell ref="M70:M71"/>
    <mergeCell ref="O70:O71"/>
    <mergeCell ref="P70:P71"/>
    <mergeCell ref="R70:R71"/>
    <mergeCell ref="S70:S71"/>
    <mergeCell ref="A70:A71"/>
    <mergeCell ref="B70:B71"/>
    <mergeCell ref="F70:F71"/>
    <mergeCell ref="G70:G71"/>
    <mergeCell ref="I70:I71"/>
    <mergeCell ref="J70:J71"/>
    <mergeCell ref="E76:E77"/>
    <mergeCell ref="F76:G77"/>
    <mergeCell ref="H76:H77"/>
    <mergeCell ref="I76:J77"/>
    <mergeCell ref="O73:O74"/>
    <mergeCell ref="P73:P74"/>
    <mergeCell ref="R73:R74"/>
    <mergeCell ref="S73:S74"/>
    <mergeCell ref="U73:U74"/>
    <mergeCell ref="O79:O80"/>
    <mergeCell ref="P79:P80"/>
    <mergeCell ref="R79:R80"/>
    <mergeCell ref="S79:S80"/>
    <mergeCell ref="U79:U80"/>
    <mergeCell ref="V79:V80"/>
    <mergeCell ref="T76:T77"/>
    <mergeCell ref="U76:V77"/>
    <mergeCell ref="A79:A80"/>
    <mergeCell ref="B79:B80"/>
    <mergeCell ref="F79:F80"/>
    <mergeCell ref="G79:G80"/>
    <mergeCell ref="I79:I80"/>
    <mergeCell ref="J79:J80"/>
    <mergeCell ref="L79:L80"/>
    <mergeCell ref="M79:M80"/>
    <mergeCell ref="K76:K77"/>
    <mergeCell ref="L76:M77"/>
    <mergeCell ref="N76:N77"/>
    <mergeCell ref="O76:P77"/>
    <mergeCell ref="Q76:Q77"/>
    <mergeCell ref="R76:S77"/>
    <mergeCell ref="A76:A77"/>
    <mergeCell ref="C76:C77"/>
    <mergeCell ref="U82:U83"/>
    <mergeCell ref="V82:V83"/>
    <mergeCell ref="A85:A86"/>
    <mergeCell ref="B85:B86"/>
    <mergeCell ref="F85:F86"/>
    <mergeCell ref="G85:G86"/>
    <mergeCell ref="I85:I86"/>
    <mergeCell ref="J85:J86"/>
    <mergeCell ref="L85:L86"/>
    <mergeCell ref="M85:M86"/>
    <mergeCell ref="L82:L83"/>
    <mergeCell ref="M82:M83"/>
    <mergeCell ref="O82:O83"/>
    <mergeCell ref="P82:P83"/>
    <mergeCell ref="R82:R83"/>
    <mergeCell ref="S82:S83"/>
    <mergeCell ref="A82:A83"/>
    <mergeCell ref="B82:B83"/>
    <mergeCell ref="F82:F83"/>
    <mergeCell ref="G82:G83"/>
    <mergeCell ref="I82:I83"/>
    <mergeCell ref="J82:J83"/>
    <mergeCell ref="E89:G91"/>
    <mergeCell ref="H89:J91"/>
    <mergeCell ref="K89:M91"/>
    <mergeCell ref="N89:P91"/>
    <mergeCell ref="Q89:S91"/>
    <mergeCell ref="T89:V91"/>
    <mergeCell ref="O85:O86"/>
    <mergeCell ref="P85:P86"/>
    <mergeCell ref="R85:R86"/>
    <mergeCell ref="S85:S86"/>
    <mergeCell ref="U85:U86"/>
    <mergeCell ref="V85:V86"/>
    <mergeCell ref="V95:V96"/>
    <mergeCell ref="U92:U93"/>
    <mergeCell ref="V92:V93"/>
    <mergeCell ref="A95:A96"/>
    <mergeCell ref="B95:B96"/>
    <mergeCell ref="F95:F96"/>
    <mergeCell ref="G95:G96"/>
    <mergeCell ref="I95:I96"/>
    <mergeCell ref="J95:J96"/>
    <mergeCell ref="L95:L96"/>
    <mergeCell ref="M95:M96"/>
    <mergeCell ref="L92:L93"/>
    <mergeCell ref="M92:M93"/>
    <mergeCell ref="O92:O93"/>
    <mergeCell ref="P92:P93"/>
    <mergeCell ref="R92:R93"/>
    <mergeCell ref="S92:S93"/>
    <mergeCell ref="A92:A93"/>
    <mergeCell ref="B92:B93"/>
    <mergeCell ref="F92:F93"/>
    <mergeCell ref="G92:G93"/>
    <mergeCell ref="I92:I93"/>
    <mergeCell ref="J92:J93"/>
    <mergeCell ref="E98:E99"/>
    <mergeCell ref="F98:G99"/>
    <mergeCell ref="H98:H99"/>
    <mergeCell ref="I98:J99"/>
    <mergeCell ref="O95:O96"/>
    <mergeCell ref="P95:P96"/>
    <mergeCell ref="R95:R96"/>
    <mergeCell ref="S95:S96"/>
    <mergeCell ref="U95:U96"/>
    <mergeCell ref="O101:O102"/>
    <mergeCell ref="P101:P102"/>
    <mergeCell ref="R101:R102"/>
    <mergeCell ref="S101:S102"/>
    <mergeCell ref="U101:U102"/>
    <mergeCell ref="V101:V102"/>
    <mergeCell ref="T98:T99"/>
    <mergeCell ref="U98:V99"/>
    <mergeCell ref="A101:A102"/>
    <mergeCell ref="B101:B102"/>
    <mergeCell ref="F101:F102"/>
    <mergeCell ref="G101:G102"/>
    <mergeCell ref="I101:I102"/>
    <mergeCell ref="J101:J102"/>
    <mergeCell ref="L101:L102"/>
    <mergeCell ref="M101:M102"/>
    <mergeCell ref="K98:K99"/>
    <mergeCell ref="L98:M99"/>
    <mergeCell ref="N98:N99"/>
    <mergeCell ref="O98:P99"/>
    <mergeCell ref="Q98:Q99"/>
    <mergeCell ref="R98:S99"/>
    <mergeCell ref="A98:A99"/>
    <mergeCell ref="C98:C99"/>
    <mergeCell ref="U104:U105"/>
    <mergeCell ref="V104:V105"/>
    <mergeCell ref="A107:A108"/>
    <mergeCell ref="B107:B108"/>
    <mergeCell ref="F107:F108"/>
    <mergeCell ref="G107:G108"/>
    <mergeCell ref="I107:I108"/>
    <mergeCell ref="J107:J108"/>
    <mergeCell ref="L107:L108"/>
    <mergeCell ref="M107:M108"/>
    <mergeCell ref="L104:L105"/>
    <mergeCell ref="M104:M105"/>
    <mergeCell ref="O104:O105"/>
    <mergeCell ref="P104:P105"/>
    <mergeCell ref="R104:R105"/>
    <mergeCell ref="S104:S105"/>
    <mergeCell ref="A104:A105"/>
    <mergeCell ref="B104:B105"/>
    <mergeCell ref="F104:F105"/>
    <mergeCell ref="G104:G105"/>
    <mergeCell ref="I104:I105"/>
    <mergeCell ref="J104:J105"/>
    <mergeCell ref="E111:G113"/>
    <mergeCell ref="H111:J113"/>
    <mergeCell ref="K111:M113"/>
    <mergeCell ref="N111:P113"/>
    <mergeCell ref="Q111:S113"/>
    <mergeCell ref="T111:V113"/>
    <mergeCell ref="O107:O108"/>
    <mergeCell ref="P107:P108"/>
    <mergeCell ref="R107:R108"/>
    <mergeCell ref="S107:S108"/>
    <mergeCell ref="U107:U108"/>
    <mergeCell ref="V107:V108"/>
    <mergeCell ref="V117:V118"/>
    <mergeCell ref="U114:U115"/>
    <mergeCell ref="V114:V115"/>
    <mergeCell ref="A117:A118"/>
    <mergeCell ref="B117:B118"/>
    <mergeCell ref="F117:F118"/>
    <mergeCell ref="G117:G118"/>
    <mergeCell ref="I117:I118"/>
    <mergeCell ref="J117:J118"/>
    <mergeCell ref="L117:L118"/>
    <mergeCell ref="M117:M118"/>
    <mergeCell ref="L114:L115"/>
    <mergeCell ref="M114:M115"/>
    <mergeCell ref="O114:O115"/>
    <mergeCell ref="P114:P115"/>
    <mergeCell ref="R114:R115"/>
    <mergeCell ref="S114:S115"/>
    <mergeCell ref="A114:A115"/>
    <mergeCell ref="B114:B115"/>
    <mergeCell ref="F114:F115"/>
    <mergeCell ref="G114:G115"/>
    <mergeCell ref="I114:I115"/>
    <mergeCell ref="J114:J115"/>
    <mergeCell ref="E120:E121"/>
    <mergeCell ref="F120:G121"/>
    <mergeCell ref="H120:H121"/>
    <mergeCell ref="I120:J121"/>
    <mergeCell ref="O117:O118"/>
    <mergeCell ref="P117:P118"/>
    <mergeCell ref="R117:R118"/>
    <mergeCell ref="S117:S118"/>
    <mergeCell ref="U117:U118"/>
    <mergeCell ref="O123:O124"/>
    <mergeCell ref="P123:P124"/>
    <mergeCell ref="R123:R124"/>
    <mergeCell ref="S123:S124"/>
    <mergeCell ref="U123:U124"/>
    <mergeCell ref="V123:V124"/>
    <mergeCell ref="T120:T121"/>
    <mergeCell ref="U120:V121"/>
    <mergeCell ref="A123:A124"/>
    <mergeCell ref="B123:B124"/>
    <mergeCell ref="F123:F124"/>
    <mergeCell ref="G123:G124"/>
    <mergeCell ref="I123:I124"/>
    <mergeCell ref="J123:J124"/>
    <mergeCell ref="L123:L124"/>
    <mergeCell ref="M123:M124"/>
    <mergeCell ref="K120:K121"/>
    <mergeCell ref="L120:M121"/>
    <mergeCell ref="N120:N121"/>
    <mergeCell ref="O120:P121"/>
    <mergeCell ref="Q120:Q121"/>
    <mergeCell ref="R120:S121"/>
    <mergeCell ref="A120:A121"/>
    <mergeCell ref="C120:C121"/>
    <mergeCell ref="U126:U127"/>
    <mergeCell ref="V126:V127"/>
    <mergeCell ref="A129:A130"/>
    <mergeCell ref="B129:B130"/>
    <mergeCell ref="F129:F130"/>
    <mergeCell ref="G129:G130"/>
    <mergeCell ref="I129:I130"/>
    <mergeCell ref="J129:J130"/>
    <mergeCell ref="L129:L130"/>
    <mergeCell ref="M129:M130"/>
    <mergeCell ref="L126:L127"/>
    <mergeCell ref="M126:M127"/>
    <mergeCell ref="O126:O127"/>
    <mergeCell ref="P126:P127"/>
    <mergeCell ref="R126:R127"/>
    <mergeCell ref="S126:S127"/>
    <mergeCell ref="A126:A127"/>
    <mergeCell ref="B126:B127"/>
    <mergeCell ref="F126:F127"/>
    <mergeCell ref="G126:G127"/>
    <mergeCell ref="I126:I127"/>
    <mergeCell ref="J126:J127"/>
    <mergeCell ref="E133:G135"/>
    <mergeCell ref="H133:J135"/>
    <mergeCell ref="K133:M135"/>
    <mergeCell ref="N133:P135"/>
    <mergeCell ref="Q133:S135"/>
    <mergeCell ref="T133:V135"/>
    <mergeCell ref="O129:O130"/>
    <mergeCell ref="P129:P130"/>
    <mergeCell ref="R129:R130"/>
    <mergeCell ref="S129:S130"/>
    <mergeCell ref="U129:U130"/>
    <mergeCell ref="V129:V130"/>
    <mergeCell ref="V139:V140"/>
    <mergeCell ref="U136:U137"/>
    <mergeCell ref="V136:V137"/>
    <mergeCell ref="A139:A140"/>
    <mergeCell ref="B139:B140"/>
    <mergeCell ref="F139:F140"/>
    <mergeCell ref="G139:G140"/>
    <mergeCell ref="I139:I140"/>
    <mergeCell ref="J139:J140"/>
    <mergeCell ref="L139:L140"/>
    <mergeCell ref="M139:M140"/>
    <mergeCell ref="L136:L137"/>
    <mergeCell ref="M136:M137"/>
    <mergeCell ref="O136:O137"/>
    <mergeCell ref="P136:P137"/>
    <mergeCell ref="R136:R137"/>
    <mergeCell ref="S136:S137"/>
    <mergeCell ref="A136:A137"/>
    <mergeCell ref="B136:B137"/>
    <mergeCell ref="F136:F137"/>
    <mergeCell ref="G136:G137"/>
    <mergeCell ref="I136:I137"/>
    <mergeCell ref="J136:J137"/>
    <mergeCell ref="E142:E143"/>
    <mergeCell ref="F142:G143"/>
    <mergeCell ref="H142:H143"/>
    <mergeCell ref="I142:J143"/>
    <mergeCell ref="O139:O140"/>
    <mergeCell ref="P139:P140"/>
    <mergeCell ref="R139:R140"/>
    <mergeCell ref="S139:S140"/>
    <mergeCell ref="U139:U140"/>
    <mergeCell ref="O145:O146"/>
    <mergeCell ref="P145:P146"/>
    <mergeCell ref="R145:R146"/>
    <mergeCell ref="S145:S146"/>
    <mergeCell ref="U145:U146"/>
    <mergeCell ref="V145:V146"/>
    <mergeCell ref="T142:T143"/>
    <mergeCell ref="U142:V143"/>
    <mergeCell ref="A145:A146"/>
    <mergeCell ref="B145:B146"/>
    <mergeCell ref="F145:F146"/>
    <mergeCell ref="G145:G146"/>
    <mergeCell ref="I145:I146"/>
    <mergeCell ref="J145:J146"/>
    <mergeCell ref="L145:L146"/>
    <mergeCell ref="M145:M146"/>
    <mergeCell ref="K142:K143"/>
    <mergeCell ref="L142:M143"/>
    <mergeCell ref="N142:N143"/>
    <mergeCell ref="O142:P143"/>
    <mergeCell ref="Q142:Q143"/>
    <mergeCell ref="R142:S143"/>
    <mergeCell ref="A142:A143"/>
    <mergeCell ref="C142:C143"/>
    <mergeCell ref="A151:A152"/>
    <mergeCell ref="B151:B152"/>
    <mergeCell ref="F151:F152"/>
    <mergeCell ref="G151:G152"/>
    <mergeCell ref="I151:I152"/>
    <mergeCell ref="J151:J152"/>
    <mergeCell ref="L151:L152"/>
    <mergeCell ref="M151:M152"/>
    <mergeCell ref="L148:L149"/>
    <mergeCell ref="M148:M149"/>
    <mergeCell ref="A148:A149"/>
    <mergeCell ref="B148:B149"/>
    <mergeCell ref="F148:F149"/>
    <mergeCell ref="G148:G149"/>
    <mergeCell ref="I148:I149"/>
    <mergeCell ref="J148:J149"/>
    <mergeCell ref="T155:V157"/>
    <mergeCell ref="O151:O152"/>
    <mergeCell ref="P151:P152"/>
    <mergeCell ref="R151:R152"/>
    <mergeCell ref="S151:S152"/>
    <mergeCell ref="U151:U152"/>
    <mergeCell ref="V151:V152"/>
    <mergeCell ref="U148:U149"/>
    <mergeCell ref="V148:V149"/>
    <mergeCell ref="O148:O149"/>
    <mergeCell ref="P148:P149"/>
    <mergeCell ref="R148:R149"/>
    <mergeCell ref="S148:S149"/>
    <mergeCell ref="F158:F159"/>
    <mergeCell ref="G158:G159"/>
    <mergeCell ref="I158:I159"/>
    <mergeCell ref="J158:J159"/>
    <mergeCell ref="E155:G157"/>
    <mergeCell ref="H155:J157"/>
    <mergeCell ref="K155:M157"/>
    <mergeCell ref="N155:P157"/>
    <mergeCell ref="Q155:S157"/>
    <mergeCell ref="O161:O162"/>
    <mergeCell ref="P161:P162"/>
    <mergeCell ref="R161:R162"/>
    <mergeCell ref="S161:S162"/>
    <mergeCell ref="U161:U162"/>
    <mergeCell ref="V161:V162"/>
    <mergeCell ref="U158:U159"/>
    <mergeCell ref="V158:V159"/>
    <mergeCell ref="A161:A162"/>
    <mergeCell ref="B161:B162"/>
    <mergeCell ref="F161:F162"/>
    <mergeCell ref="G161:G162"/>
    <mergeCell ref="I161:I162"/>
    <mergeCell ref="J161:J162"/>
    <mergeCell ref="L161:L162"/>
    <mergeCell ref="M161:M162"/>
    <mergeCell ref="L158:L159"/>
    <mergeCell ref="M158:M159"/>
    <mergeCell ref="O158:O159"/>
    <mergeCell ref="P158:P159"/>
    <mergeCell ref="R158:R159"/>
    <mergeCell ref="S158:S159"/>
    <mergeCell ref="A158:A159"/>
    <mergeCell ref="B158:B159"/>
    <mergeCell ref="V167:V168"/>
    <mergeCell ref="T164:T165"/>
    <mergeCell ref="U164:V165"/>
    <mergeCell ref="A167:A168"/>
    <mergeCell ref="B167:B168"/>
    <mergeCell ref="F167:F168"/>
    <mergeCell ref="G167:G168"/>
    <mergeCell ref="I167:I168"/>
    <mergeCell ref="J167:J168"/>
    <mergeCell ref="L167:L168"/>
    <mergeCell ref="M167:M168"/>
    <mergeCell ref="K164:K165"/>
    <mergeCell ref="L164:M165"/>
    <mergeCell ref="N164:N165"/>
    <mergeCell ref="O164:P165"/>
    <mergeCell ref="Q164:Q165"/>
    <mergeCell ref="R164:S165"/>
    <mergeCell ref="A164:A165"/>
    <mergeCell ref="C164:C165"/>
    <mergeCell ref="E164:E165"/>
    <mergeCell ref="F164:G165"/>
    <mergeCell ref="H164:H165"/>
    <mergeCell ref="I164:J165"/>
    <mergeCell ref="F170:F171"/>
    <mergeCell ref="G170:G171"/>
    <mergeCell ref="I170:I171"/>
    <mergeCell ref="J170:J171"/>
    <mergeCell ref="O167:O168"/>
    <mergeCell ref="P167:P168"/>
    <mergeCell ref="R167:R168"/>
    <mergeCell ref="S167:S168"/>
    <mergeCell ref="U167:U168"/>
    <mergeCell ref="O173:O174"/>
    <mergeCell ref="P173:P174"/>
    <mergeCell ref="R173:R174"/>
    <mergeCell ref="S173:S174"/>
    <mergeCell ref="U173:U174"/>
    <mergeCell ref="V173:V174"/>
    <mergeCell ref="U170:U171"/>
    <mergeCell ref="V170:V171"/>
    <mergeCell ref="A173:A174"/>
    <mergeCell ref="B173:B174"/>
    <mergeCell ref="F173:F174"/>
    <mergeCell ref="G173:G174"/>
    <mergeCell ref="I173:I174"/>
    <mergeCell ref="J173:J174"/>
    <mergeCell ref="L173:L174"/>
    <mergeCell ref="M173:M174"/>
    <mergeCell ref="L170:L171"/>
    <mergeCell ref="M170:M171"/>
    <mergeCell ref="O170:O171"/>
    <mergeCell ref="P170:P171"/>
    <mergeCell ref="R170:R171"/>
    <mergeCell ref="S170:S171"/>
    <mergeCell ref="A170:A171"/>
    <mergeCell ref="B170:B171"/>
    <mergeCell ref="E177:G179"/>
    <mergeCell ref="A180:A181"/>
    <mergeCell ref="B180:B181"/>
    <mergeCell ref="F180:F181"/>
    <mergeCell ref="G180:G181"/>
    <mergeCell ref="A183:A184"/>
    <mergeCell ref="B183:B184"/>
    <mergeCell ref="F183:F184"/>
    <mergeCell ref="G183:G184"/>
    <mergeCell ref="A192:A193"/>
    <mergeCell ref="B192:B193"/>
    <mergeCell ref="F192:F193"/>
    <mergeCell ref="G192:G193"/>
    <mergeCell ref="A195:A196"/>
    <mergeCell ref="B195:B196"/>
    <mergeCell ref="F195:F196"/>
    <mergeCell ref="G195:G196"/>
    <mergeCell ref="A186:A187"/>
    <mergeCell ref="C186:C187"/>
    <mergeCell ref="E186:E187"/>
    <mergeCell ref="F186:G187"/>
    <mergeCell ref="A189:A190"/>
    <mergeCell ref="B189:B190"/>
    <mergeCell ref="F189:F190"/>
    <mergeCell ref="G189:G19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035"/>
  <sheetViews>
    <sheetView zoomScale="70" zoomScaleNormal="70" workbookViewId="0">
      <selection activeCell="O32" sqref="O32"/>
    </sheetView>
  </sheetViews>
  <sheetFormatPr baseColWidth="10" defaultRowHeight="15"/>
  <cols>
    <col min="1" max="1" width="25.42578125" style="76" customWidth="1"/>
    <col min="2" max="2" width="3.7109375" style="76" customWidth="1"/>
    <col min="3" max="3" width="26.5703125" style="76" customWidth="1"/>
    <col min="4" max="4" width="19.42578125" customWidth="1"/>
    <col min="5" max="5" width="11.42578125" style="96"/>
    <col min="6" max="6" width="20.42578125" style="20" customWidth="1"/>
    <col min="7" max="7" width="18.140625" style="20" bestFit="1" customWidth="1"/>
    <col min="8" max="8" width="11.28515625" style="96" customWidth="1"/>
    <col min="9" max="9" width="18.7109375" style="20" customWidth="1"/>
    <col min="10" max="10" width="15.85546875" style="20" bestFit="1" customWidth="1"/>
    <col min="11" max="11" width="18.42578125" style="21" customWidth="1"/>
    <col min="12" max="12" width="14.7109375" bestFit="1" customWidth="1"/>
    <col min="13" max="13" width="14.7109375" customWidth="1"/>
    <col min="14" max="14" width="25.85546875" style="21" bestFit="1" customWidth="1"/>
    <col min="15" max="15" width="14.7109375" customWidth="1"/>
    <col min="16" max="16" width="15.7109375" bestFit="1" customWidth="1"/>
    <col min="17" max="17" width="25.28515625" bestFit="1" customWidth="1"/>
    <col min="21" max="21" width="13.85546875" bestFit="1" customWidth="1"/>
  </cols>
  <sheetData>
    <row r="1" spans="1:15">
      <c r="D1" s="446" t="str">
        <f>+[2]INDICADORES!E1</f>
        <v>CONSORCIO PLC</v>
      </c>
      <c r="E1" s="447"/>
      <c r="F1" s="447"/>
      <c r="G1" s="447"/>
      <c r="H1" s="447"/>
      <c r="I1" s="447"/>
      <c r="J1" s="447"/>
      <c r="K1" s="447"/>
      <c r="L1" s="448"/>
      <c r="M1" s="435" t="s">
        <v>132</v>
      </c>
      <c r="N1" s="433" t="s">
        <v>133</v>
      </c>
      <c r="O1" s="77"/>
    </row>
    <row r="2" spans="1:15">
      <c r="D2" s="434" t="s">
        <v>134</v>
      </c>
      <c r="E2" s="434"/>
      <c r="F2" s="434"/>
      <c r="G2" s="434" t="s">
        <v>652</v>
      </c>
      <c r="H2" s="434"/>
      <c r="I2" s="434"/>
      <c r="J2" s="434" t="s">
        <v>653</v>
      </c>
      <c r="K2" s="434"/>
      <c r="L2" s="434"/>
      <c r="M2" s="436"/>
      <c r="N2" s="433"/>
      <c r="O2" s="78"/>
    </row>
    <row r="3" spans="1:15">
      <c r="D3" s="434"/>
      <c r="E3" s="434"/>
      <c r="F3" s="434"/>
      <c r="G3" s="434"/>
      <c r="H3" s="434"/>
      <c r="I3" s="434"/>
      <c r="J3" s="434"/>
      <c r="K3" s="434"/>
      <c r="L3" s="434"/>
      <c r="M3" s="436"/>
      <c r="N3" s="433"/>
      <c r="O3" s="78"/>
    </row>
    <row r="4" spans="1:15">
      <c r="C4" s="79" t="s">
        <v>135</v>
      </c>
      <c r="D4" s="438" t="s">
        <v>136</v>
      </c>
      <c r="E4" s="439"/>
      <c r="F4" s="440"/>
      <c r="G4" s="438" t="str">
        <f>+D4</f>
        <v>PEQUEÑA EMPRESA</v>
      </c>
      <c r="H4" s="439"/>
      <c r="I4" s="440"/>
      <c r="J4" s="438" t="s">
        <v>163</v>
      </c>
      <c r="K4" s="439"/>
      <c r="L4" s="440"/>
      <c r="M4" s="436"/>
      <c r="N4" s="433"/>
      <c r="O4" s="78"/>
    </row>
    <row r="5" spans="1:15" ht="34.5">
      <c r="D5" s="269" t="s">
        <v>137</v>
      </c>
      <c r="E5" s="80" t="s">
        <v>138</v>
      </c>
      <c r="F5" s="81" t="s">
        <v>139</v>
      </c>
      <c r="G5" s="81" t="s">
        <v>137</v>
      </c>
      <c r="H5" s="80" t="s">
        <v>138</v>
      </c>
      <c r="I5" s="81" t="s">
        <v>139</v>
      </c>
      <c r="J5" s="81" t="s">
        <v>137</v>
      </c>
      <c r="K5" s="82" t="s">
        <v>138</v>
      </c>
      <c r="L5" s="81" t="s">
        <v>139</v>
      </c>
      <c r="M5" s="437"/>
      <c r="N5" s="433"/>
      <c r="O5" s="83"/>
    </row>
    <row r="6" spans="1:15" ht="15.75" thickBot="1">
      <c r="A6" s="427" t="s">
        <v>76</v>
      </c>
      <c r="B6" s="428" t="s">
        <v>77</v>
      </c>
      <c r="C6" s="84" t="s">
        <v>78</v>
      </c>
      <c r="D6" s="85">
        <v>3613688203</v>
      </c>
      <c r="E6" s="86">
        <v>0.25</v>
      </c>
      <c r="F6" s="85">
        <f>+D6*E6</f>
        <v>903422050.75</v>
      </c>
      <c r="G6" s="85">
        <v>2586650594</v>
      </c>
      <c r="H6" s="86">
        <v>0.5</v>
      </c>
      <c r="I6" s="85">
        <f>+G6*H6</f>
        <v>1293325297</v>
      </c>
      <c r="J6" s="85">
        <v>3751786603</v>
      </c>
      <c r="K6" s="86">
        <v>0.25</v>
      </c>
      <c r="L6" s="85">
        <f>+J6*K6</f>
        <v>937946650.75</v>
      </c>
      <c r="M6" s="85">
        <f>+F6+I6+L6</f>
        <v>3134693998.5</v>
      </c>
      <c r="N6" s="430">
        <f>+M6/M7</f>
        <v>4.5400160300152246</v>
      </c>
      <c r="O6" s="20"/>
    </row>
    <row r="7" spans="1:15" ht="15.75" thickTop="1">
      <c r="A7" s="427"/>
      <c r="B7" s="428"/>
      <c r="C7" s="76" t="s">
        <v>80</v>
      </c>
      <c r="D7" s="85">
        <v>86212492</v>
      </c>
      <c r="E7" s="86">
        <f>+E6</f>
        <v>0.25</v>
      </c>
      <c r="F7" s="85">
        <f>+D7*E7</f>
        <v>21553123</v>
      </c>
      <c r="G7" s="85">
        <v>1281343341</v>
      </c>
      <c r="H7" s="86">
        <f>+H6</f>
        <v>0.5</v>
      </c>
      <c r="I7" s="85">
        <f>+G7*H7</f>
        <v>640671670.5</v>
      </c>
      <c r="J7" s="85">
        <v>112936007</v>
      </c>
      <c r="K7" s="86">
        <f>+K6</f>
        <v>0.25</v>
      </c>
      <c r="L7" s="85">
        <f>+J7*K7</f>
        <v>28234001.75</v>
      </c>
      <c r="M7" s="85">
        <f>+F7+I7+L7</f>
        <v>690458795.25</v>
      </c>
      <c r="N7" s="430"/>
      <c r="O7" s="20"/>
    </row>
    <row r="8" spans="1:15">
      <c r="D8" s="88"/>
      <c r="E8" s="89"/>
      <c r="F8" s="89"/>
      <c r="G8" s="89"/>
      <c r="H8" s="89"/>
      <c r="I8" s="89"/>
      <c r="J8" s="89"/>
      <c r="K8" s="98"/>
      <c r="L8" s="89"/>
      <c r="M8" s="91"/>
      <c r="N8" s="92"/>
      <c r="O8" s="20"/>
    </row>
    <row r="9" spans="1:15" ht="15.75" thickBot="1">
      <c r="A9" s="427" t="s">
        <v>81</v>
      </c>
      <c r="B9" s="428" t="s">
        <v>77</v>
      </c>
      <c r="C9" s="93" t="s">
        <v>82</v>
      </c>
      <c r="D9" s="85">
        <v>158373858</v>
      </c>
      <c r="E9" s="86">
        <f>+E7</f>
        <v>0.25</v>
      </c>
      <c r="F9" s="85">
        <f>+D9*E9</f>
        <v>39593464.5</v>
      </c>
      <c r="G9" s="85">
        <v>1281343341</v>
      </c>
      <c r="H9" s="86">
        <f>+H7</f>
        <v>0.5</v>
      </c>
      <c r="I9" s="85">
        <f>+G9*H9</f>
        <v>640671670.5</v>
      </c>
      <c r="J9" s="85">
        <v>267641381</v>
      </c>
      <c r="K9" s="86">
        <f>+K7</f>
        <v>0.25</v>
      </c>
      <c r="L9" s="85">
        <f>+J9*K9</f>
        <v>66910345.25</v>
      </c>
      <c r="M9" s="85">
        <f>+F9+I9+L9</f>
        <v>747175480.25</v>
      </c>
      <c r="N9" s="429">
        <f>+M9/M10</f>
        <v>0.22778012228529768</v>
      </c>
      <c r="O9" s="20"/>
    </row>
    <row r="10" spans="1:15" ht="15.75" thickTop="1">
      <c r="A10" s="427"/>
      <c r="B10" s="428"/>
      <c r="C10" s="94" t="s">
        <v>83</v>
      </c>
      <c r="D10" s="85">
        <v>3693724981</v>
      </c>
      <c r="E10" s="86">
        <f>+E9</f>
        <v>0.25</v>
      </c>
      <c r="F10" s="85">
        <f>+D10*E10</f>
        <v>923431245.25</v>
      </c>
      <c r="G10" s="85">
        <v>2772344480</v>
      </c>
      <c r="H10" s="86">
        <f>+H9</f>
        <v>0.5</v>
      </c>
      <c r="I10" s="85">
        <f>+G10*H10</f>
        <v>1386172240</v>
      </c>
      <c r="J10" s="85">
        <v>3882581390</v>
      </c>
      <c r="K10" s="86">
        <f>+K9</f>
        <v>0.25</v>
      </c>
      <c r="L10" s="85">
        <f>+J10*K10</f>
        <v>970645347.5</v>
      </c>
      <c r="M10" s="85">
        <f>+F10+I10+L10</f>
        <v>3280248832.75</v>
      </c>
      <c r="N10" s="429"/>
      <c r="O10" s="20"/>
    </row>
    <row r="11" spans="1:15">
      <c r="D11" s="88"/>
      <c r="E11" s="86"/>
      <c r="F11" s="89"/>
      <c r="G11" s="89"/>
      <c r="H11" s="86"/>
      <c r="I11" s="89"/>
      <c r="J11" s="89"/>
      <c r="K11" s="86"/>
      <c r="L11" s="89"/>
      <c r="M11" s="91"/>
      <c r="N11" s="92"/>
      <c r="O11" s="20"/>
    </row>
    <row r="12" spans="1:15" ht="19.5">
      <c r="A12" s="76" t="s">
        <v>84</v>
      </c>
      <c r="B12" s="76" t="s">
        <v>140</v>
      </c>
      <c r="C12" s="95" t="s">
        <v>85</v>
      </c>
      <c r="D12" s="85"/>
      <c r="E12" s="85"/>
      <c r="F12" s="85">
        <f>+D6-D7</f>
        <v>3527475711</v>
      </c>
      <c r="G12" s="85"/>
      <c r="H12" s="86"/>
      <c r="I12" s="85">
        <f>+G6-G7</f>
        <v>1305307253</v>
      </c>
      <c r="J12" s="85"/>
      <c r="K12" s="86"/>
      <c r="L12" s="85">
        <f>+J6-J7</f>
        <v>3638850596</v>
      </c>
      <c r="M12" s="85">
        <f>+F12+I12+L12</f>
        <v>8471633560</v>
      </c>
      <c r="N12" s="92">
        <f>+M12</f>
        <v>8471633560</v>
      </c>
      <c r="O12" s="20"/>
    </row>
    <row r="13" spans="1:15">
      <c r="D13" s="88"/>
      <c r="E13" s="86"/>
      <c r="F13" s="89"/>
      <c r="G13" s="89"/>
      <c r="H13" s="86"/>
      <c r="I13" s="89"/>
      <c r="J13" s="89"/>
      <c r="K13" s="86"/>
      <c r="L13" s="89"/>
      <c r="M13" s="91"/>
      <c r="N13" s="92"/>
      <c r="O13" s="20"/>
    </row>
    <row r="14" spans="1:15" ht="15.75" thickBot="1">
      <c r="A14" s="427" t="s">
        <v>86</v>
      </c>
      <c r="B14" s="428" t="s">
        <v>77</v>
      </c>
      <c r="C14" s="84" t="s">
        <v>87</v>
      </c>
      <c r="D14" s="85">
        <v>697647171</v>
      </c>
      <c r="E14" s="86">
        <f>+E10</f>
        <v>0.25</v>
      </c>
      <c r="F14" s="85">
        <f>+D14*E14</f>
        <v>174411792.75</v>
      </c>
      <c r="G14" s="85">
        <v>443769581</v>
      </c>
      <c r="H14" s="86">
        <f>+H10</f>
        <v>0.5</v>
      </c>
      <c r="I14" s="85">
        <f>+G14*H14</f>
        <v>221884790.5</v>
      </c>
      <c r="J14" s="85">
        <v>694373370</v>
      </c>
      <c r="K14" s="86">
        <f>+K10</f>
        <v>0.25</v>
      </c>
      <c r="L14" s="85">
        <f>+J14*K14</f>
        <v>173593342.5</v>
      </c>
      <c r="M14" s="85">
        <f>+F14+I14+L14</f>
        <v>569889925.75</v>
      </c>
      <c r="N14" s="430">
        <f>+M14/M15</f>
        <v>5.4024509705754369</v>
      </c>
      <c r="O14" s="20"/>
    </row>
    <row r="15" spans="1:15" ht="15.75" thickTop="1">
      <c r="A15" s="427"/>
      <c r="B15" s="428"/>
      <c r="C15" s="76" t="s">
        <v>88</v>
      </c>
      <c r="D15" s="85">
        <v>17000</v>
      </c>
      <c r="E15" s="86">
        <f>+E10</f>
        <v>0.25</v>
      </c>
      <c r="F15" s="85">
        <f>+D15*E15</f>
        <v>4250</v>
      </c>
      <c r="G15" s="85">
        <v>210941085</v>
      </c>
      <c r="H15" s="86">
        <f>+H10</f>
        <v>0.5</v>
      </c>
      <c r="I15" s="85">
        <f>+G15*H15</f>
        <v>105470542.5</v>
      </c>
      <c r="J15" s="85">
        <v>50000</v>
      </c>
      <c r="K15" s="86">
        <f>+K10</f>
        <v>0.25</v>
      </c>
      <c r="L15" s="85">
        <f>+J15*K15</f>
        <v>12500</v>
      </c>
      <c r="M15" s="85">
        <f>+F15+I15+L15</f>
        <v>105487292.5</v>
      </c>
      <c r="N15" s="430"/>
      <c r="O15" s="20"/>
    </row>
    <row r="16" spans="1:15">
      <c r="D16" s="88"/>
      <c r="E16" s="86"/>
      <c r="F16" s="89"/>
      <c r="G16" s="89"/>
      <c r="H16" s="86"/>
      <c r="I16" s="89"/>
      <c r="J16" s="89"/>
      <c r="K16" s="86"/>
      <c r="L16" s="89"/>
      <c r="M16" s="91"/>
      <c r="N16" s="92"/>
      <c r="O16" s="20"/>
    </row>
    <row r="17" spans="1:15" ht="15.75" thickBot="1">
      <c r="A17" s="427" t="s">
        <v>89</v>
      </c>
      <c r="B17" s="428" t="s">
        <v>77</v>
      </c>
      <c r="C17" s="93" t="s">
        <v>87</v>
      </c>
      <c r="D17" s="85">
        <f>+D14</f>
        <v>697647171</v>
      </c>
      <c r="E17" s="86">
        <f>+E15</f>
        <v>0.25</v>
      </c>
      <c r="F17" s="85">
        <f>+D17*E17</f>
        <v>174411792.75</v>
      </c>
      <c r="G17" s="85">
        <f>+G14</f>
        <v>443769581</v>
      </c>
      <c r="H17" s="86">
        <f>+H15</f>
        <v>0.5</v>
      </c>
      <c r="I17" s="85">
        <f>+G17*H17</f>
        <v>221884790.5</v>
      </c>
      <c r="J17" s="85">
        <f>+J14</f>
        <v>694373370</v>
      </c>
      <c r="K17" s="86">
        <f>+K15</f>
        <v>0.25</v>
      </c>
      <c r="L17" s="85">
        <f>+J17*K17</f>
        <v>173593342.5</v>
      </c>
      <c r="M17" s="85">
        <f>+F17+I17+L17</f>
        <v>569889925.75</v>
      </c>
      <c r="N17" s="429">
        <f>+M17/M18</f>
        <v>0.22497963795148329</v>
      </c>
      <c r="O17" s="20"/>
    </row>
    <row r="18" spans="1:15" ht="15.75" thickTop="1">
      <c r="A18" s="427"/>
      <c r="B18" s="428"/>
      <c r="C18" s="94" t="s">
        <v>90</v>
      </c>
      <c r="D18" s="85">
        <f>+D10-D9</f>
        <v>3535351123</v>
      </c>
      <c r="E18" s="86">
        <f>+E17</f>
        <v>0.25</v>
      </c>
      <c r="F18" s="85">
        <f>+D18*E18</f>
        <v>883837780.75</v>
      </c>
      <c r="G18" s="85">
        <f>+G10-G9</f>
        <v>1491001139</v>
      </c>
      <c r="H18" s="86">
        <f>+H17</f>
        <v>0.5</v>
      </c>
      <c r="I18" s="85">
        <f>+G18*H18</f>
        <v>745500569.5</v>
      </c>
      <c r="J18" s="85">
        <f>+J10-J9</f>
        <v>3614940009</v>
      </c>
      <c r="K18" s="86">
        <f>+K17</f>
        <v>0.25</v>
      </c>
      <c r="L18" s="85">
        <f>+J18*K18</f>
        <v>903735002.25</v>
      </c>
      <c r="M18" s="85">
        <f>+F18+I18+L18</f>
        <v>2533073352.5</v>
      </c>
      <c r="N18" s="429"/>
      <c r="O18" s="20"/>
    </row>
    <row r="19" spans="1:15">
      <c r="D19" s="88"/>
      <c r="E19" s="86"/>
      <c r="F19" s="89"/>
      <c r="G19" s="89"/>
      <c r="H19" s="86"/>
      <c r="I19" s="89"/>
      <c r="J19" s="89"/>
      <c r="K19" s="86"/>
      <c r="L19" s="89"/>
      <c r="M19" s="91"/>
      <c r="N19" s="92"/>
      <c r="O19" s="20"/>
    </row>
    <row r="20" spans="1:15" ht="15.75" thickBot="1">
      <c r="A20" s="427" t="s">
        <v>91</v>
      </c>
      <c r="B20" s="428" t="s">
        <v>77</v>
      </c>
      <c r="C20" s="93" t="s">
        <v>87</v>
      </c>
      <c r="D20" s="85">
        <f>+D17</f>
        <v>697647171</v>
      </c>
      <c r="E20" s="86">
        <f>+E18</f>
        <v>0.25</v>
      </c>
      <c r="F20" s="85">
        <f>+D20*E20</f>
        <v>174411792.75</v>
      </c>
      <c r="G20" s="85">
        <f>+G17</f>
        <v>443769581</v>
      </c>
      <c r="H20" s="86">
        <f>+H18</f>
        <v>0.5</v>
      </c>
      <c r="I20" s="85">
        <f>+G20*H20</f>
        <v>221884790.5</v>
      </c>
      <c r="J20" s="85">
        <f>+J17</f>
        <v>694373370</v>
      </c>
      <c r="K20" s="86">
        <f>+K18</f>
        <v>0.25</v>
      </c>
      <c r="L20" s="85">
        <f>+J20*K20</f>
        <v>173593342.5</v>
      </c>
      <c r="M20" s="85">
        <f>+F20+I20+L20</f>
        <v>569889925.75</v>
      </c>
      <c r="N20" s="429">
        <f>+M20/M21</f>
        <v>0.17373374850719242</v>
      </c>
      <c r="O20" s="20"/>
    </row>
    <row r="21" spans="1:15" ht="15.75" thickTop="1">
      <c r="A21" s="427"/>
      <c r="B21" s="428"/>
      <c r="C21" s="94" t="s">
        <v>92</v>
      </c>
      <c r="D21" s="85">
        <f>+D10</f>
        <v>3693724981</v>
      </c>
      <c r="E21" s="86">
        <f>+E20</f>
        <v>0.25</v>
      </c>
      <c r="F21" s="85">
        <f>+D21*E21</f>
        <v>923431245.25</v>
      </c>
      <c r="G21" s="85">
        <f>+G10</f>
        <v>2772344480</v>
      </c>
      <c r="H21" s="86">
        <f>+H20</f>
        <v>0.5</v>
      </c>
      <c r="I21" s="85">
        <f>+G21*H21</f>
        <v>1386172240</v>
      </c>
      <c r="J21" s="85">
        <f>+J10</f>
        <v>3882581390</v>
      </c>
      <c r="K21" s="86">
        <f>+K20</f>
        <v>0.25</v>
      </c>
      <c r="L21" s="85">
        <f>+J21*K21</f>
        <v>970645347.5</v>
      </c>
      <c r="M21" s="85">
        <f>+F21+I21+L21</f>
        <v>3280248832.75</v>
      </c>
      <c r="N21" s="429"/>
      <c r="O21" s="20"/>
    </row>
    <row r="25" spans="1:15">
      <c r="D25" s="431" t="str">
        <f>+[2]INDICADORES!H1</f>
        <v>CONSORCIO NEXUS JUDICIAL</v>
      </c>
      <c r="E25" s="432"/>
      <c r="F25" s="432"/>
      <c r="G25" s="432"/>
      <c r="H25" s="432"/>
      <c r="I25" s="432"/>
      <c r="J25" s="432"/>
      <c r="K25" s="433" t="s">
        <v>133</v>
      </c>
    </row>
    <row r="26" spans="1:15">
      <c r="D26" s="434" t="s">
        <v>141</v>
      </c>
      <c r="E26" s="434"/>
      <c r="F26" s="434"/>
      <c r="G26" s="434" t="s">
        <v>654</v>
      </c>
      <c r="H26" s="434"/>
      <c r="I26" s="434"/>
      <c r="J26" s="435" t="s">
        <v>132</v>
      </c>
      <c r="K26" s="433"/>
    </row>
    <row r="27" spans="1:15" ht="26.25" customHeight="1">
      <c r="D27" s="434"/>
      <c r="E27" s="434"/>
      <c r="F27" s="434"/>
      <c r="G27" s="434"/>
      <c r="H27" s="434"/>
      <c r="I27" s="434"/>
      <c r="J27" s="436"/>
      <c r="K27" s="433"/>
    </row>
    <row r="28" spans="1:15" ht="26.25" customHeight="1">
      <c r="C28" s="79" t="s">
        <v>135</v>
      </c>
      <c r="D28" s="438" t="s">
        <v>142</v>
      </c>
      <c r="E28" s="439"/>
      <c r="F28" s="440"/>
      <c r="G28" s="438" t="s">
        <v>143</v>
      </c>
      <c r="H28" s="439"/>
      <c r="I28" s="440"/>
      <c r="J28" s="436"/>
      <c r="K28" s="433"/>
    </row>
    <row r="29" spans="1:15" ht="34.5">
      <c r="D29" s="269" t="s">
        <v>137</v>
      </c>
      <c r="E29" s="80" t="s">
        <v>138</v>
      </c>
      <c r="F29" s="81" t="s">
        <v>139</v>
      </c>
      <c r="G29" s="81" t="s">
        <v>137</v>
      </c>
      <c r="H29" s="80" t="s">
        <v>138</v>
      </c>
      <c r="I29" s="81" t="s">
        <v>139</v>
      </c>
      <c r="J29" s="437"/>
      <c r="K29" s="433"/>
    </row>
    <row r="30" spans="1:15" ht="15.75" thickBot="1">
      <c r="A30" s="427" t="s">
        <v>76</v>
      </c>
      <c r="B30" s="428" t="s">
        <v>77</v>
      </c>
      <c r="C30" s="84" t="s">
        <v>78</v>
      </c>
      <c r="D30" s="85">
        <v>28637489877</v>
      </c>
      <c r="E30" s="86">
        <v>0.9</v>
      </c>
      <c r="F30" s="85">
        <f>+D30*E30</f>
        <v>25773740889.299999</v>
      </c>
      <c r="G30" s="85">
        <v>14857177012</v>
      </c>
      <c r="H30" s="86">
        <v>0.1</v>
      </c>
      <c r="I30" s="85">
        <f>+G30*H30</f>
        <v>1485717701.2</v>
      </c>
      <c r="J30" s="85">
        <f>+F30+I30</f>
        <v>27259458590.5</v>
      </c>
      <c r="K30" s="430">
        <f>+J30/J31</f>
        <v>7.1620155370985117</v>
      </c>
    </row>
    <row r="31" spans="1:15" ht="15.75" thickTop="1">
      <c r="A31" s="427"/>
      <c r="B31" s="428"/>
      <c r="C31" s="76" t="s">
        <v>80</v>
      </c>
      <c r="D31" s="85">
        <v>4049175817</v>
      </c>
      <c r="E31" s="86">
        <f>+E30</f>
        <v>0.9</v>
      </c>
      <c r="F31" s="85">
        <f>+D31*E31</f>
        <v>3644258235.3000002</v>
      </c>
      <c r="G31" s="85">
        <v>1618572987</v>
      </c>
      <c r="H31" s="86">
        <f>+H30</f>
        <v>0.1</v>
      </c>
      <c r="I31" s="85">
        <f>+G31*H31</f>
        <v>161857298.70000002</v>
      </c>
      <c r="J31" s="85">
        <f>+F31+I31</f>
        <v>3806115534</v>
      </c>
      <c r="K31" s="430"/>
    </row>
    <row r="32" spans="1:15">
      <c r="D32" s="88"/>
      <c r="E32" s="89"/>
      <c r="F32" s="89"/>
      <c r="G32" s="89"/>
      <c r="H32" s="89"/>
      <c r="I32" s="89"/>
      <c r="J32" s="91"/>
      <c r="K32" s="92"/>
    </row>
    <row r="33" spans="1:11" ht="15.75" thickBot="1">
      <c r="A33" s="427" t="s">
        <v>81</v>
      </c>
      <c r="B33" s="428" t="s">
        <v>77</v>
      </c>
      <c r="C33" s="93" t="s">
        <v>82</v>
      </c>
      <c r="D33" s="85">
        <v>4049175817</v>
      </c>
      <c r="E33" s="86">
        <f>+E31</f>
        <v>0.9</v>
      </c>
      <c r="F33" s="85">
        <f>+D33*E33</f>
        <v>3644258235.3000002</v>
      </c>
      <c r="G33" s="85">
        <v>1618572987</v>
      </c>
      <c r="H33" s="86">
        <f>+H31</f>
        <v>0.1</v>
      </c>
      <c r="I33" s="85">
        <f>+G33*H33</f>
        <v>161857298.70000002</v>
      </c>
      <c r="J33" s="85">
        <f>+F33+I33</f>
        <v>3806115534</v>
      </c>
      <c r="K33" s="429">
        <f>+J33/J34</f>
        <v>0.13800782962388464</v>
      </c>
    </row>
    <row r="34" spans="1:11" ht="15.75" thickTop="1">
      <c r="A34" s="427"/>
      <c r="B34" s="428"/>
      <c r="C34" s="94" t="s">
        <v>83</v>
      </c>
      <c r="D34" s="85">
        <v>28782489877</v>
      </c>
      <c r="E34" s="86">
        <f>+E33</f>
        <v>0.9</v>
      </c>
      <c r="F34" s="85">
        <f>+D34*E34</f>
        <v>25904240889.299999</v>
      </c>
      <c r="G34" s="85">
        <v>16747417262</v>
      </c>
      <c r="H34" s="86">
        <f>+H33</f>
        <v>0.1</v>
      </c>
      <c r="I34" s="85">
        <f>+G34*H34</f>
        <v>1674741726.2</v>
      </c>
      <c r="J34" s="85">
        <f>+F34+I34</f>
        <v>27578982615.5</v>
      </c>
      <c r="K34" s="429"/>
    </row>
    <row r="35" spans="1:11">
      <c r="D35" s="88"/>
      <c r="E35" s="86"/>
      <c r="F35" s="89"/>
      <c r="G35" s="89"/>
      <c r="H35" s="86"/>
      <c r="I35" s="89"/>
      <c r="J35" s="91"/>
      <c r="K35" s="92"/>
    </row>
    <row r="36" spans="1:11" ht="30" customHeight="1">
      <c r="A36" s="76" t="s">
        <v>84</v>
      </c>
      <c r="B36" s="76" t="s">
        <v>140</v>
      </c>
      <c r="C36" s="95" t="s">
        <v>85</v>
      </c>
      <c r="D36" s="85"/>
      <c r="E36" s="85"/>
      <c r="F36" s="85">
        <f>+D30-D31</f>
        <v>24588314060</v>
      </c>
      <c r="G36" s="85"/>
      <c r="H36" s="86"/>
      <c r="I36" s="85">
        <f>+G30-G31</f>
        <v>13238604025</v>
      </c>
      <c r="J36" s="85">
        <f>+F36+I36</f>
        <v>37826918085</v>
      </c>
      <c r="K36" s="97">
        <f>+F36+I36</f>
        <v>37826918085</v>
      </c>
    </row>
    <row r="37" spans="1:11">
      <c r="D37" s="88"/>
      <c r="E37" s="86"/>
      <c r="F37" s="89"/>
      <c r="G37" s="89"/>
      <c r="H37" s="86"/>
      <c r="I37" s="89"/>
      <c r="J37" s="91"/>
      <c r="K37" s="92"/>
    </row>
    <row r="38" spans="1:11" ht="15.75" thickBot="1">
      <c r="A38" s="427" t="s">
        <v>86</v>
      </c>
      <c r="B38" s="428" t="s">
        <v>77</v>
      </c>
      <c r="C38" s="84" t="s">
        <v>87</v>
      </c>
      <c r="D38" s="85">
        <v>12306004612</v>
      </c>
      <c r="E38" s="86">
        <f>+E34</f>
        <v>0.9</v>
      </c>
      <c r="F38" s="85">
        <f>+D38*E38</f>
        <v>11075404150.800001</v>
      </c>
      <c r="G38" s="85">
        <v>4516580210</v>
      </c>
      <c r="H38" s="86">
        <f>+H34</f>
        <v>0.1</v>
      </c>
      <c r="I38" s="85">
        <f>+G38*H38</f>
        <v>451658021</v>
      </c>
      <c r="J38" s="85">
        <f>+F38+I38</f>
        <v>11527062171.800001</v>
      </c>
      <c r="K38" s="429">
        <f>+J38/J39</f>
        <v>143.86914824943693</v>
      </c>
    </row>
    <row r="39" spans="1:11" ht="15.75" thickTop="1">
      <c r="A39" s="427"/>
      <c r="B39" s="428"/>
      <c r="C39" s="76" t="s">
        <v>88</v>
      </c>
      <c r="D39" s="85">
        <v>86850410</v>
      </c>
      <c r="E39" s="86">
        <f>+E34</f>
        <v>0.9</v>
      </c>
      <c r="F39" s="85">
        <f>+D39*E39</f>
        <v>78165369</v>
      </c>
      <c r="G39" s="85">
        <v>19564800</v>
      </c>
      <c r="H39" s="86">
        <f>+H34</f>
        <v>0.1</v>
      </c>
      <c r="I39" s="85">
        <f>+G39*H39</f>
        <v>1956480</v>
      </c>
      <c r="J39" s="85">
        <f>+F39+I39</f>
        <v>80121849</v>
      </c>
      <c r="K39" s="429"/>
    </row>
    <row r="40" spans="1:11">
      <c r="D40" s="88"/>
      <c r="E40" s="86"/>
      <c r="F40" s="89"/>
      <c r="G40" s="89"/>
      <c r="H40" s="86"/>
      <c r="I40" s="89"/>
      <c r="J40" s="91"/>
      <c r="K40" s="92"/>
    </row>
    <row r="41" spans="1:11" ht="15.75" thickBot="1">
      <c r="A41" s="427" t="s">
        <v>89</v>
      </c>
      <c r="B41" s="428" t="s">
        <v>77</v>
      </c>
      <c r="C41" s="93" t="s">
        <v>87</v>
      </c>
      <c r="D41" s="85">
        <f>+D38</f>
        <v>12306004612</v>
      </c>
      <c r="E41" s="86">
        <f>+E39</f>
        <v>0.9</v>
      </c>
      <c r="F41" s="85">
        <f>+D41*E41</f>
        <v>11075404150.800001</v>
      </c>
      <c r="G41" s="85">
        <f>+G38</f>
        <v>4516580210</v>
      </c>
      <c r="H41" s="86">
        <f>+H39</f>
        <v>0.1</v>
      </c>
      <c r="I41" s="85">
        <f>+G41*H41</f>
        <v>451658021</v>
      </c>
      <c r="J41" s="85">
        <f>+F41+I41</f>
        <v>11527062171.800001</v>
      </c>
      <c r="K41" s="429">
        <f>+J41/J42</f>
        <v>0.48488312883263202</v>
      </c>
    </row>
    <row r="42" spans="1:11" ht="15.75" thickTop="1">
      <c r="A42" s="427"/>
      <c r="B42" s="428"/>
      <c r="C42" s="94" t="s">
        <v>90</v>
      </c>
      <c r="D42" s="85">
        <f>+D34-D33</f>
        <v>24733314060</v>
      </c>
      <c r="E42" s="86">
        <f>+E41</f>
        <v>0.9</v>
      </c>
      <c r="F42" s="85">
        <f>+D42*E42</f>
        <v>22259982654</v>
      </c>
      <c r="G42" s="85">
        <f>+G34-G33</f>
        <v>15128844275</v>
      </c>
      <c r="H42" s="86">
        <f>+H41</f>
        <v>0.1</v>
      </c>
      <c r="I42" s="85">
        <f>+G42*H42</f>
        <v>1512884427.5</v>
      </c>
      <c r="J42" s="85">
        <f>+F42+I42</f>
        <v>23772867081.5</v>
      </c>
      <c r="K42" s="429"/>
    </row>
    <row r="43" spans="1:11">
      <c r="D43" s="88"/>
      <c r="E43" s="86"/>
      <c r="F43" s="89"/>
      <c r="G43" s="89"/>
      <c r="H43" s="86"/>
      <c r="I43" s="89"/>
      <c r="J43" s="91"/>
      <c r="K43" s="92"/>
    </row>
    <row r="44" spans="1:11" ht="15.75" thickBot="1">
      <c r="A44" s="427" t="s">
        <v>91</v>
      </c>
      <c r="B44" s="428" t="s">
        <v>77</v>
      </c>
      <c r="C44" s="93" t="s">
        <v>87</v>
      </c>
      <c r="D44" s="85">
        <f>+D41</f>
        <v>12306004612</v>
      </c>
      <c r="E44" s="86">
        <f>+E42</f>
        <v>0.9</v>
      </c>
      <c r="F44" s="85">
        <f>+D44*E44</f>
        <v>11075404150.800001</v>
      </c>
      <c r="G44" s="85">
        <f>+G41</f>
        <v>4516580210</v>
      </c>
      <c r="H44" s="86">
        <f>+H42</f>
        <v>0.1</v>
      </c>
      <c r="I44" s="85">
        <f>+G44*H44</f>
        <v>451658021</v>
      </c>
      <c r="J44" s="85">
        <f>+F44+I44</f>
        <v>11527062171.800001</v>
      </c>
      <c r="K44" s="429">
        <f>+J44/J45</f>
        <v>0.41796546060120204</v>
      </c>
    </row>
    <row r="45" spans="1:11" ht="15.75" thickTop="1">
      <c r="A45" s="427"/>
      <c r="B45" s="428"/>
      <c r="C45" s="94" t="s">
        <v>92</v>
      </c>
      <c r="D45" s="85">
        <f>+D34</f>
        <v>28782489877</v>
      </c>
      <c r="E45" s="86">
        <f>+E44</f>
        <v>0.9</v>
      </c>
      <c r="F45" s="85">
        <f>+D45*E45</f>
        <v>25904240889.299999</v>
      </c>
      <c r="G45" s="85">
        <f>+G34</f>
        <v>16747417262</v>
      </c>
      <c r="H45" s="86">
        <f>+H44</f>
        <v>0.1</v>
      </c>
      <c r="I45" s="85">
        <f>+G45*H45</f>
        <v>1674741726.2</v>
      </c>
      <c r="J45" s="85">
        <f>+F45+I45</f>
        <v>27578982615.5</v>
      </c>
      <c r="K45" s="429"/>
    </row>
    <row r="48" spans="1:11">
      <c r="D48" s="441" t="str">
        <f>+[2]INDICADORES!K1</f>
        <v>UNION TEMPORAL CARINCEL 2.0</v>
      </c>
      <c r="E48" s="442"/>
      <c r="F48" s="442"/>
      <c r="G48" s="442"/>
      <c r="H48" s="442"/>
      <c r="I48" s="442"/>
      <c r="J48" s="442"/>
      <c r="K48" s="433" t="s">
        <v>133</v>
      </c>
    </row>
    <row r="49" spans="1:11">
      <c r="D49" s="434" t="s">
        <v>144</v>
      </c>
      <c r="E49" s="434"/>
      <c r="F49" s="434"/>
      <c r="G49" s="434" t="s">
        <v>145</v>
      </c>
      <c r="H49" s="434"/>
      <c r="I49" s="434"/>
      <c r="J49" s="435" t="s">
        <v>132</v>
      </c>
      <c r="K49" s="433"/>
    </row>
    <row r="50" spans="1:11">
      <c r="D50" s="434"/>
      <c r="E50" s="434"/>
      <c r="F50" s="434"/>
      <c r="G50" s="434"/>
      <c r="H50" s="434"/>
      <c r="I50" s="434"/>
      <c r="J50" s="436"/>
      <c r="K50" s="433"/>
    </row>
    <row r="51" spans="1:11">
      <c r="C51" s="79" t="s">
        <v>135</v>
      </c>
      <c r="D51" s="438" t="s">
        <v>143</v>
      </c>
      <c r="E51" s="439"/>
      <c r="F51" s="440"/>
      <c r="G51" s="438" t="s">
        <v>143</v>
      </c>
      <c r="H51" s="439"/>
      <c r="I51" s="440"/>
      <c r="J51" s="436"/>
      <c r="K51" s="433"/>
    </row>
    <row r="52" spans="1:11" ht="34.5">
      <c r="D52" s="269" t="s">
        <v>137</v>
      </c>
      <c r="E52" s="80" t="s">
        <v>138</v>
      </c>
      <c r="F52" s="81" t="s">
        <v>139</v>
      </c>
      <c r="G52" s="81" t="s">
        <v>137</v>
      </c>
      <c r="H52" s="80" t="s">
        <v>138</v>
      </c>
      <c r="I52" s="81" t="s">
        <v>139</v>
      </c>
      <c r="J52" s="437"/>
      <c r="K52" s="433"/>
    </row>
    <row r="53" spans="1:11" ht="15.75" thickBot="1">
      <c r="A53" s="427" t="s">
        <v>76</v>
      </c>
      <c r="B53" s="428" t="s">
        <v>77</v>
      </c>
      <c r="C53" s="84" t="s">
        <v>78</v>
      </c>
      <c r="D53" s="85">
        <v>11310812620</v>
      </c>
      <c r="E53" s="86">
        <v>0.9</v>
      </c>
      <c r="F53" s="85">
        <f>+D53*E53</f>
        <v>10179731358</v>
      </c>
      <c r="G53" s="85">
        <v>4938104207</v>
      </c>
      <c r="H53" s="86">
        <v>0.1</v>
      </c>
      <c r="I53" s="85">
        <f>+G53*H53</f>
        <v>493810420.70000005</v>
      </c>
      <c r="J53" s="85">
        <f>+F53+I53</f>
        <v>10673541778.700001</v>
      </c>
      <c r="K53" s="430">
        <f>+J53/J54</f>
        <v>94.058522327883466</v>
      </c>
    </row>
    <row r="54" spans="1:11" ht="15.75" thickTop="1">
      <c r="A54" s="427"/>
      <c r="B54" s="428"/>
      <c r="C54" s="76" t="s">
        <v>80</v>
      </c>
      <c r="D54" s="85">
        <v>118790209</v>
      </c>
      <c r="E54" s="86">
        <f>+E53</f>
        <v>0.9</v>
      </c>
      <c r="F54" s="85">
        <f>+D54*E54</f>
        <v>106911188.10000001</v>
      </c>
      <c r="G54" s="85">
        <v>65664800</v>
      </c>
      <c r="H54" s="86">
        <f>+H53</f>
        <v>0.1</v>
      </c>
      <c r="I54" s="85">
        <f>+G54*H54</f>
        <v>6566480</v>
      </c>
      <c r="J54" s="85">
        <f>+F54+I54</f>
        <v>113477668.10000001</v>
      </c>
      <c r="K54" s="430"/>
    </row>
    <row r="55" spans="1:11">
      <c r="D55" s="88"/>
      <c r="E55" s="89"/>
      <c r="F55" s="89"/>
      <c r="G55" s="89"/>
      <c r="H55" s="89"/>
      <c r="I55" s="89"/>
      <c r="J55" s="91"/>
      <c r="K55" s="92"/>
    </row>
    <row r="56" spans="1:11" ht="15.75" thickBot="1">
      <c r="A56" s="427" t="s">
        <v>81</v>
      </c>
      <c r="B56" s="428" t="s">
        <v>77</v>
      </c>
      <c r="C56" s="93" t="s">
        <v>82</v>
      </c>
      <c r="D56" s="85">
        <v>6055951985</v>
      </c>
      <c r="E56" s="86">
        <f>+E54</f>
        <v>0.9</v>
      </c>
      <c r="F56" s="85">
        <f>+D56*E56</f>
        <v>5450356786.5</v>
      </c>
      <c r="G56" s="85">
        <v>1267664800</v>
      </c>
      <c r="H56" s="86">
        <f>+H54</f>
        <v>0.1</v>
      </c>
      <c r="I56" s="85">
        <f>+G56*H56</f>
        <v>126766480</v>
      </c>
      <c r="J56" s="85">
        <f>+F56+I56</f>
        <v>5577123266.5</v>
      </c>
      <c r="K56" s="429">
        <f>+J56/J57</f>
        <v>0.43902962400466777</v>
      </c>
    </row>
    <row r="57" spans="1:11" ht="15.75" thickTop="1">
      <c r="A57" s="427"/>
      <c r="B57" s="428"/>
      <c r="C57" s="94" t="s">
        <v>83</v>
      </c>
      <c r="D57" s="85">
        <v>13542433351</v>
      </c>
      <c r="E57" s="86">
        <f>+E56</f>
        <v>0.9</v>
      </c>
      <c r="F57" s="85">
        <f>+D57*E57</f>
        <v>12188190015.9</v>
      </c>
      <c r="G57" s="85">
        <v>5151059841</v>
      </c>
      <c r="H57" s="86">
        <f>+H56</f>
        <v>0.1</v>
      </c>
      <c r="I57" s="85">
        <f>+G57*H57</f>
        <v>515105984.10000002</v>
      </c>
      <c r="J57" s="85">
        <f>+F57+I57</f>
        <v>12703296000</v>
      </c>
      <c r="K57" s="429"/>
    </row>
    <row r="58" spans="1:11">
      <c r="D58" s="88"/>
      <c r="E58" s="86"/>
      <c r="F58" s="89"/>
      <c r="G58" s="89"/>
      <c r="H58" s="86"/>
      <c r="I58" s="89"/>
      <c r="J58" s="91"/>
      <c r="K58" s="92"/>
    </row>
    <row r="59" spans="1:11" ht="19.5">
      <c r="A59" s="76" t="s">
        <v>84</v>
      </c>
      <c r="B59" s="76" t="s">
        <v>140</v>
      </c>
      <c r="C59" s="95" t="s">
        <v>85</v>
      </c>
      <c r="D59" s="85"/>
      <c r="E59" s="85"/>
      <c r="F59" s="85">
        <f>+D53-D54</f>
        <v>11192022411</v>
      </c>
      <c r="G59" s="85"/>
      <c r="H59" s="86"/>
      <c r="I59" s="85">
        <f>+G53-G54</f>
        <v>4872439407</v>
      </c>
      <c r="J59" s="85">
        <f>+F59+I59</f>
        <v>16064461818</v>
      </c>
      <c r="K59" s="97">
        <f>+F59+I59</f>
        <v>16064461818</v>
      </c>
    </row>
    <row r="60" spans="1:11">
      <c r="D60" s="88"/>
      <c r="E60" s="86"/>
      <c r="F60" s="89"/>
      <c r="G60" s="89"/>
      <c r="H60" s="86"/>
      <c r="I60" s="89"/>
      <c r="J60" s="91"/>
      <c r="K60" s="92"/>
    </row>
    <row r="61" spans="1:11" ht="15.75" thickBot="1">
      <c r="A61" s="427" t="s">
        <v>86</v>
      </c>
      <c r="B61" s="428" t="s">
        <v>77</v>
      </c>
      <c r="C61" s="84" t="s">
        <v>87</v>
      </c>
      <c r="D61" s="85">
        <v>3085918189</v>
      </c>
      <c r="E61" s="86">
        <f>+E57</f>
        <v>0.9</v>
      </c>
      <c r="F61" s="85">
        <f>+D61*E61</f>
        <v>2777326370.0999999</v>
      </c>
      <c r="G61" s="85">
        <v>530124364</v>
      </c>
      <c r="H61" s="86">
        <f>+H57</f>
        <v>0.1</v>
      </c>
      <c r="I61" s="85">
        <f>+G61*H61</f>
        <v>53012436.400000006</v>
      </c>
      <c r="J61" s="85">
        <f>+F61+I61</f>
        <v>2830338806.5</v>
      </c>
      <c r="K61" s="429">
        <f>+J61/J62</f>
        <v>35.672336926789811</v>
      </c>
    </row>
    <row r="62" spans="1:11" ht="15.75" thickTop="1">
      <c r="A62" s="427"/>
      <c r="B62" s="428"/>
      <c r="C62" s="76" t="s">
        <v>88</v>
      </c>
      <c r="D62" s="85">
        <v>87247422</v>
      </c>
      <c r="E62" s="86">
        <f>+E57</f>
        <v>0.9</v>
      </c>
      <c r="F62" s="85">
        <f>+D62*E62</f>
        <v>78522679.799999997</v>
      </c>
      <c r="G62" s="85">
        <v>8200000</v>
      </c>
      <c r="H62" s="86">
        <f>+H57</f>
        <v>0.1</v>
      </c>
      <c r="I62" s="85">
        <f>+G62*H62</f>
        <v>820000</v>
      </c>
      <c r="J62" s="85">
        <f>+F62+I62</f>
        <v>79342679.799999997</v>
      </c>
      <c r="K62" s="429"/>
    </row>
    <row r="63" spans="1:11">
      <c r="D63" s="88"/>
      <c r="E63" s="86"/>
      <c r="F63" s="89"/>
      <c r="G63" s="89"/>
      <c r="H63" s="86"/>
      <c r="I63" s="89"/>
      <c r="J63" s="91"/>
      <c r="K63" s="92"/>
    </row>
    <row r="64" spans="1:11" ht="15.75" thickBot="1">
      <c r="A64" s="427" t="s">
        <v>89</v>
      </c>
      <c r="B64" s="428" t="s">
        <v>77</v>
      </c>
      <c r="C64" s="93" t="s">
        <v>87</v>
      </c>
      <c r="D64" s="85">
        <f>+D61</f>
        <v>3085918189</v>
      </c>
      <c r="E64" s="86">
        <f>+E62</f>
        <v>0.9</v>
      </c>
      <c r="F64" s="85">
        <f>+D64*E64</f>
        <v>2777326370.0999999</v>
      </c>
      <c r="G64" s="85">
        <f>+G61</f>
        <v>530124364</v>
      </c>
      <c r="H64" s="86">
        <f>+H62</f>
        <v>0.1</v>
      </c>
      <c r="I64" s="85">
        <f>+G64*H64</f>
        <v>53012436.400000006</v>
      </c>
      <c r="J64" s="85">
        <f>+F64+I64</f>
        <v>2830338806.5</v>
      </c>
      <c r="K64" s="429">
        <f>+J64/J65</f>
        <v>0.39717516152739768</v>
      </c>
    </row>
    <row r="65" spans="1:11" ht="15.75" thickTop="1">
      <c r="A65" s="427"/>
      <c r="B65" s="428"/>
      <c r="C65" s="94" t="s">
        <v>90</v>
      </c>
      <c r="D65" s="85">
        <f>+D57-D56</f>
        <v>7486481366</v>
      </c>
      <c r="E65" s="86">
        <f>+E64</f>
        <v>0.9</v>
      </c>
      <c r="F65" s="85">
        <f>+D65*E65</f>
        <v>6737833229.4000006</v>
      </c>
      <c r="G65" s="85">
        <f>+G57-G56</f>
        <v>3883395041</v>
      </c>
      <c r="H65" s="86">
        <f>+H64</f>
        <v>0.1</v>
      </c>
      <c r="I65" s="85">
        <f>+G65*H65</f>
        <v>388339504.10000002</v>
      </c>
      <c r="J65" s="85">
        <f>+F65+I65</f>
        <v>7126172733.500001</v>
      </c>
      <c r="K65" s="429"/>
    </row>
    <row r="66" spans="1:11">
      <c r="D66" s="88"/>
      <c r="E66" s="86"/>
      <c r="F66" s="89"/>
      <c r="G66" s="89"/>
      <c r="H66" s="86"/>
      <c r="I66" s="89"/>
      <c r="J66" s="91"/>
      <c r="K66" s="92"/>
    </row>
    <row r="67" spans="1:11" ht="15.75" thickBot="1">
      <c r="A67" s="427" t="s">
        <v>91</v>
      </c>
      <c r="B67" s="428" t="s">
        <v>77</v>
      </c>
      <c r="C67" s="93" t="s">
        <v>87</v>
      </c>
      <c r="D67" s="85">
        <f>+D64</f>
        <v>3085918189</v>
      </c>
      <c r="E67" s="86">
        <f>+E65</f>
        <v>0.9</v>
      </c>
      <c r="F67" s="85">
        <f>+D67*E67</f>
        <v>2777326370.0999999</v>
      </c>
      <c r="G67" s="85">
        <f>+G64</f>
        <v>530124364</v>
      </c>
      <c r="H67" s="86">
        <f>+H65</f>
        <v>0.1</v>
      </c>
      <c r="I67" s="85">
        <f>+G67*H67</f>
        <v>53012436.400000006</v>
      </c>
      <c r="J67" s="85">
        <f>+F67+I67</f>
        <v>2830338806.5</v>
      </c>
      <c r="K67" s="429">
        <f>+J67/J68</f>
        <v>0.22280349969803112</v>
      </c>
    </row>
    <row r="68" spans="1:11" ht="15.75" thickTop="1">
      <c r="A68" s="427"/>
      <c r="B68" s="428"/>
      <c r="C68" s="94" t="s">
        <v>92</v>
      </c>
      <c r="D68" s="85">
        <f>+D57</f>
        <v>13542433351</v>
      </c>
      <c r="E68" s="86">
        <f>+E67</f>
        <v>0.9</v>
      </c>
      <c r="F68" s="85">
        <f>+D68*E68</f>
        <v>12188190015.9</v>
      </c>
      <c r="G68" s="85">
        <f>+G57</f>
        <v>5151059841</v>
      </c>
      <c r="H68" s="86">
        <f>+H67</f>
        <v>0.1</v>
      </c>
      <c r="I68" s="85">
        <f>+G68*H68</f>
        <v>515105984.10000002</v>
      </c>
      <c r="J68" s="85">
        <f>+F68+I68</f>
        <v>12703296000</v>
      </c>
      <c r="K68" s="429"/>
    </row>
    <row r="71" spans="1:11">
      <c r="D71" s="441" t="str">
        <f>+[2]INDICADORES!N1</f>
        <v>CONSORCIO PALACIO KASAF</v>
      </c>
      <c r="E71" s="442"/>
      <c r="F71" s="442"/>
      <c r="G71" s="442"/>
      <c r="H71" s="442"/>
      <c r="I71" s="442"/>
      <c r="J71" s="442"/>
      <c r="K71" s="433" t="s">
        <v>133</v>
      </c>
    </row>
    <row r="72" spans="1:11">
      <c r="D72" s="434" t="s">
        <v>146</v>
      </c>
      <c r="E72" s="434"/>
      <c r="F72" s="434"/>
      <c r="G72" s="434" t="s">
        <v>147</v>
      </c>
      <c r="H72" s="434"/>
      <c r="I72" s="434"/>
      <c r="J72" s="435" t="s">
        <v>132</v>
      </c>
      <c r="K72" s="433"/>
    </row>
    <row r="73" spans="1:11">
      <c r="D73" s="434"/>
      <c r="E73" s="434"/>
      <c r="F73" s="434"/>
      <c r="G73" s="434"/>
      <c r="H73" s="434"/>
      <c r="I73" s="434"/>
      <c r="J73" s="436"/>
      <c r="K73" s="433"/>
    </row>
    <row r="74" spans="1:11">
      <c r="C74" s="79" t="s">
        <v>135</v>
      </c>
      <c r="D74" s="438" t="s">
        <v>142</v>
      </c>
      <c r="E74" s="439"/>
      <c r="F74" s="440"/>
      <c r="G74" s="438" t="s">
        <v>136</v>
      </c>
      <c r="H74" s="439"/>
      <c r="I74" s="440"/>
      <c r="J74" s="436"/>
      <c r="K74" s="433"/>
    </row>
    <row r="75" spans="1:11" ht="34.5">
      <c r="D75" s="269" t="s">
        <v>137</v>
      </c>
      <c r="E75" s="80" t="s">
        <v>138</v>
      </c>
      <c r="F75" s="81" t="s">
        <v>139</v>
      </c>
      <c r="G75" s="81" t="s">
        <v>137</v>
      </c>
      <c r="H75" s="80" t="s">
        <v>138</v>
      </c>
      <c r="I75" s="81" t="s">
        <v>139</v>
      </c>
      <c r="J75" s="437"/>
      <c r="K75" s="433"/>
    </row>
    <row r="76" spans="1:11" ht="15.75" thickBot="1">
      <c r="A76" s="427" t="s">
        <v>76</v>
      </c>
      <c r="B76" s="428" t="s">
        <v>77</v>
      </c>
      <c r="C76" s="84" t="s">
        <v>78</v>
      </c>
      <c r="D76" s="85">
        <v>26154359041</v>
      </c>
      <c r="E76" s="86">
        <v>0.9</v>
      </c>
      <c r="F76" s="85">
        <f>+D76*E76</f>
        <v>23538923136.900002</v>
      </c>
      <c r="G76" s="85">
        <v>868166700</v>
      </c>
      <c r="H76" s="86">
        <v>0.1</v>
      </c>
      <c r="I76" s="85">
        <f>+G76*H76</f>
        <v>86816670</v>
      </c>
      <c r="J76" s="85">
        <f>+F76+I76</f>
        <v>23625739806.900002</v>
      </c>
      <c r="K76" s="430">
        <f>+J76/J77</f>
        <v>75.177973216928734</v>
      </c>
    </row>
    <row r="77" spans="1:11" ht="15.75" thickTop="1">
      <c r="A77" s="427"/>
      <c r="B77" s="428"/>
      <c r="C77" s="76" t="s">
        <v>80</v>
      </c>
      <c r="D77" s="85">
        <v>349165692</v>
      </c>
      <c r="E77" s="86">
        <f>+E76</f>
        <v>0.9</v>
      </c>
      <c r="F77" s="85">
        <f>+D77*E77</f>
        <v>314249122.80000001</v>
      </c>
      <c r="G77" s="85">
        <v>150000</v>
      </c>
      <c r="H77" s="86">
        <f>+H76</f>
        <v>0.1</v>
      </c>
      <c r="I77" s="85">
        <f>+G77*H77</f>
        <v>15000</v>
      </c>
      <c r="J77" s="85">
        <f>+F77+I77</f>
        <v>314264122.80000001</v>
      </c>
      <c r="K77" s="430"/>
    </row>
    <row r="78" spans="1:11">
      <c r="D78" s="88"/>
      <c r="E78" s="89"/>
      <c r="F78" s="89"/>
      <c r="G78" s="89"/>
      <c r="H78" s="89"/>
      <c r="I78" s="89"/>
      <c r="J78" s="91"/>
      <c r="K78" s="92"/>
    </row>
    <row r="79" spans="1:11" ht="15.75" thickBot="1">
      <c r="A79" s="427" t="s">
        <v>81</v>
      </c>
      <c r="B79" s="428" t="s">
        <v>77</v>
      </c>
      <c r="C79" s="93" t="s">
        <v>82</v>
      </c>
      <c r="D79" s="85">
        <v>20320120461</v>
      </c>
      <c r="E79" s="86">
        <f>+E77</f>
        <v>0.9</v>
      </c>
      <c r="F79" s="85">
        <f>+D79*E79</f>
        <v>18288108414.900002</v>
      </c>
      <c r="G79" s="85">
        <v>639072277</v>
      </c>
      <c r="H79" s="86">
        <f>+H77</f>
        <v>0.1</v>
      </c>
      <c r="I79" s="85">
        <f>+G79*H79</f>
        <v>63907227.700000003</v>
      </c>
      <c r="J79" s="85">
        <f>+F79+I79</f>
        <v>18352015642.600002</v>
      </c>
      <c r="K79" s="429">
        <f>+J79/J80</f>
        <v>0.45890674209098636</v>
      </c>
    </row>
    <row r="80" spans="1:11" ht="15.75" thickTop="1">
      <c r="A80" s="427"/>
      <c r="B80" s="428"/>
      <c r="C80" s="94" t="s">
        <v>83</v>
      </c>
      <c r="D80" s="85">
        <v>44088531537</v>
      </c>
      <c r="E80" s="86">
        <f>+E79</f>
        <v>0.9</v>
      </c>
      <c r="F80" s="85">
        <f>+D80*E80</f>
        <v>39679678383.300003</v>
      </c>
      <c r="G80" s="85">
        <v>3110516700</v>
      </c>
      <c r="H80" s="86">
        <f>+H79</f>
        <v>0.1</v>
      </c>
      <c r="I80" s="85">
        <f>+G80*H80</f>
        <v>311051670</v>
      </c>
      <c r="J80" s="85">
        <f>+F80+I80</f>
        <v>39990730053.300003</v>
      </c>
      <c r="K80" s="429"/>
    </row>
    <row r="81" spans="1:11">
      <c r="D81" s="88"/>
      <c r="E81" s="86"/>
      <c r="F81" s="89"/>
      <c r="G81" s="89"/>
      <c r="H81" s="86"/>
      <c r="I81" s="89"/>
      <c r="J81" s="91"/>
      <c r="K81" s="92"/>
    </row>
    <row r="82" spans="1:11" ht="19.5">
      <c r="A82" s="76" t="s">
        <v>84</v>
      </c>
      <c r="B82" s="76" t="s">
        <v>140</v>
      </c>
      <c r="C82" s="95" t="s">
        <v>85</v>
      </c>
      <c r="D82" s="85"/>
      <c r="E82" s="85"/>
      <c r="F82" s="85">
        <f>+D76-D77</f>
        <v>25805193349</v>
      </c>
      <c r="G82" s="85"/>
      <c r="H82" s="86"/>
      <c r="I82" s="85">
        <f>+G76-G77</f>
        <v>868016700</v>
      </c>
      <c r="J82" s="85">
        <f>+F82+I82</f>
        <v>26673210049</v>
      </c>
      <c r="K82" s="97">
        <f>+F82+I82</f>
        <v>26673210049</v>
      </c>
    </row>
    <row r="83" spans="1:11">
      <c r="D83" s="88"/>
      <c r="E83" s="86"/>
      <c r="F83" s="89"/>
      <c r="G83" s="89"/>
      <c r="H83" s="86"/>
      <c r="I83" s="89"/>
      <c r="J83" s="91"/>
      <c r="K83" s="92"/>
    </row>
    <row r="84" spans="1:11" ht="15.75" thickBot="1">
      <c r="A84" s="427" t="s">
        <v>86</v>
      </c>
      <c r="B84" s="428" t="s">
        <v>77</v>
      </c>
      <c r="C84" s="84" t="s">
        <v>87</v>
      </c>
      <c r="D84" s="85">
        <v>11726540226</v>
      </c>
      <c r="E84" s="86">
        <f>+E80</f>
        <v>0.9</v>
      </c>
      <c r="F84" s="85">
        <f>+D84*E84</f>
        <v>10553886203.4</v>
      </c>
      <c r="G84" s="85">
        <v>532170531</v>
      </c>
      <c r="H84" s="86">
        <f>+H80</f>
        <v>0.1</v>
      </c>
      <c r="I84" s="85">
        <f>+G84*H84</f>
        <v>53217053.100000001</v>
      </c>
      <c r="J84" s="85">
        <f>+F84+I84</f>
        <v>10607103256.5</v>
      </c>
      <c r="K84" s="429">
        <f>+J84/J85</f>
        <v>58.422744344956605</v>
      </c>
    </row>
    <row r="85" spans="1:11" ht="15.75" thickTop="1">
      <c r="A85" s="427"/>
      <c r="B85" s="428"/>
      <c r="C85" s="76" t="s">
        <v>88</v>
      </c>
      <c r="D85" s="85">
        <v>201730857</v>
      </c>
      <c r="E85" s="86">
        <f>+E80</f>
        <v>0.9</v>
      </c>
      <c r="F85" s="85">
        <f>+D85*E85</f>
        <v>181557771.30000001</v>
      </c>
      <c r="G85" s="85">
        <v>0</v>
      </c>
      <c r="H85" s="86">
        <f>+H80</f>
        <v>0.1</v>
      </c>
      <c r="I85" s="85">
        <f>+G85*H85</f>
        <v>0</v>
      </c>
      <c r="J85" s="85">
        <f>+F85+I85</f>
        <v>181557771.30000001</v>
      </c>
      <c r="K85" s="429"/>
    </row>
    <row r="86" spans="1:11">
      <c r="D86" s="88"/>
      <c r="E86" s="86"/>
      <c r="F86" s="89"/>
      <c r="G86" s="89"/>
      <c r="H86" s="86"/>
      <c r="I86" s="89"/>
      <c r="J86" s="91"/>
      <c r="K86" s="92"/>
    </row>
    <row r="87" spans="1:11" ht="15.75" thickBot="1">
      <c r="A87" s="427" t="s">
        <v>89</v>
      </c>
      <c r="B87" s="428" t="s">
        <v>77</v>
      </c>
      <c r="C87" s="93" t="s">
        <v>87</v>
      </c>
      <c r="D87" s="85">
        <f>+D84</f>
        <v>11726540226</v>
      </c>
      <c r="E87" s="86">
        <f>+E85</f>
        <v>0.9</v>
      </c>
      <c r="F87" s="85">
        <f>+D87*E87</f>
        <v>10553886203.4</v>
      </c>
      <c r="G87" s="85">
        <f>+G84</f>
        <v>532170531</v>
      </c>
      <c r="H87" s="86">
        <f>+H85</f>
        <v>0.1</v>
      </c>
      <c r="I87" s="85">
        <f>+G87*H87</f>
        <v>53217053.100000001</v>
      </c>
      <c r="J87" s="85">
        <f>+F87+I87</f>
        <v>10607103256.5</v>
      </c>
      <c r="K87" s="429">
        <f>+J87/J88</f>
        <v>0.49019100927987458</v>
      </c>
    </row>
    <row r="88" spans="1:11" ht="15.75" thickTop="1">
      <c r="A88" s="427"/>
      <c r="B88" s="428"/>
      <c r="C88" s="94" t="s">
        <v>90</v>
      </c>
      <c r="D88" s="85">
        <f>+D80-D79</f>
        <v>23768411076</v>
      </c>
      <c r="E88" s="86">
        <f>+E87</f>
        <v>0.9</v>
      </c>
      <c r="F88" s="85">
        <f>+D88*E88</f>
        <v>21391569968.400002</v>
      </c>
      <c r="G88" s="85">
        <f>+G80-G79</f>
        <v>2471444423</v>
      </c>
      <c r="H88" s="86">
        <f>+H87</f>
        <v>0.1</v>
      </c>
      <c r="I88" s="85">
        <f>+G88*H88</f>
        <v>247144442.30000001</v>
      </c>
      <c r="J88" s="85">
        <f>+F88+I88</f>
        <v>21638714410.700001</v>
      </c>
      <c r="K88" s="429"/>
    </row>
    <row r="89" spans="1:11">
      <c r="D89" s="88"/>
      <c r="E89" s="86"/>
      <c r="F89" s="89"/>
      <c r="G89" s="89"/>
      <c r="H89" s="86"/>
      <c r="I89" s="89"/>
      <c r="J89" s="91"/>
      <c r="K89" s="92"/>
    </row>
    <row r="90" spans="1:11" ht="15.75" thickBot="1">
      <c r="A90" s="427" t="s">
        <v>91</v>
      </c>
      <c r="B90" s="428" t="s">
        <v>77</v>
      </c>
      <c r="C90" s="93" t="s">
        <v>87</v>
      </c>
      <c r="D90" s="85">
        <f>+D87</f>
        <v>11726540226</v>
      </c>
      <c r="E90" s="86">
        <f>+E88</f>
        <v>0.9</v>
      </c>
      <c r="F90" s="85">
        <f>+D90*E90</f>
        <v>10553886203.4</v>
      </c>
      <c r="G90" s="85">
        <f>+G87</f>
        <v>532170531</v>
      </c>
      <c r="H90" s="86">
        <f>+H88</f>
        <v>0.1</v>
      </c>
      <c r="I90" s="85">
        <f>+G90*H90</f>
        <v>53217053.100000001</v>
      </c>
      <c r="J90" s="85">
        <f>+F90+I90</f>
        <v>10607103256.5</v>
      </c>
      <c r="K90" s="429">
        <f>+J90/J91</f>
        <v>0.26523905020895489</v>
      </c>
    </row>
    <row r="91" spans="1:11" ht="15.75" thickTop="1">
      <c r="A91" s="427"/>
      <c r="B91" s="428"/>
      <c r="C91" s="94" t="s">
        <v>92</v>
      </c>
      <c r="D91" s="85">
        <f>+D80</f>
        <v>44088531537</v>
      </c>
      <c r="E91" s="86">
        <f>+E90</f>
        <v>0.9</v>
      </c>
      <c r="F91" s="85">
        <f>+D91*E91</f>
        <v>39679678383.300003</v>
      </c>
      <c r="G91" s="85">
        <f>+G80</f>
        <v>3110516700</v>
      </c>
      <c r="H91" s="86">
        <f>+H90</f>
        <v>0.1</v>
      </c>
      <c r="I91" s="85">
        <f>+G91*H91</f>
        <v>311051670</v>
      </c>
      <c r="J91" s="85">
        <f>+F91+I91</f>
        <v>39990730053.300003</v>
      </c>
      <c r="K91" s="429"/>
    </row>
    <row r="94" spans="1:11">
      <c r="D94" s="441" t="str">
        <f>+[2]INDICADORES!Q1</f>
        <v>CONSORCIO CONSTRUCCIONES CIS</v>
      </c>
      <c r="E94" s="442"/>
      <c r="F94" s="442"/>
      <c r="G94" s="442"/>
      <c r="H94" s="442"/>
      <c r="I94" s="442"/>
      <c r="J94" s="442"/>
      <c r="K94" s="433" t="s">
        <v>133</v>
      </c>
    </row>
    <row r="95" spans="1:11">
      <c r="D95" s="434" t="s">
        <v>148</v>
      </c>
      <c r="E95" s="434"/>
      <c r="F95" s="434"/>
      <c r="G95" s="434" t="s">
        <v>149</v>
      </c>
      <c r="H95" s="434"/>
      <c r="I95" s="434"/>
      <c r="J95" s="435" t="s">
        <v>132</v>
      </c>
      <c r="K95" s="433"/>
    </row>
    <row r="96" spans="1:11">
      <c r="D96" s="434"/>
      <c r="E96" s="434"/>
      <c r="F96" s="434"/>
      <c r="G96" s="434"/>
      <c r="H96" s="434"/>
      <c r="I96" s="434"/>
      <c r="J96" s="436"/>
      <c r="K96" s="433"/>
    </row>
    <row r="97" spans="1:11">
      <c r="C97" s="79" t="s">
        <v>135</v>
      </c>
      <c r="D97" s="438" t="s">
        <v>150</v>
      </c>
      <c r="E97" s="439"/>
      <c r="F97" s="440"/>
      <c r="G97" s="438"/>
      <c r="H97" s="439"/>
      <c r="I97" s="440"/>
      <c r="J97" s="436"/>
      <c r="K97" s="433"/>
    </row>
    <row r="98" spans="1:11" ht="34.5">
      <c r="D98" s="269" t="s">
        <v>137</v>
      </c>
      <c r="E98" s="80" t="s">
        <v>138</v>
      </c>
      <c r="F98" s="81" t="s">
        <v>139</v>
      </c>
      <c r="G98" s="81" t="s">
        <v>137</v>
      </c>
      <c r="H98" s="80" t="s">
        <v>138</v>
      </c>
      <c r="I98" s="81" t="s">
        <v>139</v>
      </c>
      <c r="J98" s="437"/>
      <c r="K98" s="433"/>
    </row>
    <row r="99" spans="1:11" ht="15.75" thickBot="1">
      <c r="A99" s="427" t="s">
        <v>76</v>
      </c>
      <c r="B99" s="428" t="s">
        <v>77</v>
      </c>
      <c r="C99" s="84" t="s">
        <v>78</v>
      </c>
      <c r="D99" s="85">
        <v>572362388</v>
      </c>
      <c r="E99" s="86">
        <v>0.6</v>
      </c>
      <c r="F99" s="85">
        <f>+D99*E99</f>
        <v>343417432.80000001</v>
      </c>
      <c r="G99" s="85">
        <v>2414100000</v>
      </c>
      <c r="H99" s="86">
        <v>0.4</v>
      </c>
      <c r="I99" s="85">
        <f>+G99*H99</f>
        <v>965640000</v>
      </c>
      <c r="J99" s="85">
        <f>+F99+I99</f>
        <v>1309057432.8</v>
      </c>
      <c r="K99" s="430">
        <f>+J99/J100</f>
        <v>2.7327165628984758</v>
      </c>
    </row>
    <row r="100" spans="1:11" ht="15.75" thickTop="1">
      <c r="A100" s="427"/>
      <c r="B100" s="428"/>
      <c r="C100" s="76" t="s">
        <v>80</v>
      </c>
      <c r="D100" s="85">
        <v>279651239</v>
      </c>
      <c r="E100" s="86">
        <f>+E99</f>
        <v>0.6</v>
      </c>
      <c r="F100" s="85">
        <f>+D100*E100</f>
        <v>167790743.40000001</v>
      </c>
      <c r="G100" s="85">
        <v>778102000</v>
      </c>
      <c r="H100" s="86">
        <f>+H99</f>
        <v>0.4</v>
      </c>
      <c r="I100" s="85">
        <f>+G100*H100</f>
        <v>311240800</v>
      </c>
      <c r="J100" s="85">
        <f>+F100+I100</f>
        <v>479031543.39999998</v>
      </c>
      <c r="K100" s="430"/>
    </row>
    <row r="101" spans="1:11">
      <c r="D101" s="88"/>
      <c r="E101" s="89"/>
      <c r="F101" s="89"/>
      <c r="G101" s="89"/>
      <c r="H101" s="89"/>
      <c r="I101" s="89"/>
      <c r="J101" s="91"/>
      <c r="K101" s="92"/>
    </row>
    <row r="102" spans="1:11" ht="15.75" thickBot="1">
      <c r="A102" s="427" t="s">
        <v>81</v>
      </c>
      <c r="B102" s="428" t="s">
        <v>77</v>
      </c>
      <c r="C102" s="93" t="s">
        <v>82</v>
      </c>
      <c r="D102" s="85">
        <v>279651239</v>
      </c>
      <c r="E102" s="86">
        <f>+E100</f>
        <v>0.6</v>
      </c>
      <c r="F102" s="85">
        <f>+D102*E102</f>
        <v>167790743.40000001</v>
      </c>
      <c r="G102" s="85">
        <v>778102000</v>
      </c>
      <c r="H102" s="86">
        <f>+H100</f>
        <v>0.4</v>
      </c>
      <c r="I102" s="85">
        <f>+G102*H102</f>
        <v>311240800</v>
      </c>
      <c r="J102" s="85">
        <f>+F102+I102</f>
        <v>479031543.39999998</v>
      </c>
      <c r="K102" s="429">
        <f>+J102/J103</f>
        <v>0.31678392805612648</v>
      </c>
    </row>
    <row r="103" spans="1:11" ht="15.75" thickTop="1">
      <c r="A103" s="427"/>
      <c r="B103" s="428"/>
      <c r="C103" s="94" t="s">
        <v>83</v>
      </c>
      <c r="D103" s="85">
        <v>805387390</v>
      </c>
      <c r="E103" s="86">
        <f>+E102</f>
        <v>0.6</v>
      </c>
      <c r="F103" s="85">
        <f>+D103*E103</f>
        <v>483232434</v>
      </c>
      <c r="G103" s="85">
        <v>2572347000</v>
      </c>
      <c r="H103" s="86">
        <f>+H102</f>
        <v>0.4</v>
      </c>
      <c r="I103" s="85">
        <f>+G103*H103</f>
        <v>1028938800</v>
      </c>
      <c r="J103" s="85">
        <f>+F103+I103</f>
        <v>1512171234</v>
      </c>
      <c r="K103" s="429"/>
    </row>
    <row r="104" spans="1:11">
      <c r="D104" s="88"/>
      <c r="E104" s="86"/>
      <c r="F104" s="89"/>
      <c r="G104" s="89"/>
      <c r="H104" s="86"/>
      <c r="I104" s="89"/>
      <c r="J104" s="91"/>
      <c r="K104" s="92"/>
    </row>
    <row r="105" spans="1:11" ht="19.5">
      <c r="A105" s="76" t="s">
        <v>84</v>
      </c>
      <c r="B105" s="76" t="s">
        <v>140</v>
      </c>
      <c r="C105" s="95" t="s">
        <v>85</v>
      </c>
      <c r="D105" s="85"/>
      <c r="E105" s="85"/>
      <c r="F105" s="85">
        <f>+D99-D100</f>
        <v>292711149</v>
      </c>
      <c r="G105" s="85"/>
      <c r="H105" s="86"/>
      <c r="I105" s="85">
        <f>+G99-G100</f>
        <v>1635998000</v>
      </c>
      <c r="J105" s="85">
        <f>+F105+I105</f>
        <v>1928709149</v>
      </c>
      <c r="K105" s="97">
        <f>+F105+I105</f>
        <v>1928709149</v>
      </c>
    </row>
    <row r="106" spans="1:11">
      <c r="D106" s="88"/>
      <c r="E106" s="86"/>
      <c r="F106" s="89"/>
      <c r="G106" s="89"/>
      <c r="H106" s="86"/>
      <c r="I106" s="89"/>
      <c r="J106" s="91"/>
      <c r="K106" s="92"/>
    </row>
    <row r="107" spans="1:11" ht="15.75" thickBot="1">
      <c r="A107" s="427" t="s">
        <v>86</v>
      </c>
      <c r="B107" s="428" t="s">
        <v>77</v>
      </c>
      <c r="C107" s="84" t="s">
        <v>87</v>
      </c>
      <c r="D107" s="85">
        <v>7716546</v>
      </c>
      <c r="E107" s="86">
        <f>+E103</f>
        <v>0.6</v>
      </c>
      <c r="F107" s="85">
        <f>+D107*E107</f>
        <v>4629927.5999999996</v>
      </c>
      <c r="G107" s="85">
        <v>415190000</v>
      </c>
      <c r="H107" s="86">
        <f>+H103</f>
        <v>0.4</v>
      </c>
      <c r="I107" s="85">
        <f>+G107*H107</f>
        <v>166076000</v>
      </c>
      <c r="J107" s="85">
        <f>+F107+I107</f>
        <v>170705927.59999999</v>
      </c>
      <c r="K107" s="429">
        <f>+J107/J108</f>
        <v>7773.4939708561014</v>
      </c>
    </row>
    <row r="108" spans="1:11" ht="15.75" thickTop="1">
      <c r="A108" s="427"/>
      <c r="B108" s="428"/>
      <c r="C108" s="76" t="s">
        <v>88</v>
      </c>
      <c r="D108" s="85">
        <v>4600</v>
      </c>
      <c r="E108" s="86">
        <f>+E103</f>
        <v>0.6</v>
      </c>
      <c r="F108" s="85">
        <f>+D108*E108</f>
        <v>2760</v>
      </c>
      <c r="G108" s="85">
        <v>48000</v>
      </c>
      <c r="H108" s="86">
        <f>+H103</f>
        <v>0.4</v>
      </c>
      <c r="I108" s="85">
        <f>+G108*H108</f>
        <v>19200</v>
      </c>
      <c r="J108" s="85">
        <f>+F108+I108</f>
        <v>21960</v>
      </c>
      <c r="K108" s="429"/>
    </row>
    <row r="109" spans="1:11">
      <c r="D109" s="88"/>
      <c r="E109" s="86"/>
      <c r="F109" s="89"/>
      <c r="G109" s="89"/>
      <c r="H109" s="86"/>
      <c r="I109" s="89"/>
      <c r="J109" s="91"/>
      <c r="K109" s="92"/>
    </row>
    <row r="110" spans="1:11" ht="15.75" thickBot="1">
      <c r="A110" s="427" t="s">
        <v>89</v>
      </c>
      <c r="B110" s="428" t="s">
        <v>77</v>
      </c>
      <c r="C110" s="93" t="s">
        <v>87</v>
      </c>
      <c r="D110" s="85">
        <f>+D107</f>
        <v>7716546</v>
      </c>
      <c r="E110" s="86">
        <f>+E108</f>
        <v>0.6</v>
      </c>
      <c r="F110" s="85">
        <f>+D110*E110</f>
        <v>4629927.5999999996</v>
      </c>
      <c r="G110" s="85">
        <f>+G107</f>
        <v>415190000</v>
      </c>
      <c r="H110" s="86">
        <f>+H108</f>
        <v>0.4</v>
      </c>
      <c r="I110" s="85">
        <f>+G110*H110</f>
        <v>166076000</v>
      </c>
      <c r="J110" s="85">
        <f>+F110+I110</f>
        <v>170705927.59999999</v>
      </c>
      <c r="K110" s="429">
        <f>+J110/J111</f>
        <v>0.16523024829378286</v>
      </c>
    </row>
    <row r="111" spans="1:11" ht="15.75" thickTop="1">
      <c r="A111" s="427"/>
      <c r="B111" s="428"/>
      <c r="C111" s="94" t="s">
        <v>90</v>
      </c>
      <c r="D111" s="85">
        <f>+D103-D102</f>
        <v>525736151</v>
      </c>
      <c r="E111" s="86">
        <f>+E110</f>
        <v>0.6</v>
      </c>
      <c r="F111" s="85">
        <f>+D111*E111</f>
        <v>315441690.59999996</v>
      </c>
      <c r="G111" s="85">
        <f>+G103-G102</f>
        <v>1794245000</v>
      </c>
      <c r="H111" s="86">
        <f>+H110</f>
        <v>0.4</v>
      </c>
      <c r="I111" s="85">
        <f>+G111*H111</f>
        <v>717698000</v>
      </c>
      <c r="J111" s="85">
        <f>+F111+I111</f>
        <v>1033139690.5999999</v>
      </c>
      <c r="K111" s="429"/>
    </row>
    <row r="112" spans="1:11">
      <c r="D112" s="88"/>
      <c r="E112" s="86"/>
      <c r="F112" s="89"/>
      <c r="G112" s="89"/>
      <c r="H112" s="86"/>
      <c r="I112" s="89"/>
      <c r="J112" s="91"/>
      <c r="K112" s="92"/>
    </row>
    <row r="113" spans="1:15" ht="15.75" thickBot="1">
      <c r="A113" s="427" t="s">
        <v>91</v>
      </c>
      <c r="B113" s="428" t="s">
        <v>77</v>
      </c>
      <c r="C113" s="93" t="s">
        <v>87</v>
      </c>
      <c r="D113" s="85">
        <f>+D110</f>
        <v>7716546</v>
      </c>
      <c r="E113" s="86">
        <f>+E111</f>
        <v>0.6</v>
      </c>
      <c r="F113" s="85">
        <f>+D113*E113</f>
        <v>4629927.5999999996</v>
      </c>
      <c r="G113" s="85">
        <f>+G110</f>
        <v>415190000</v>
      </c>
      <c r="H113" s="86">
        <f>+H111</f>
        <v>0.4</v>
      </c>
      <c r="I113" s="85">
        <f>+G113*H113</f>
        <v>166076000</v>
      </c>
      <c r="J113" s="85">
        <f>+F113+I113</f>
        <v>170705927.59999999</v>
      </c>
      <c r="K113" s="429">
        <f>+J113/J114</f>
        <v>0.11288796120558924</v>
      </c>
    </row>
    <row r="114" spans="1:15" ht="15.75" thickTop="1">
      <c r="A114" s="427"/>
      <c r="B114" s="428"/>
      <c r="C114" s="94" t="s">
        <v>92</v>
      </c>
      <c r="D114" s="85">
        <f>+D103</f>
        <v>805387390</v>
      </c>
      <c r="E114" s="86">
        <f>+E113</f>
        <v>0.6</v>
      </c>
      <c r="F114" s="85">
        <f>+D114*E114</f>
        <v>483232434</v>
      </c>
      <c r="G114" s="85">
        <f>+G103</f>
        <v>2572347000</v>
      </c>
      <c r="H114" s="86">
        <f>+H113</f>
        <v>0.4</v>
      </c>
      <c r="I114" s="85">
        <f>+G114*H114</f>
        <v>1028938800</v>
      </c>
      <c r="J114" s="85">
        <f>+F114+I114</f>
        <v>1512171234</v>
      </c>
      <c r="K114" s="429"/>
    </row>
    <row r="117" spans="1:15">
      <c r="D117" s="443" t="str">
        <f>+[2]INDICADORES!T1</f>
        <v>CONSORCIO TEMIS</v>
      </c>
      <c r="E117" s="444"/>
      <c r="F117" s="444"/>
      <c r="G117" s="444"/>
      <c r="H117" s="444"/>
      <c r="I117" s="444"/>
      <c r="J117" s="444"/>
      <c r="K117" s="444"/>
      <c r="L117" s="445"/>
      <c r="M117" s="435" t="s">
        <v>132</v>
      </c>
      <c r="N117" s="433" t="s">
        <v>133</v>
      </c>
      <c r="O117" s="77"/>
    </row>
    <row r="118" spans="1:15">
      <c r="D118" s="434" t="s">
        <v>151</v>
      </c>
      <c r="E118" s="434"/>
      <c r="F118" s="434"/>
      <c r="G118" s="434" t="s">
        <v>152</v>
      </c>
      <c r="H118" s="434"/>
      <c r="I118" s="434"/>
      <c r="J118" s="434" t="s">
        <v>153</v>
      </c>
      <c r="K118" s="434"/>
      <c r="L118" s="434"/>
      <c r="M118" s="436"/>
      <c r="N118" s="433"/>
      <c r="O118" s="78"/>
    </row>
    <row r="119" spans="1:15">
      <c r="D119" s="434"/>
      <c r="E119" s="434"/>
      <c r="F119" s="434"/>
      <c r="G119" s="434"/>
      <c r="H119" s="434"/>
      <c r="I119" s="434"/>
      <c r="J119" s="434"/>
      <c r="K119" s="434"/>
      <c r="L119" s="434"/>
      <c r="M119" s="436"/>
      <c r="N119" s="433"/>
      <c r="O119" s="78"/>
    </row>
    <row r="120" spans="1:15">
      <c r="C120" s="79" t="s">
        <v>135</v>
      </c>
      <c r="D120" s="438" t="s">
        <v>136</v>
      </c>
      <c r="E120" s="439"/>
      <c r="F120" s="440"/>
      <c r="G120" s="438" t="s">
        <v>143</v>
      </c>
      <c r="H120" s="439"/>
      <c r="I120" s="440"/>
      <c r="J120" s="438" t="s">
        <v>154</v>
      </c>
      <c r="K120" s="439"/>
      <c r="L120" s="440"/>
      <c r="M120" s="436"/>
      <c r="N120" s="433"/>
      <c r="O120" s="78"/>
    </row>
    <row r="121" spans="1:15" ht="34.5">
      <c r="D121" s="269" t="s">
        <v>137</v>
      </c>
      <c r="E121" s="80" t="s">
        <v>138</v>
      </c>
      <c r="F121" s="81" t="s">
        <v>139</v>
      </c>
      <c r="G121" s="81" t="s">
        <v>137</v>
      </c>
      <c r="H121" s="80" t="s">
        <v>138</v>
      </c>
      <c r="I121" s="81" t="s">
        <v>139</v>
      </c>
      <c r="J121" s="81" t="s">
        <v>137</v>
      </c>
      <c r="K121" s="82" t="s">
        <v>138</v>
      </c>
      <c r="L121" s="81" t="s">
        <v>139</v>
      </c>
      <c r="M121" s="437"/>
      <c r="N121" s="433"/>
      <c r="O121" s="83"/>
    </row>
    <row r="122" spans="1:15" ht="15.75" thickBot="1">
      <c r="A122" s="427" t="s">
        <v>76</v>
      </c>
      <c r="B122" s="428" t="s">
        <v>77</v>
      </c>
      <c r="C122" s="84" t="s">
        <v>78</v>
      </c>
      <c r="D122" s="85">
        <v>2809036000</v>
      </c>
      <c r="E122" s="86">
        <v>0.5</v>
      </c>
      <c r="F122" s="85">
        <f>+D122*E122</f>
        <v>1404518000</v>
      </c>
      <c r="G122" s="85">
        <v>15612299562</v>
      </c>
      <c r="H122" s="86">
        <v>0.25</v>
      </c>
      <c r="I122" s="85">
        <f>+G122*H122</f>
        <v>3903074890.5</v>
      </c>
      <c r="J122" s="85">
        <v>1097322000</v>
      </c>
      <c r="K122" s="87">
        <v>0.25</v>
      </c>
      <c r="L122" s="85">
        <f>+J122*K122</f>
        <v>274330500</v>
      </c>
      <c r="M122" s="85">
        <f>+F122+I122+L122</f>
        <v>5581923390.5</v>
      </c>
      <c r="N122" s="430">
        <f>+M122/M123</f>
        <v>6.8919681785880984</v>
      </c>
      <c r="O122" s="20"/>
    </row>
    <row r="123" spans="1:15" ht="15.75" thickTop="1">
      <c r="A123" s="427"/>
      <c r="B123" s="428"/>
      <c r="C123" s="76" t="s">
        <v>80</v>
      </c>
      <c r="D123" s="85">
        <v>309957000</v>
      </c>
      <c r="E123" s="86">
        <f>+E122</f>
        <v>0.5</v>
      </c>
      <c r="F123" s="85">
        <f>+D123*E123</f>
        <v>154978500</v>
      </c>
      <c r="G123" s="85">
        <v>2601914696</v>
      </c>
      <c r="H123" s="86">
        <f>+H122</f>
        <v>0.25</v>
      </c>
      <c r="I123" s="85">
        <f>+G123*H123</f>
        <v>650478674</v>
      </c>
      <c r="J123" s="85">
        <v>17840000</v>
      </c>
      <c r="K123" s="87">
        <f>+K122</f>
        <v>0.25</v>
      </c>
      <c r="L123" s="85">
        <f>+J123*K123</f>
        <v>4460000</v>
      </c>
      <c r="M123" s="85">
        <f>+F123+I123+L123</f>
        <v>809917174</v>
      </c>
      <c r="N123" s="430"/>
      <c r="O123" s="20"/>
    </row>
    <row r="124" spans="1:15">
      <c r="D124" s="88"/>
      <c r="E124" s="89"/>
      <c r="F124" s="89"/>
      <c r="G124" s="89"/>
      <c r="H124" s="89"/>
      <c r="I124" s="89"/>
      <c r="J124" s="89"/>
      <c r="K124" s="90"/>
      <c r="L124" s="89"/>
      <c r="M124" s="91"/>
      <c r="N124" s="92"/>
      <c r="O124" s="20"/>
    </row>
    <row r="125" spans="1:15" ht="15.75" thickBot="1">
      <c r="A125" s="427" t="s">
        <v>81</v>
      </c>
      <c r="B125" s="428" t="s">
        <v>77</v>
      </c>
      <c r="C125" s="93" t="s">
        <v>82</v>
      </c>
      <c r="D125" s="85">
        <v>674734000</v>
      </c>
      <c r="E125" s="86">
        <f>+E123</f>
        <v>0.5</v>
      </c>
      <c r="F125" s="85">
        <f>+D125*E125</f>
        <v>337367000</v>
      </c>
      <c r="G125" s="85">
        <v>14070359135</v>
      </c>
      <c r="H125" s="86">
        <f>+H123</f>
        <v>0.25</v>
      </c>
      <c r="I125" s="85">
        <f>+G125*H125</f>
        <v>3517589783.75</v>
      </c>
      <c r="J125" s="85">
        <v>33094000</v>
      </c>
      <c r="K125" s="87">
        <f>+K123</f>
        <v>0.25</v>
      </c>
      <c r="L125" s="85">
        <f>+J125*K125</f>
        <v>8273500</v>
      </c>
      <c r="M125" s="85">
        <f>+F125+I125+L125</f>
        <v>3863230283.75</v>
      </c>
      <c r="N125" s="429">
        <f>+M125/M126</f>
        <v>0.62492475847085815</v>
      </c>
      <c r="O125" s="20"/>
    </row>
    <row r="126" spans="1:15" ht="15.75" thickTop="1">
      <c r="A126" s="427"/>
      <c r="B126" s="428"/>
      <c r="C126" s="94" t="s">
        <v>83</v>
      </c>
      <c r="D126" s="85">
        <v>3781936000</v>
      </c>
      <c r="E126" s="86">
        <f>+E125</f>
        <v>0.5</v>
      </c>
      <c r="F126" s="85">
        <f>+D126*E126</f>
        <v>1890968000</v>
      </c>
      <c r="G126" s="85">
        <v>15655035690</v>
      </c>
      <c r="H126" s="86">
        <f>+H125</f>
        <v>0.25</v>
      </c>
      <c r="I126" s="85">
        <f>+G126*H126</f>
        <v>3913758922.5</v>
      </c>
      <c r="J126" s="85">
        <v>1508743000</v>
      </c>
      <c r="K126" s="87">
        <f>+K125</f>
        <v>0.25</v>
      </c>
      <c r="L126" s="85">
        <f>+J126*K126</f>
        <v>377185750</v>
      </c>
      <c r="M126" s="85">
        <f>+F126+I126+L126</f>
        <v>6181912672.5</v>
      </c>
      <c r="N126" s="429"/>
      <c r="O126" s="20"/>
    </row>
    <row r="127" spans="1:15">
      <c r="D127" s="88"/>
      <c r="E127" s="86"/>
      <c r="F127" s="89"/>
      <c r="G127" s="89"/>
      <c r="H127" s="86"/>
      <c r="I127" s="89"/>
      <c r="J127" s="89"/>
      <c r="K127" s="87"/>
      <c r="L127" s="89"/>
      <c r="M127" s="91"/>
      <c r="N127" s="92"/>
      <c r="O127" s="20"/>
    </row>
    <row r="128" spans="1:15" ht="19.5">
      <c r="A128" s="76" t="s">
        <v>84</v>
      </c>
      <c r="B128" s="76" t="s">
        <v>140</v>
      </c>
      <c r="C128" s="95" t="s">
        <v>85</v>
      </c>
      <c r="D128" s="85"/>
      <c r="E128" s="85"/>
      <c r="F128" s="85">
        <f>+D122-D123</f>
        <v>2499079000</v>
      </c>
      <c r="G128" s="85"/>
      <c r="H128" s="86"/>
      <c r="I128" s="85">
        <f>+G122-G123</f>
        <v>13010384866</v>
      </c>
      <c r="J128" s="85"/>
      <c r="K128" s="87"/>
      <c r="L128" s="85">
        <f>+J122-J123</f>
        <v>1079482000</v>
      </c>
      <c r="M128" s="85">
        <f>+F128+I128+L128</f>
        <v>16588945866</v>
      </c>
      <c r="N128" s="180">
        <f>+M128</f>
        <v>16588945866</v>
      </c>
      <c r="O128" s="20"/>
    </row>
    <row r="129" spans="1:15">
      <c r="D129" s="88"/>
      <c r="E129" s="86"/>
      <c r="F129" s="89"/>
      <c r="G129" s="89"/>
      <c r="H129" s="86"/>
      <c r="I129" s="89"/>
      <c r="J129" s="89"/>
      <c r="K129" s="87"/>
      <c r="L129" s="89"/>
      <c r="M129" s="91"/>
      <c r="N129" s="92"/>
      <c r="O129" s="20"/>
    </row>
    <row r="130" spans="1:15" ht="15.75" thickBot="1">
      <c r="A130" s="427" t="s">
        <v>86</v>
      </c>
      <c r="B130" s="428" t="s">
        <v>77</v>
      </c>
      <c r="C130" s="84" t="s">
        <v>87</v>
      </c>
      <c r="D130" s="85">
        <v>409747000</v>
      </c>
      <c r="E130" s="86">
        <f>+E126</f>
        <v>0.5</v>
      </c>
      <c r="F130" s="85">
        <f>+D130*E130</f>
        <v>204873500</v>
      </c>
      <c r="G130" s="85">
        <v>925290464</v>
      </c>
      <c r="H130" s="86">
        <f>+H126</f>
        <v>0.25</v>
      </c>
      <c r="I130" s="85">
        <f>+G130*H130</f>
        <v>231322616</v>
      </c>
      <c r="J130" s="85">
        <v>89373000</v>
      </c>
      <c r="K130" s="87">
        <f>+K126</f>
        <v>0.25</v>
      </c>
      <c r="L130" s="85">
        <f>+J130*K130</f>
        <v>22343250</v>
      </c>
      <c r="M130" s="85">
        <f>+F130+I130+L130</f>
        <v>458539366</v>
      </c>
      <c r="N130" s="430">
        <f>+M130/M131</f>
        <v>24.310422157580252</v>
      </c>
      <c r="O130" s="20"/>
    </row>
    <row r="131" spans="1:15" ht="15.75" thickTop="1">
      <c r="A131" s="427"/>
      <c r="B131" s="428"/>
      <c r="C131" s="76" t="s">
        <v>88</v>
      </c>
      <c r="D131" s="85">
        <v>35254000</v>
      </c>
      <c r="E131" s="86">
        <f>+E126</f>
        <v>0.5</v>
      </c>
      <c r="F131" s="85">
        <f>+D131*E131</f>
        <v>17627000</v>
      </c>
      <c r="G131" s="85">
        <v>4801372</v>
      </c>
      <c r="H131" s="86">
        <f>+H126</f>
        <v>0.25</v>
      </c>
      <c r="I131" s="85">
        <f>+G131*H131</f>
        <v>1200343</v>
      </c>
      <c r="J131" s="85">
        <v>138000</v>
      </c>
      <c r="K131" s="87">
        <f>+K126</f>
        <v>0.25</v>
      </c>
      <c r="L131" s="85">
        <f>+J131*K131</f>
        <v>34500</v>
      </c>
      <c r="M131" s="85">
        <f>+F131+I131+L131</f>
        <v>18861843</v>
      </c>
      <c r="N131" s="430"/>
      <c r="O131" s="20"/>
    </row>
    <row r="132" spans="1:15">
      <c r="D132" s="88"/>
      <c r="E132" s="86"/>
      <c r="F132" s="89"/>
      <c r="G132" s="89"/>
      <c r="H132" s="86"/>
      <c r="I132" s="89"/>
      <c r="J132" s="89"/>
      <c r="K132" s="87"/>
      <c r="L132" s="89"/>
      <c r="M132" s="91"/>
      <c r="N132" s="92"/>
      <c r="O132" s="20"/>
    </row>
    <row r="133" spans="1:15" ht="15.75" thickBot="1">
      <c r="A133" s="427" t="s">
        <v>89</v>
      </c>
      <c r="B133" s="428" t="s">
        <v>77</v>
      </c>
      <c r="C133" s="93" t="s">
        <v>87</v>
      </c>
      <c r="D133" s="85">
        <f>+D130</f>
        <v>409747000</v>
      </c>
      <c r="E133" s="86">
        <f>+E131</f>
        <v>0.5</v>
      </c>
      <c r="F133" s="85">
        <f>+D133*E133</f>
        <v>204873500</v>
      </c>
      <c r="G133" s="85">
        <f>+G130</f>
        <v>925290464</v>
      </c>
      <c r="H133" s="86">
        <f>+H131</f>
        <v>0.25</v>
      </c>
      <c r="I133" s="85">
        <f>+G133*H133</f>
        <v>231322616</v>
      </c>
      <c r="J133" s="85">
        <f>+J130</f>
        <v>89373000</v>
      </c>
      <c r="K133" s="87">
        <f>+K131</f>
        <v>0.25</v>
      </c>
      <c r="L133" s="85">
        <f>+J133*K133</f>
        <v>22343250</v>
      </c>
      <c r="M133" s="85">
        <f>+F133+I133+L133</f>
        <v>458539366</v>
      </c>
      <c r="N133" s="429">
        <f>+M133/M134</f>
        <v>0.19775859264933573</v>
      </c>
      <c r="O133" s="20"/>
    </row>
    <row r="134" spans="1:15" ht="15.75" thickTop="1">
      <c r="A134" s="427"/>
      <c r="B134" s="428"/>
      <c r="C134" s="94" t="s">
        <v>90</v>
      </c>
      <c r="D134" s="85">
        <f>+D126-D125</f>
        <v>3107202000</v>
      </c>
      <c r="E134" s="86">
        <f>+E133</f>
        <v>0.5</v>
      </c>
      <c r="F134" s="85">
        <f>+D134*E134</f>
        <v>1553601000</v>
      </c>
      <c r="G134" s="85">
        <f>+G126-G125</f>
        <v>1584676555</v>
      </c>
      <c r="H134" s="86">
        <f>+H133</f>
        <v>0.25</v>
      </c>
      <c r="I134" s="85">
        <f>+G134*H134</f>
        <v>396169138.75</v>
      </c>
      <c r="J134" s="85">
        <f>+J126-J125</f>
        <v>1475649000</v>
      </c>
      <c r="K134" s="87">
        <f>+K133</f>
        <v>0.25</v>
      </c>
      <c r="L134" s="85">
        <f>+J134*K134</f>
        <v>368912250</v>
      </c>
      <c r="M134" s="85">
        <f>+F134+I134+L134</f>
        <v>2318682388.75</v>
      </c>
      <c r="N134" s="429"/>
      <c r="O134" s="20"/>
    </row>
    <row r="135" spans="1:15">
      <c r="D135" s="88"/>
      <c r="E135" s="86"/>
      <c r="F135" s="89"/>
      <c r="G135" s="89"/>
      <c r="H135" s="86"/>
      <c r="I135" s="89"/>
      <c r="J135" s="89"/>
      <c r="K135" s="87"/>
      <c r="L135" s="89"/>
      <c r="M135" s="91"/>
      <c r="N135" s="92"/>
      <c r="O135" s="20"/>
    </row>
    <row r="136" spans="1:15" ht="15.75" thickBot="1">
      <c r="A136" s="427" t="s">
        <v>91</v>
      </c>
      <c r="B136" s="428" t="s">
        <v>77</v>
      </c>
      <c r="C136" s="93" t="s">
        <v>87</v>
      </c>
      <c r="D136" s="85">
        <f>+D133</f>
        <v>409747000</v>
      </c>
      <c r="E136" s="86">
        <f>+E134</f>
        <v>0.5</v>
      </c>
      <c r="F136" s="85">
        <f>+D136*E136</f>
        <v>204873500</v>
      </c>
      <c r="G136" s="85">
        <f>+G133</f>
        <v>925290464</v>
      </c>
      <c r="H136" s="86">
        <f>+H134</f>
        <v>0.25</v>
      </c>
      <c r="I136" s="85">
        <f>+G136*H136</f>
        <v>231322616</v>
      </c>
      <c r="J136" s="85">
        <f>+J133</f>
        <v>89373000</v>
      </c>
      <c r="K136" s="87">
        <f>+K134</f>
        <v>0.25</v>
      </c>
      <c r="L136" s="85">
        <f>+J136*K136</f>
        <v>22343250</v>
      </c>
      <c r="M136" s="85">
        <f>+F136+I136+L136</f>
        <v>458539366</v>
      </c>
      <c r="N136" s="429">
        <f>+M136/M137</f>
        <v>7.4174351902412769E-2</v>
      </c>
      <c r="O136" s="20"/>
    </row>
    <row r="137" spans="1:15" ht="15.75" thickTop="1">
      <c r="A137" s="427"/>
      <c r="B137" s="428"/>
      <c r="C137" s="94" t="s">
        <v>92</v>
      </c>
      <c r="D137" s="85">
        <f>+D126</f>
        <v>3781936000</v>
      </c>
      <c r="E137" s="86">
        <f>+E136</f>
        <v>0.5</v>
      </c>
      <c r="F137" s="85">
        <f>+D137*E137</f>
        <v>1890968000</v>
      </c>
      <c r="G137" s="85">
        <f>+G126</f>
        <v>15655035690</v>
      </c>
      <c r="H137" s="86">
        <f>+H136</f>
        <v>0.25</v>
      </c>
      <c r="I137" s="85">
        <f>+G137*H137</f>
        <v>3913758922.5</v>
      </c>
      <c r="J137" s="85">
        <f>+J126</f>
        <v>1508743000</v>
      </c>
      <c r="K137" s="87">
        <f>+K136</f>
        <v>0.25</v>
      </c>
      <c r="L137" s="85">
        <f>+J137*K137</f>
        <v>377185750</v>
      </c>
      <c r="M137" s="85">
        <f>+F137+I137+L137</f>
        <v>6181912672.5</v>
      </c>
      <c r="N137" s="429"/>
      <c r="O137" s="20"/>
    </row>
    <row r="141" spans="1:15">
      <c r="D141" s="431" t="str">
        <f>+[2]INDICADORES!E23</f>
        <v>CONSORCIO INGENIERIA DEL CARIBE</v>
      </c>
      <c r="E141" s="432"/>
      <c r="F141" s="432"/>
      <c r="G141" s="432"/>
      <c r="H141" s="432"/>
      <c r="I141" s="432"/>
      <c r="J141" s="432"/>
      <c r="K141" s="433" t="s">
        <v>133</v>
      </c>
    </row>
    <row r="142" spans="1:15">
      <c r="D142" s="434" t="s">
        <v>155</v>
      </c>
      <c r="E142" s="434"/>
      <c r="F142" s="434"/>
      <c r="G142" s="434" t="s">
        <v>156</v>
      </c>
      <c r="H142" s="434"/>
      <c r="I142" s="434"/>
      <c r="J142" s="435" t="s">
        <v>132</v>
      </c>
      <c r="K142" s="433"/>
    </row>
    <row r="143" spans="1:15">
      <c r="D143" s="434"/>
      <c r="E143" s="434"/>
      <c r="F143" s="434"/>
      <c r="G143" s="434"/>
      <c r="H143" s="434"/>
      <c r="I143" s="434"/>
      <c r="J143" s="436"/>
      <c r="K143" s="433"/>
    </row>
    <row r="144" spans="1:15">
      <c r="C144" s="79" t="s">
        <v>135</v>
      </c>
      <c r="D144" s="438" t="s">
        <v>143</v>
      </c>
      <c r="E144" s="439"/>
      <c r="F144" s="440"/>
      <c r="G144" s="438" t="s">
        <v>136</v>
      </c>
      <c r="H144" s="439"/>
      <c r="I144" s="440"/>
      <c r="J144" s="436"/>
      <c r="K144" s="433"/>
    </row>
    <row r="145" spans="1:11" ht="34.5">
      <c r="D145" s="269" t="s">
        <v>137</v>
      </c>
      <c r="E145" s="80" t="s">
        <v>138</v>
      </c>
      <c r="F145" s="81" t="s">
        <v>139</v>
      </c>
      <c r="G145" s="81" t="s">
        <v>137</v>
      </c>
      <c r="H145" s="80" t="s">
        <v>138</v>
      </c>
      <c r="I145" s="81" t="s">
        <v>139</v>
      </c>
      <c r="J145" s="437"/>
      <c r="K145" s="433"/>
    </row>
    <row r="146" spans="1:11" ht="15.75" thickBot="1">
      <c r="A146" s="427" t="s">
        <v>76</v>
      </c>
      <c r="B146" s="428" t="s">
        <v>77</v>
      </c>
      <c r="C146" s="84" t="s">
        <v>78</v>
      </c>
      <c r="D146" s="85">
        <v>6383144522</v>
      </c>
      <c r="E146" s="86">
        <v>0.51</v>
      </c>
      <c r="F146" s="85">
        <f>+D146*E146</f>
        <v>3255403706.2200003</v>
      </c>
      <c r="G146" s="85">
        <v>2361902647</v>
      </c>
      <c r="H146" s="86">
        <v>0.49</v>
      </c>
      <c r="I146" s="85">
        <f>+G146*H146</f>
        <v>1157332297.03</v>
      </c>
      <c r="J146" s="85">
        <f>+F146+I146</f>
        <v>4412736003.25</v>
      </c>
      <c r="K146" s="430">
        <f>+J146/J147</f>
        <v>7.8752532383605676</v>
      </c>
    </row>
    <row r="147" spans="1:11" ht="15.75" thickTop="1">
      <c r="A147" s="427"/>
      <c r="B147" s="428"/>
      <c r="C147" s="76" t="s">
        <v>80</v>
      </c>
      <c r="D147" s="85">
        <v>706676379</v>
      </c>
      <c r="E147" s="86">
        <f>+E146</f>
        <v>0.51</v>
      </c>
      <c r="F147" s="85">
        <f>+D147*E147</f>
        <v>360404953.29000002</v>
      </c>
      <c r="G147" s="85">
        <v>408009096</v>
      </c>
      <c r="H147" s="86">
        <f>+H146</f>
        <v>0.49</v>
      </c>
      <c r="I147" s="85">
        <f>+G147*H147</f>
        <v>199924457.03999999</v>
      </c>
      <c r="J147" s="85">
        <f>+F147+I147</f>
        <v>560329410.33000004</v>
      </c>
      <c r="K147" s="430"/>
    </row>
    <row r="148" spans="1:11">
      <c r="D148" s="88"/>
      <c r="E148" s="89"/>
      <c r="F148" s="89"/>
      <c r="G148" s="89"/>
      <c r="H148" s="89"/>
      <c r="I148" s="89"/>
      <c r="J148" s="91"/>
      <c r="K148" s="92"/>
    </row>
    <row r="149" spans="1:11" ht="15.75" thickBot="1">
      <c r="A149" s="427" t="s">
        <v>81</v>
      </c>
      <c r="B149" s="428" t="s">
        <v>77</v>
      </c>
      <c r="C149" s="93" t="s">
        <v>82</v>
      </c>
      <c r="D149" s="85">
        <v>3699277725</v>
      </c>
      <c r="E149" s="86">
        <f>+E147</f>
        <v>0.51</v>
      </c>
      <c r="F149" s="85">
        <f>+D149*E149</f>
        <v>1886631639.75</v>
      </c>
      <c r="G149" s="85">
        <v>918072466</v>
      </c>
      <c r="H149" s="86">
        <f>+H147</f>
        <v>0.49</v>
      </c>
      <c r="I149" s="85">
        <f>+G149*H149</f>
        <v>449855508.33999997</v>
      </c>
      <c r="J149" s="85">
        <f>+F149+I149</f>
        <v>2336487148.0900002</v>
      </c>
      <c r="K149" s="429">
        <f>+J149/J150</f>
        <v>0.47162820997255067</v>
      </c>
    </row>
    <row r="150" spans="1:11" ht="15.75" thickTop="1">
      <c r="A150" s="427"/>
      <c r="B150" s="428"/>
      <c r="C150" s="94" t="s">
        <v>83</v>
      </c>
      <c r="D150" s="85">
        <v>6908711387</v>
      </c>
      <c r="E150" s="86">
        <f>+E149</f>
        <v>0.51</v>
      </c>
      <c r="F150" s="85">
        <f>+D150*E150</f>
        <v>3523442807.3699999</v>
      </c>
      <c r="G150" s="85">
        <v>2919681871</v>
      </c>
      <c r="H150" s="86">
        <f>+H149</f>
        <v>0.49</v>
      </c>
      <c r="I150" s="85">
        <f>+G150*H150</f>
        <v>1430644116.79</v>
      </c>
      <c r="J150" s="85">
        <f>+F150+I150</f>
        <v>4954086924.1599998</v>
      </c>
      <c r="K150" s="429"/>
    </row>
    <row r="151" spans="1:11">
      <c r="D151" s="88"/>
      <c r="E151" s="86"/>
      <c r="F151" s="89"/>
      <c r="G151" s="89"/>
      <c r="H151" s="86"/>
      <c r="I151" s="89"/>
      <c r="J151" s="91"/>
      <c r="K151" s="92"/>
    </row>
    <row r="152" spans="1:11" ht="19.5">
      <c r="A152" s="76" t="s">
        <v>84</v>
      </c>
      <c r="B152" s="76" t="s">
        <v>140</v>
      </c>
      <c r="C152" s="95" t="s">
        <v>85</v>
      </c>
      <c r="D152" s="85"/>
      <c r="E152" s="85"/>
      <c r="F152" s="85">
        <f>+D146-D147</f>
        <v>5676468143</v>
      </c>
      <c r="G152" s="85"/>
      <c r="H152" s="86"/>
      <c r="I152" s="85">
        <f>+G146-G147</f>
        <v>1953893551</v>
      </c>
      <c r="J152" s="85">
        <f>+F152+I152</f>
        <v>7630361694</v>
      </c>
      <c r="K152" s="97">
        <f>+F152+I152</f>
        <v>7630361694</v>
      </c>
    </row>
    <row r="153" spans="1:11">
      <c r="D153" s="88"/>
      <c r="E153" s="86"/>
      <c r="F153" s="89"/>
      <c r="G153" s="89"/>
      <c r="H153" s="86"/>
      <c r="I153" s="89"/>
      <c r="J153" s="91"/>
      <c r="K153" s="92"/>
    </row>
    <row r="154" spans="1:11" ht="15.75" thickBot="1">
      <c r="A154" s="427" t="s">
        <v>86</v>
      </c>
      <c r="B154" s="428" t="s">
        <v>77</v>
      </c>
      <c r="C154" s="84" t="s">
        <v>87</v>
      </c>
      <c r="D154" s="85">
        <v>2814043932</v>
      </c>
      <c r="E154" s="86">
        <f>+E150</f>
        <v>0.51</v>
      </c>
      <c r="F154" s="85">
        <f>+D154*E154</f>
        <v>1435162405.3199999</v>
      </c>
      <c r="G154" s="85">
        <v>925848782</v>
      </c>
      <c r="H154" s="86">
        <f>+H150</f>
        <v>0.49</v>
      </c>
      <c r="I154" s="85">
        <f>+G154*H154</f>
        <v>453665903.18000001</v>
      </c>
      <c r="J154" s="85">
        <f>+F154+I154</f>
        <v>1888828308.5</v>
      </c>
      <c r="K154" s="429">
        <f>+J154/J155</f>
        <v>108.64005344315711</v>
      </c>
    </row>
    <row r="155" spans="1:11" ht="15.75" thickTop="1">
      <c r="A155" s="427"/>
      <c r="B155" s="428"/>
      <c r="C155" s="76" t="s">
        <v>88</v>
      </c>
      <c r="D155" s="85">
        <v>34040458</v>
      </c>
      <c r="E155" s="86">
        <f>+E150</f>
        <v>0.51</v>
      </c>
      <c r="F155" s="85">
        <f>+D155*E155</f>
        <v>17360633.580000002</v>
      </c>
      <c r="G155" s="85">
        <v>52000</v>
      </c>
      <c r="H155" s="86">
        <f>+H150</f>
        <v>0.49</v>
      </c>
      <c r="I155" s="85">
        <f>+G155*H155</f>
        <v>25480</v>
      </c>
      <c r="J155" s="85">
        <f>+F155+I155</f>
        <v>17386113.580000002</v>
      </c>
      <c r="K155" s="429"/>
    </row>
    <row r="156" spans="1:11">
      <c r="D156" s="88"/>
      <c r="E156" s="86"/>
      <c r="F156" s="89"/>
      <c r="G156" s="89"/>
      <c r="H156" s="86"/>
      <c r="I156" s="89"/>
      <c r="J156" s="91"/>
      <c r="K156" s="92"/>
    </row>
    <row r="157" spans="1:11" ht="15.75" thickBot="1">
      <c r="A157" s="427" t="s">
        <v>89</v>
      </c>
      <c r="B157" s="428" t="s">
        <v>77</v>
      </c>
      <c r="C157" s="93" t="s">
        <v>87</v>
      </c>
      <c r="D157" s="85">
        <f>+D154</f>
        <v>2814043932</v>
      </c>
      <c r="E157" s="86">
        <f>+E155</f>
        <v>0.51</v>
      </c>
      <c r="F157" s="85">
        <f>+D157*E157</f>
        <v>1435162405.3199999</v>
      </c>
      <c r="G157" s="85">
        <f>+G154</f>
        <v>925848782</v>
      </c>
      <c r="H157" s="86">
        <f>+H155</f>
        <v>0.49</v>
      </c>
      <c r="I157" s="85">
        <f>+G157*H157</f>
        <v>453665903.18000001</v>
      </c>
      <c r="J157" s="85">
        <f>+F157+I157</f>
        <v>1888828308.5</v>
      </c>
      <c r="K157" s="429">
        <f>+J157/J158</f>
        <v>0.72158789352276009</v>
      </c>
    </row>
    <row r="158" spans="1:11" ht="15.75" thickTop="1">
      <c r="A158" s="427"/>
      <c r="B158" s="428"/>
      <c r="C158" s="94" t="s">
        <v>90</v>
      </c>
      <c r="D158" s="85">
        <f>+D150-D149</f>
        <v>3209433662</v>
      </c>
      <c r="E158" s="86">
        <f>+E157</f>
        <v>0.51</v>
      </c>
      <c r="F158" s="85">
        <f>+D158*E158</f>
        <v>1636811167.6200001</v>
      </c>
      <c r="G158" s="85">
        <f>+G150-G149</f>
        <v>2001609405</v>
      </c>
      <c r="H158" s="86">
        <f>+H157</f>
        <v>0.49</v>
      </c>
      <c r="I158" s="85">
        <f>+G158*H158</f>
        <v>980788608.44999993</v>
      </c>
      <c r="J158" s="85">
        <f>+F158+I158</f>
        <v>2617599776.0700002</v>
      </c>
      <c r="K158" s="429"/>
    </row>
    <row r="159" spans="1:11">
      <c r="D159" s="88"/>
      <c r="E159" s="86"/>
      <c r="F159" s="89"/>
      <c r="G159" s="89"/>
      <c r="H159" s="86"/>
      <c r="I159" s="89"/>
      <c r="J159" s="91"/>
      <c r="K159" s="92"/>
    </row>
    <row r="160" spans="1:11" ht="15.75" thickBot="1">
      <c r="A160" s="427" t="s">
        <v>91</v>
      </c>
      <c r="B160" s="428" t="s">
        <v>77</v>
      </c>
      <c r="C160" s="93" t="s">
        <v>87</v>
      </c>
      <c r="D160" s="85">
        <f>+D157</f>
        <v>2814043932</v>
      </c>
      <c r="E160" s="86">
        <f>+E158</f>
        <v>0.51</v>
      </c>
      <c r="F160" s="85">
        <f>+D160*E160</f>
        <v>1435162405.3199999</v>
      </c>
      <c r="G160" s="85">
        <f>+G157</f>
        <v>925848782</v>
      </c>
      <c r="H160" s="86">
        <f>+H158</f>
        <v>0.49</v>
      </c>
      <c r="I160" s="85">
        <f>+G160*H160</f>
        <v>453665903.18000001</v>
      </c>
      <c r="J160" s="85">
        <f>+F160+I160</f>
        <v>1888828308.5</v>
      </c>
      <c r="K160" s="429">
        <f>+J160/J161</f>
        <v>0.38126668696275734</v>
      </c>
    </row>
    <row r="161" spans="1:11" ht="15.75" thickTop="1">
      <c r="A161" s="427"/>
      <c r="B161" s="428"/>
      <c r="C161" s="94" t="s">
        <v>92</v>
      </c>
      <c r="D161" s="85">
        <f>+D150</f>
        <v>6908711387</v>
      </c>
      <c r="E161" s="86">
        <f>+E160</f>
        <v>0.51</v>
      </c>
      <c r="F161" s="85">
        <f>+D161*E161</f>
        <v>3523442807.3699999</v>
      </c>
      <c r="G161" s="85">
        <f>+G150</f>
        <v>2919681871</v>
      </c>
      <c r="H161" s="86">
        <f>+H160</f>
        <v>0.49</v>
      </c>
      <c r="I161" s="85">
        <f>+G161*H161</f>
        <v>1430644116.79</v>
      </c>
      <c r="J161" s="85">
        <f>+F161+I161</f>
        <v>4954086924.1599998</v>
      </c>
      <c r="K161" s="429"/>
    </row>
    <row r="164" spans="1:11">
      <c r="D164" s="431" t="str">
        <f>+[2]INDICADORES!H23</f>
        <v>CONSORCIO PALACIO LC</v>
      </c>
      <c r="E164" s="432"/>
      <c r="F164" s="432"/>
      <c r="G164" s="432"/>
      <c r="H164" s="432"/>
      <c r="I164" s="432"/>
      <c r="J164" s="432"/>
      <c r="K164" s="433" t="s">
        <v>133</v>
      </c>
    </row>
    <row r="165" spans="1:11">
      <c r="D165" s="434" t="s">
        <v>157</v>
      </c>
      <c r="E165" s="434"/>
      <c r="F165" s="434"/>
      <c r="G165" s="434" t="s">
        <v>158</v>
      </c>
      <c r="H165" s="434"/>
      <c r="I165" s="434"/>
      <c r="J165" s="435" t="s">
        <v>132</v>
      </c>
      <c r="K165" s="433"/>
    </row>
    <row r="166" spans="1:11">
      <c r="D166" s="434"/>
      <c r="E166" s="434"/>
      <c r="F166" s="434"/>
      <c r="G166" s="434"/>
      <c r="H166" s="434"/>
      <c r="I166" s="434"/>
      <c r="J166" s="436"/>
      <c r="K166" s="433"/>
    </row>
    <row r="167" spans="1:11">
      <c r="C167" s="79" t="s">
        <v>135</v>
      </c>
      <c r="D167" s="438"/>
      <c r="E167" s="439"/>
      <c r="F167" s="440"/>
      <c r="G167" s="438"/>
      <c r="H167" s="439"/>
      <c r="I167" s="440"/>
      <c r="J167" s="436"/>
      <c r="K167" s="433"/>
    </row>
    <row r="168" spans="1:11" ht="34.5">
      <c r="D168" s="269" t="s">
        <v>137</v>
      </c>
      <c r="E168" s="80" t="s">
        <v>138</v>
      </c>
      <c r="F168" s="81" t="s">
        <v>139</v>
      </c>
      <c r="G168" s="81" t="s">
        <v>137</v>
      </c>
      <c r="H168" s="80" t="s">
        <v>138</v>
      </c>
      <c r="I168" s="81" t="s">
        <v>139</v>
      </c>
      <c r="J168" s="437"/>
      <c r="K168" s="433"/>
    </row>
    <row r="169" spans="1:11" ht="15.75" thickBot="1">
      <c r="A169" s="427" t="s">
        <v>76</v>
      </c>
      <c r="B169" s="428" t="s">
        <v>77</v>
      </c>
      <c r="C169" s="84" t="s">
        <v>78</v>
      </c>
      <c r="D169" s="85">
        <v>19723441809</v>
      </c>
      <c r="E169" s="86">
        <v>0.8</v>
      </c>
      <c r="F169" s="85">
        <f>+D169*E169</f>
        <v>15778753447.200001</v>
      </c>
      <c r="G169" s="85">
        <v>17050648348</v>
      </c>
      <c r="H169" s="86">
        <v>0.2</v>
      </c>
      <c r="I169" s="85">
        <f>+G169*H169</f>
        <v>3410129669.6000004</v>
      </c>
      <c r="J169" s="85">
        <f>+F169+I169</f>
        <v>19188883116.800003</v>
      </c>
      <c r="K169" s="430">
        <f>+J169/J170</f>
        <v>6.2049401132524773</v>
      </c>
    </row>
    <row r="170" spans="1:11" ht="15.75" thickTop="1">
      <c r="A170" s="427"/>
      <c r="B170" s="428"/>
      <c r="C170" s="76" t="s">
        <v>80</v>
      </c>
      <c r="D170" s="85">
        <v>3244361316</v>
      </c>
      <c r="E170" s="86">
        <f>+E169</f>
        <v>0.8</v>
      </c>
      <c r="F170" s="85">
        <f>+D170*E170</f>
        <v>2595489052.8000002</v>
      </c>
      <c r="G170" s="85">
        <v>2485140004</v>
      </c>
      <c r="H170" s="86">
        <f>+H169</f>
        <v>0.2</v>
      </c>
      <c r="I170" s="85">
        <f>+G170*H170</f>
        <v>497028000.80000001</v>
      </c>
      <c r="J170" s="85">
        <f>+F170+I170</f>
        <v>3092517053.6000004</v>
      </c>
      <c r="K170" s="430"/>
    </row>
    <row r="171" spans="1:11">
      <c r="D171" s="88"/>
      <c r="E171" s="89"/>
      <c r="F171" s="89"/>
      <c r="G171" s="89"/>
      <c r="H171" s="89"/>
      <c r="I171" s="89"/>
      <c r="J171" s="91"/>
      <c r="K171" s="92"/>
    </row>
    <row r="172" spans="1:11" ht="15.75" thickBot="1">
      <c r="A172" s="427" t="s">
        <v>81</v>
      </c>
      <c r="B172" s="428" t="s">
        <v>77</v>
      </c>
      <c r="C172" s="93" t="s">
        <v>82</v>
      </c>
      <c r="D172" s="85">
        <v>7519291950</v>
      </c>
      <c r="E172" s="86">
        <f>+E170</f>
        <v>0.8</v>
      </c>
      <c r="F172" s="85">
        <f>+D172*E172</f>
        <v>6015433560</v>
      </c>
      <c r="G172" s="85">
        <v>5800356398</v>
      </c>
      <c r="H172" s="86">
        <f>+H170</f>
        <v>0.2</v>
      </c>
      <c r="I172" s="85">
        <f>+G172*H172</f>
        <v>1160071279.6000001</v>
      </c>
      <c r="J172" s="85">
        <f>+F172+I172</f>
        <v>7175504839.6000004</v>
      </c>
      <c r="K172" s="429">
        <f>+J172/J173</f>
        <v>0.33185311762237962</v>
      </c>
    </row>
    <row r="173" spans="1:11" ht="15.75" thickTop="1">
      <c r="A173" s="427"/>
      <c r="B173" s="428"/>
      <c r="C173" s="94" t="s">
        <v>83</v>
      </c>
      <c r="D173" s="85">
        <v>22206308329</v>
      </c>
      <c r="E173" s="86">
        <f>+E172</f>
        <v>0.8</v>
      </c>
      <c r="F173" s="85">
        <f>+D173*E173</f>
        <v>17765046663.200001</v>
      </c>
      <c r="G173" s="85">
        <v>19287429464</v>
      </c>
      <c r="H173" s="86">
        <f>+H172</f>
        <v>0.2</v>
      </c>
      <c r="I173" s="85">
        <f>+G173*H173</f>
        <v>3857485892.8000002</v>
      </c>
      <c r="J173" s="85">
        <f>+F173+I173</f>
        <v>21622532556</v>
      </c>
      <c r="K173" s="429"/>
    </row>
    <row r="174" spans="1:11">
      <c r="D174" s="88"/>
      <c r="E174" s="86"/>
      <c r="F174" s="89"/>
      <c r="G174" s="89"/>
      <c r="H174" s="86"/>
      <c r="I174" s="89"/>
      <c r="J174" s="91"/>
      <c r="K174" s="92"/>
    </row>
    <row r="175" spans="1:11" ht="19.5">
      <c r="A175" s="76" t="s">
        <v>84</v>
      </c>
      <c r="B175" s="76" t="s">
        <v>140</v>
      </c>
      <c r="C175" s="95" t="s">
        <v>85</v>
      </c>
      <c r="D175" s="85"/>
      <c r="E175" s="85"/>
      <c r="F175" s="85">
        <f>+D169-D170</f>
        <v>16479080493</v>
      </c>
      <c r="G175" s="85"/>
      <c r="H175" s="86"/>
      <c r="I175" s="85">
        <f>+G169-G170</f>
        <v>14565508344</v>
      </c>
      <c r="J175" s="85">
        <f>+F175+I175</f>
        <v>31044588837</v>
      </c>
      <c r="K175" s="97">
        <f>+F175+I175</f>
        <v>31044588837</v>
      </c>
    </row>
    <row r="176" spans="1:11">
      <c r="D176" s="88"/>
      <c r="E176" s="86"/>
      <c r="F176" s="89"/>
      <c r="G176" s="89"/>
      <c r="H176" s="86"/>
      <c r="I176" s="89"/>
      <c r="J176" s="91"/>
      <c r="K176" s="92"/>
    </row>
    <row r="177" spans="1:11" ht="15.75" thickBot="1">
      <c r="A177" s="427" t="s">
        <v>86</v>
      </c>
      <c r="B177" s="428" t="s">
        <v>77</v>
      </c>
      <c r="C177" s="84" t="s">
        <v>87</v>
      </c>
      <c r="D177" s="85">
        <v>2552699250</v>
      </c>
      <c r="E177" s="86">
        <f>+E173</f>
        <v>0.8</v>
      </c>
      <c r="F177" s="85">
        <f>+D177*E177</f>
        <v>2042159400</v>
      </c>
      <c r="G177" s="85">
        <v>2026130256</v>
      </c>
      <c r="H177" s="86">
        <f>+H173</f>
        <v>0.2</v>
      </c>
      <c r="I177" s="85">
        <f>+G177*H177</f>
        <v>405226051.20000005</v>
      </c>
      <c r="J177" s="85">
        <f>+F177+I177</f>
        <v>2447385451.1999998</v>
      </c>
      <c r="K177" s="429">
        <f>+J177/J178</f>
        <v>3.6659836425497767</v>
      </c>
    </row>
    <row r="178" spans="1:11" ht="15.75" thickTop="1">
      <c r="A178" s="427"/>
      <c r="B178" s="428"/>
      <c r="C178" s="76" t="s">
        <v>88</v>
      </c>
      <c r="D178" s="85">
        <v>662559341</v>
      </c>
      <c r="E178" s="86">
        <f>+E173</f>
        <v>0.8</v>
      </c>
      <c r="F178" s="85">
        <f>+D178*E178</f>
        <v>530047472.80000001</v>
      </c>
      <c r="G178" s="85">
        <v>687728227</v>
      </c>
      <c r="H178" s="86">
        <f>+H173</f>
        <v>0.2</v>
      </c>
      <c r="I178" s="85">
        <f>+G178*H178</f>
        <v>137545645.40000001</v>
      </c>
      <c r="J178" s="85">
        <f>+F178+I178</f>
        <v>667593118.20000005</v>
      </c>
      <c r="K178" s="429"/>
    </row>
    <row r="179" spans="1:11">
      <c r="D179" s="88"/>
      <c r="E179" s="86"/>
      <c r="F179" s="89"/>
      <c r="G179" s="89"/>
      <c r="H179" s="86"/>
      <c r="I179" s="89"/>
      <c r="J179" s="91"/>
      <c r="K179" s="92"/>
    </row>
    <row r="180" spans="1:11" ht="15.75" thickBot="1">
      <c r="A180" s="427" t="s">
        <v>89</v>
      </c>
      <c r="B180" s="428" t="s">
        <v>77</v>
      </c>
      <c r="C180" s="93" t="s">
        <v>87</v>
      </c>
      <c r="D180" s="85">
        <f>+D177</f>
        <v>2552699250</v>
      </c>
      <c r="E180" s="86">
        <f>+E178</f>
        <v>0.8</v>
      </c>
      <c r="F180" s="85">
        <f>+D180*E180</f>
        <v>2042159400</v>
      </c>
      <c r="G180" s="85">
        <f>+G177</f>
        <v>2026130256</v>
      </c>
      <c r="H180" s="86">
        <f>+H178</f>
        <v>0.2</v>
      </c>
      <c r="I180" s="85">
        <f>+G180*H180</f>
        <v>405226051.20000005</v>
      </c>
      <c r="J180" s="85">
        <f>+F180+I180</f>
        <v>2447385451.1999998</v>
      </c>
      <c r="K180" s="429">
        <f>+J180/J181</f>
        <v>0.16940408084230174</v>
      </c>
    </row>
    <row r="181" spans="1:11" ht="15.75" thickTop="1">
      <c r="A181" s="427"/>
      <c r="B181" s="428"/>
      <c r="C181" s="94" t="s">
        <v>90</v>
      </c>
      <c r="D181" s="85">
        <f>+D173-D172</f>
        <v>14687016379</v>
      </c>
      <c r="E181" s="86">
        <f>+E180</f>
        <v>0.8</v>
      </c>
      <c r="F181" s="85">
        <f>+D181*E181</f>
        <v>11749613103.200001</v>
      </c>
      <c r="G181" s="85">
        <f>+G173-G172</f>
        <v>13487073066</v>
      </c>
      <c r="H181" s="86">
        <f>+H180</f>
        <v>0.2</v>
      </c>
      <c r="I181" s="85">
        <f>+G181*H181</f>
        <v>2697414613.2000003</v>
      </c>
      <c r="J181" s="85">
        <f>+F181+I181</f>
        <v>14447027716.400002</v>
      </c>
      <c r="K181" s="429"/>
    </row>
    <row r="182" spans="1:11">
      <c r="D182" s="88"/>
      <c r="E182" s="86"/>
      <c r="F182" s="89"/>
      <c r="G182" s="89"/>
      <c r="H182" s="86"/>
      <c r="I182" s="89"/>
      <c r="J182" s="91"/>
      <c r="K182" s="92"/>
    </row>
    <row r="183" spans="1:11" ht="15.75" thickBot="1">
      <c r="A183" s="427" t="s">
        <v>91</v>
      </c>
      <c r="B183" s="428" t="s">
        <v>77</v>
      </c>
      <c r="C183" s="93" t="s">
        <v>87</v>
      </c>
      <c r="D183" s="85">
        <f>+D180</f>
        <v>2552699250</v>
      </c>
      <c r="E183" s="86">
        <f>+E181</f>
        <v>0.8</v>
      </c>
      <c r="F183" s="85">
        <f>+D183*E183</f>
        <v>2042159400</v>
      </c>
      <c r="G183" s="85">
        <f>+G180</f>
        <v>2026130256</v>
      </c>
      <c r="H183" s="86">
        <f>+H181</f>
        <v>0.2</v>
      </c>
      <c r="I183" s="85">
        <f>+G183*H183</f>
        <v>405226051.20000005</v>
      </c>
      <c r="J183" s="85">
        <f>+F183+I183</f>
        <v>2447385451.1999998</v>
      </c>
      <c r="K183" s="429">
        <f>+J183/J184</f>
        <v>0.1131868084768303</v>
      </c>
    </row>
    <row r="184" spans="1:11" ht="15.75" thickTop="1">
      <c r="A184" s="427"/>
      <c r="B184" s="428"/>
      <c r="C184" s="94" t="s">
        <v>92</v>
      </c>
      <c r="D184" s="85">
        <f>+D173</f>
        <v>22206308329</v>
      </c>
      <c r="E184" s="86">
        <f>+E183</f>
        <v>0.8</v>
      </c>
      <c r="F184" s="85">
        <f>+D184*E184</f>
        <v>17765046663.200001</v>
      </c>
      <c r="G184" s="85">
        <f>+G173</f>
        <v>19287429464</v>
      </c>
      <c r="H184" s="86">
        <f>+H183</f>
        <v>0.2</v>
      </c>
      <c r="I184" s="85">
        <f>+G184*H184</f>
        <v>3857485892.8000002</v>
      </c>
      <c r="J184" s="85">
        <f>+F184+I184</f>
        <v>21622532556</v>
      </c>
      <c r="K184" s="429"/>
    </row>
    <row r="187" spans="1:11">
      <c r="D187" s="431" t="str">
        <f>+[2]INDICADORES!K23</f>
        <v xml:space="preserve">CONSORCIO PRO PALACIO </v>
      </c>
      <c r="E187" s="432"/>
      <c r="F187" s="432"/>
      <c r="G187" s="432"/>
      <c r="H187" s="432"/>
      <c r="I187" s="432"/>
      <c r="J187" s="432"/>
      <c r="K187" s="433" t="s">
        <v>133</v>
      </c>
    </row>
    <row r="188" spans="1:11">
      <c r="D188" s="434" t="s">
        <v>159</v>
      </c>
      <c r="E188" s="434"/>
      <c r="F188" s="434"/>
      <c r="G188" s="434" t="s">
        <v>160</v>
      </c>
      <c r="H188" s="434"/>
      <c r="I188" s="434"/>
      <c r="J188" s="435" t="s">
        <v>132</v>
      </c>
      <c r="K188" s="433"/>
    </row>
    <row r="189" spans="1:11">
      <c r="D189" s="434"/>
      <c r="E189" s="434"/>
      <c r="F189" s="434"/>
      <c r="G189" s="434"/>
      <c r="H189" s="434"/>
      <c r="I189" s="434"/>
      <c r="J189" s="436"/>
      <c r="K189" s="433"/>
    </row>
    <row r="190" spans="1:11">
      <c r="C190" s="79" t="s">
        <v>135</v>
      </c>
      <c r="D190" s="438" t="s">
        <v>142</v>
      </c>
      <c r="E190" s="439"/>
      <c r="F190" s="440"/>
      <c r="G190" s="438" t="s">
        <v>136</v>
      </c>
      <c r="H190" s="439"/>
      <c r="I190" s="440"/>
      <c r="J190" s="436"/>
      <c r="K190" s="433"/>
    </row>
    <row r="191" spans="1:11" ht="34.5">
      <c r="D191" s="269" t="s">
        <v>137</v>
      </c>
      <c r="E191" s="80" t="s">
        <v>138</v>
      </c>
      <c r="F191" s="81" t="s">
        <v>139</v>
      </c>
      <c r="G191" s="81" t="s">
        <v>137</v>
      </c>
      <c r="H191" s="80" t="s">
        <v>138</v>
      </c>
      <c r="I191" s="81" t="s">
        <v>139</v>
      </c>
      <c r="J191" s="437"/>
      <c r="K191" s="433"/>
    </row>
    <row r="192" spans="1:11" ht="15.75" thickBot="1">
      <c r="A192" s="427" t="s">
        <v>76</v>
      </c>
      <c r="B192" s="428" t="s">
        <v>77</v>
      </c>
      <c r="C192" s="84" t="s">
        <v>78</v>
      </c>
      <c r="D192" s="85">
        <v>69250856522</v>
      </c>
      <c r="E192" s="86">
        <v>0.9</v>
      </c>
      <c r="F192" s="85">
        <f>+D192*E192</f>
        <v>62325770869.800003</v>
      </c>
      <c r="G192" s="85">
        <v>4622328216</v>
      </c>
      <c r="H192" s="86">
        <v>0.1</v>
      </c>
      <c r="I192" s="85">
        <f>+G192*H192</f>
        <v>462232821.60000002</v>
      </c>
      <c r="J192" s="85">
        <f>+F192+I192</f>
        <v>62788003691.400002</v>
      </c>
      <c r="K192" s="430">
        <f>+J192/J193</f>
        <v>2.7425619398967562</v>
      </c>
    </row>
    <row r="193" spans="1:11" ht="15.75" thickTop="1">
      <c r="A193" s="427"/>
      <c r="B193" s="428"/>
      <c r="C193" s="76" t="s">
        <v>80</v>
      </c>
      <c r="D193" s="85">
        <v>25261514874</v>
      </c>
      <c r="E193" s="86">
        <f>+E192</f>
        <v>0.9</v>
      </c>
      <c r="F193" s="85">
        <f>+D193*E193</f>
        <v>22735363386.600002</v>
      </c>
      <c r="G193" s="85">
        <v>1585602758</v>
      </c>
      <c r="H193" s="86">
        <f>+H192</f>
        <v>0.1</v>
      </c>
      <c r="I193" s="85">
        <f>+G193*H193</f>
        <v>158560275.80000001</v>
      </c>
      <c r="J193" s="85">
        <f>+F193+I193</f>
        <v>22893923662.400002</v>
      </c>
      <c r="K193" s="430"/>
    </row>
    <row r="194" spans="1:11">
      <c r="D194" s="88"/>
      <c r="E194" s="89"/>
      <c r="F194" s="89"/>
      <c r="G194" s="89"/>
      <c r="H194" s="89"/>
      <c r="I194" s="89"/>
      <c r="J194" s="91"/>
      <c r="K194" s="92"/>
    </row>
    <row r="195" spans="1:11" ht="15.75" thickBot="1">
      <c r="A195" s="427" t="s">
        <v>81</v>
      </c>
      <c r="B195" s="428" t="s">
        <v>77</v>
      </c>
      <c r="C195" s="93" t="s">
        <v>82</v>
      </c>
      <c r="D195" s="85">
        <v>54312512821</v>
      </c>
      <c r="E195" s="86">
        <f>+E193</f>
        <v>0.9</v>
      </c>
      <c r="F195" s="85">
        <f>+D195*E195</f>
        <v>48881261538.900002</v>
      </c>
      <c r="G195" s="85">
        <v>1701874068</v>
      </c>
      <c r="H195" s="86">
        <f>+H193</f>
        <v>0.1</v>
      </c>
      <c r="I195" s="85">
        <f>+G195*H195</f>
        <v>170187406.80000001</v>
      </c>
      <c r="J195" s="85">
        <f>+F195+I195</f>
        <v>49051448945.700005</v>
      </c>
      <c r="K195" s="429">
        <f>+J195/J196</f>
        <v>0.61621739229497763</v>
      </c>
    </row>
    <row r="196" spans="1:11" ht="15.75" thickTop="1">
      <c r="A196" s="427"/>
      <c r="B196" s="428"/>
      <c r="C196" s="94" t="s">
        <v>83</v>
      </c>
      <c r="D196" s="85">
        <v>87930463650</v>
      </c>
      <c r="E196" s="86">
        <f>+E195</f>
        <v>0.9</v>
      </c>
      <c r="F196" s="85">
        <f>+D196*E196</f>
        <v>79137417285</v>
      </c>
      <c r="G196" s="85">
        <v>4634663626</v>
      </c>
      <c r="H196" s="86">
        <f>+H195</f>
        <v>0.1</v>
      </c>
      <c r="I196" s="85">
        <f>+G196*H196</f>
        <v>463466362.60000002</v>
      </c>
      <c r="J196" s="85">
        <f>+F196+I196</f>
        <v>79600883647.600006</v>
      </c>
      <c r="K196" s="429"/>
    </row>
    <row r="197" spans="1:11">
      <c r="D197" s="88"/>
      <c r="E197" s="86"/>
      <c r="F197" s="89"/>
      <c r="G197" s="89"/>
      <c r="H197" s="86"/>
      <c r="I197" s="89"/>
      <c r="J197" s="91"/>
      <c r="K197" s="92"/>
    </row>
    <row r="198" spans="1:11" ht="19.5">
      <c r="A198" s="76" t="s">
        <v>84</v>
      </c>
      <c r="B198" s="76" t="s">
        <v>140</v>
      </c>
      <c r="C198" s="95" t="s">
        <v>85</v>
      </c>
      <c r="D198" s="85"/>
      <c r="E198" s="85"/>
      <c r="F198" s="85">
        <f>+D192-D193</f>
        <v>43989341648</v>
      </c>
      <c r="G198" s="85"/>
      <c r="H198" s="86"/>
      <c r="I198" s="85">
        <f>+G192-G193</f>
        <v>3036725458</v>
      </c>
      <c r="J198" s="85">
        <f>+F198+I198</f>
        <v>47026067106</v>
      </c>
      <c r="K198" s="97">
        <f>+F198+I198</f>
        <v>47026067106</v>
      </c>
    </row>
    <row r="199" spans="1:11">
      <c r="D199" s="88"/>
      <c r="E199" s="86"/>
      <c r="F199" s="89"/>
      <c r="G199" s="89"/>
      <c r="H199" s="86"/>
      <c r="I199" s="89"/>
      <c r="J199" s="91"/>
      <c r="K199" s="92"/>
    </row>
    <row r="200" spans="1:11" ht="15.75" thickBot="1">
      <c r="A200" s="427" t="s">
        <v>86</v>
      </c>
      <c r="B200" s="428" t="s">
        <v>77</v>
      </c>
      <c r="C200" s="84" t="s">
        <v>87</v>
      </c>
      <c r="D200" s="85">
        <v>11051391259</v>
      </c>
      <c r="E200" s="86">
        <f>+E196</f>
        <v>0.9</v>
      </c>
      <c r="F200" s="85">
        <f>+D200*E200</f>
        <v>9946252133.1000004</v>
      </c>
      <c r="G200" s="85">
        <v>212009701</v>
      </c>
      <c r="H200" s="86">
        <f>+H196</f>
        <v>0.1</v>
      </c>
      <c r="I200" s="85">
        <f>+G200*H200</f>
        <v>21200970.100000001</v>
      </c>
      <c r="J200" s="85">
        <f>+F200+I200</f>
        <v>9967453103.2000008</v>
      </c>
      <c r="K200" s="429">
        <f>+J200/J201</f>
        <v>4.9375256559597531</v>
      </c>
    </row>
    <row r="201" spans="1:11" ht="15.75" thickTop="1">
      <c r="A201" s="427"/>
      <c r="B201" s="428"/>
      <c r="C201" s="76" t="s">
        <v>88</v>
      </c>
      <c r="D201" s="85">
        <v>2241885505</v>
      </c>
      <c r="E201" s="86">
        <f>+E196</f>
        <v>0.9</v>
      </c>
      <c r="F201" s="85">
        <f>+D201*E201</f>
        <v>2017696954.5</v>
      </c>
      <c r="G201" s="85">
        <v>10172351</v>
      </c>
      <c r="H201" s="86">
        <f>+H196</f>
        <v>0.1</v>
      </c>
      <c r="I201" s="85">
        <f>+G201*H201</f>
        <v>1017235.1000000001</v>
      </c>
      <c r="J201" s="85">
        <f>+F201+I201</f>
        <v>2018714189.5999999</v>
      </c>
      <c r="K201" s="429"/>
    </row>
    <row r="202" spans="1:11">
      <c r="D202" s="88"/>
      <c r="E202" s="86"/>
      <c r="F202" s="89"/>
      <c r="G202" s="89"/>
      <c r="H202" s="86"/>
      <c r="I202" s="89"/>
      <c r="J202" s="91"/>
      <c r="K202" s="92"/>
    </row>
    <row r="203" spans="1:11" ht="15.75" thickBot="1">
      <c r="A203" s="427" t="s">
        <v>89</v>
      </c>
      <c r="B203" s="428" t="s">
        <v>77</v>
      </c>
      <c r="C203" s="93" t="s">
        <v>87</v>
      </c>
      <c r="D203" s="85">
        <f>+D200</f>
        <v>11051391259</v>
      </c>
      <c r="E203" s="86">
        <f>+E201</f>
        <v>0.9</v>
      </c>
      <c r="F203" s="85">
        <f>+D203*E203</f>
        <v>9946252133.1000004</v>
      </c>
      <c r="G203" s="85">
        <f>+G200</f>
        <v>212009701</v>
      </c>
      <c r="H203" s="86">
        <f>+H201</f>
        <v>0.1</v>
      </c>
      <c r="I203" s="85">
        <f>+G203*H203</f>
        <v>21200970.100000001</v>
      </c>
      <c r="J203" s="85">
        <f>+F203+I203</f>
        <v>9967453103.2000008</v>
      </c>
      <c r="K203" s="429">
        <f>+J203/J204</f>
        <v>0.32627291471878139</v>
      </c>
    </row>
    <row r="204" spans="1:11" ht="15.75" thickTop="1">
      <c r="A204" s="427"/>
      <c r="B204" s="428"/>
      <c r="C204" s="94" t="s">
        <v>90</v>
      </c>
      <c r="D204" s="85">
        <f>+D196-D195</f>
        <v>33617950829</v>
      </c>
      <c r="E204" s="86">
        <f>+E203</f>
        <v>0.9</v>
      </c>
      <c r="F204" s="85">
        <f>+D204*E204</f>
        <v>30256155746.100002</v>
      </c>
      <c r="G204" s="85">
        <f>+G196-G195</f>
        <v>2932789558</v>
      </c>
      <c r="H204" s="86">
        <f>+H203</f>
        <v>0.1</v>
      </c>
      <c r="I204" s="85">
        <f>+G204*H204</f>
        <v>293278955.80000001</v>
      </c>
      <c r="J204" s="85">
        <f>+F204+I204</f>
        <v>30549434701.900002</v>
      </c>
      <c r="K204" s="429"/>
    </row>
    <row r="205" spans="1:11">
      <c r="D205" s="88"/>
      <c r="E205" s="86"/>
      <c r="F205" s="89"/>
      <c r="G205" s="89"/>
      <c r="H205" s="86"/>
      <c r="I205" s="89"/>
      <c r="J205" s="91"/>
      <c r="K205" s="92"/>
    </row>
    <row r="206" spans="1:11" ht="15.75" thickBot="1">
      <c r="A206" s="427" t="s">
        <v>91</v>
      </c>
      <c r="B206" s="428" t="s">
        <v>77</v>
      </c>
      <c r="C206" s="93" t="s">
        <v>87</v>
      </c>
      <c r="D206" s="85">
        <f>+D203</f>
        <v>11051391259</v>
      </c>
      <c r="E206" s="86">
        <f>+E204</f>
        <v>0.9</v>
      </c>
      <c r="F206" s="85">
        <f>+D206*E206</f>
        <v>9946252133.1000004</v>
      </c>
      <c r="G206" s="85">
        <f>+G203</f>
        <v>212009701</v>
      </c>
      <c r="H206" s="86">
        <f>+H204</f>
        <v>0.1</v>
      </c>
      <c r="I206" s="85">
        <f>+G206*H206</f>
        <v>21200970.100000001</v>
      </c>
      <c r="J206" s="85">
        <f>+F206+I206</f>
        <v>9967453103.2000008</v>
      </c>
      <c r="K206" s="429">
        <f>+J206/J207</f>
        <v>0.1252178700342923</v>
      </c>
    </row>
    <row r="207" spans="1:11" ht="15.75" thickTop="1">
      <c r="A207" s="427"/>
      <c r="B207" s="428"/>
      <c r="C207" s="94" t="s">
        <v>92</v>
      </c>
      <c r="D207" s="85">
        <f>+D196</f>
        <v>87930463650</v>
      </c>
      <c r="E207" s="86">
        <f>+E206</f>
        <v>0.9</v>
      </c>
      <c r="F207" s="85">
        <f>+D207*E207</f>
        <v>79137417285</v>
      </c>
      <c r="G207" s="85">
        <f>+G196</f>
        <v>4634663626</v>
      </c>
      <c r="H207" s="86">
        <f>+H206</f>
        <v>0.1</v>
      </c>
      <c r="I207" s="85">
        <f>+G207*H207</f>
        <v>463466362.60000002</v>
      </c>
      <c r="J207" s="85">
        <f>+F207+I207</f>
        <v>79600883647.600006</v>
      </c>
      <c r="K207" s="429"/>
    </row>
    <row r="210" spans="1:11">
      <c r="D210" s="431" t="str">
        <f>+[2]INDICADORES!N23</f>
        <v>CONSORCIO CONACERO 2026</v>
      </c>
      <c r="E210" s="432"/>
      <c r="F210" s="432"/>
      <c r="G210" s="432"/>
      <c r="H210" s="432"/>
      <c r="I210" s="432"/>
      <c r="J210" s="432"/>
      <c r="K210" s="433" t="s">
        <v>133</v>
      </c>
    </row>
    <row r="211" spans="1:11">
      <c r="D211" s="434" t="s">
        <v>161</v>
      </c>
      <c r="E211" s="434"/>
      <c r="F211" s="434"/>
      <c r="G211" s="434" t="s">
        <v>162</v>
      </c>
      <c r="H211" s="434"/>
      <c r="I211" s="434"/>
      <c r="J211" s="435" t="s">
        <v>132</v>
      </c>
      <c r="K211" s="433"/>
    </row>
    <row r="212" spans="1:11">
      <c r="D212" s="434"/>
      <c r="E212" s="434"/>
      <c r="F212" s="434"/>
      <c r="G212" s="434"/>
      <c r="H212" s="434"/>
      <c r="I212" s="434"/>
      <c r="J212" s="436"/>
      <c r="K212" s="433"/>
    </row>
    <row r="213" spans="1:11">
      <c r="C213" s="79" t="s">
        <v>135</v>
      </c>
      <c r="D213" s="438" t="s">
        <v>163</v>
      </c>
      <c r="E213" s="439"/>
      <c r="F213" s="440"/>
      <c r="G213" s="438" t="s">
        <v>164</v>
      </c>
      <c r="H213" s="439"/>
      <c r="I213" s="440"/>
      <c r="J213" s="436"/>
      <c r="K213" s="433"/>
    </row>
    <row r="214" spans="1:11" ht="34.5">
      <c r="D214" s="269" t="s">
        <v>137</v>
      </c>
      <c r="E214" s="80" t="s">
        <v>138</v>
      </c>
      <c r="F214" s="81" t="s">
        <v>139</v>
      </c>
      <c r="G214" s="81" t="s">
        <v>137</v>
      </c>
      <c r="H214" s="80" t="s">
        <v>138</v>
      </c>
      <c r="I214" s="81" t="s">
        <v>139</v>
      </c>
      <c r="J214" s="437"/>
      <c r="K214" s="433"/>
    </row>
    <row r="215" spans="1:11" ht="15.75" thickBot="1">
      <c r="A215" s="427" t="s">
        <v>76</v>
      </c>
      <c r="B215" s="428" t="s">
        <v>77</v>
      </c>
      <c r="C215" s="84" t="s">
        <v>78</v>
      </c>
      <c r="D215" s="85">
        <v>7553853907</v>
      </c>
      <c r="E215" s="86">
        <v>0.7</v>
      </c>
      <c r="F215" s="85">
        <f>+D215*E215</f>
        <v>5287697734.8999996</v>
      </c>
      <c r="G215" s="85">
        <v>2216213000</v>
      </c>
      <c r="H215" s="86">
        <v>0.3</v>
      </c>
      <c r="I215" s="85">
        <f>+G215*H215</f>
        <v>664863900</v>
      </c>
      <c r="J215" s="85">
        <f>+F215+I215</f>
        <v>5952561634.8999996</v>
      </c>
      <c r="K215" s="430">
        <f>+J215/J216</f>
        <v>5.2762620449804434</v>
      </c>
    </row>
    <row r="216" spans="1:11" ht="15.75" thickTop="1">
      <c r="A216" s="427"/>
      <c r="B216" s="428"/>
      <c r="C216" s="76" t="s">
        <v>80</v>
      </c>
      <c r="D216" s="85">
        <v>1531563695</v>
      </c>
      <c r="E216" s="86">
        <f>+E215</f>
        <v>0.7</v>
      </c>
      <c r="F216" s="85">
        <f>+D216*E216</f>
        <v>1072094586.4999999</v>
      </c>
      <c r="G216" s="85">
        <v>186944000</v>
      </c>
      <c r="H216" s="86">
        <f>+H215</f>
        <v>0.3</v>
      </c>
      <c r="I216" s="85">
        <f>+G216*H216</f>
        <v>56083200</v>
      </c>
      <c r="J216" s="85">
        <f>+F216+I216</f>
        <v>1128177786.5</v>
      </c>
      <c r="K216" s="430"/>
    </row>
    <row r="217" spans="1:11">
      <c r="D217" s="88"/>
      <c r="E217" s="89"/>
      <c r="F217" s="89"/>
      <c r="G217" s="89"/>
      <c r="H217" s="89"/>
      <c r="I217" s="89"/>
      <c r="J217" s="91"/>
      <c r="K217" s="92"/>
    </row>
    <row r="218" spans="1:11" ht="15.75" thickBot="1">
      <c r="A218" s="427" t="s">
        <v>81</v>
      </c>
      <c r="B218" s="428" t="s">
        <v>77</v>
      </c>
      <c r="C218" s="93" t="s">
        <v>82</v>
      </c>
      <c r="D218" s="85">
        <v>4941966979</v>
      </c>
      <c r="E218" s="86">
        <f>+E216</f>
        <v>0.7</v>
      </c>
      <c r="F218" s="85">
        <f>+D218*E218</f>
        <v>3459376885.2999997</v>
      </c>
      <c r="G218" s="85">
        <v>457394000</v>
      </c>
      <c r="H218" s="86">
        <f>+H216</f>
        <v>0.3</v>
      </c>
      <c r="I218" s="85">
        <f>+G218*H218</f>
        <v>137218200</v>
      </c>
      <c r="J218" s="85">
        <f>+F218+I218</f>
        <v>3596595085.2999997</v>
      </c>
      <c r="K218" s="429">
        <f>+J218/J219</f>
        <v>0.52522218777608964</v>
      </c>
    </row>
    <row r="219" spans="1:11" ht="15.75" thickTop="1">
      <c r="A219" s="427"/>
      <c r="B219" s="428"/>
      <c r="C219" s="94" t="s">
        <v>83</v>
      </c>
      <c r="D219" s="85">
        <v>8746569046</v>
      </c>
      <c r="E219" s="86">
        <f>+E218</f>
        <v>0.7</v>
      </c>
      <c r="F219" s="85">
        <f>+D219*E219</f>
        <v>6122598332.1999998</v>
      </c>
      <c r="G219" s="85">
        <v>2417203000</v>
      </c>
      <c r="H219" s="86">
        <f>+H218</f>
        <v>0.3</v>
      </c>
      <c r="I219" s="85">
        <f>+G219*H219</f>
        <v>725160900</v>
      </c>
      <c r="J219" s="85">
        <f>+F219+I219</f>
        <v>6847759232.1999998</v>
      </c>
      <c r="K219" s="429"/>
    </row>
    <row r="220" spans="1:11">
      <c r="D220" s="88"/>
      <c r="E220" s="86"/>
      <c r="F220" s="89"/>
      <c r="G220" s="89"/>
      <c r="H220" s="86"/>
      <c r="I220" s="89"/>
      <c r="J220" s="91"/>
      <c r="K220" s="92"/>
    </row>
    <row r="221" spans="1:11" ht="19.5">
      <c r="A221" s="76" t="s">
        <v>84</v>
      </c>
      <c r="B221" s="76" t="s">
        <v>140</v>
      </c>
      <c r="C221" s="95" t="s">
        <v>85</v>
      </c>
      <c r="D221" s="85"/>
      <c r="E221" s="85"/>
      <c r="F221" s="85">
        <f>+D215-D216</f>
        <v>6022290212</v>
      </c>
      <c r="G221" s="85"/>
      <c r="H221" s="86"/>
      <c r="I221" s="85">
        <f>+G215-G216</f>
        <v>2029269000</v>
      </c>
      <c r="J221" s="85">
        <f>+F221+I221</f>
        <v>8051559212</v>
      </c>
      <c r="K221" s="97">
        <f>+F221+I221</f>
        <v>8051559212</v>
      </c>
    </row>
    <row r="222" spans="1:11">
      <c r="D222" s="88"/>
      <c r="E222" s="86"/>
      <c r="F222" s="89"/>
      <c r="G222" s="89"/>
      <c r="H222" s="86"/>
      <c r="I222" s="89"/>
      <c r="J222" s="91"/>
      <c r="K222" s="92"/>
    </row>
    <row r="223" spans="1:11" ht="15.75" thickBot="1">
      <c r="A223" s="427" t="s">
        <v>86</v>
      </c>
      <c r="B223" s="428" t="s">
        <v>77</v>
      </c>
      <c r="C223" s="84" t="s">
        <v>87</v>
      </c>
      <c r="D223" s="85">
        <v>976409174</v>
      </c>
      <c r="E223" s="86">
        <f>+E219</f>
        <v>0.7</v>
      </c>
      <c r="F223" s="85">
        <f>+D223*E223</f>
        <v>683486421.79999995</v>
      </c>
      <c r="G223" s="85">
        <v>393617000</v>
      </c>
      <c r="H223" s="86">
        <f>+H219</f>
        <v>0.3</v>
      </c>
      <c r="I223" s="85">
        <f>+G223*H223</f>
        <v>118085100</v>
      </c>
      <c r="J223" s="85">
        <f>+F223+I223</f>
        <v>801571521.79999995</v>
      </c>
      <c r="K223" s="429">
        <f>+J223/J224</f>
        <v>4.577892741084213</v>
      </c>
    </row>
    <row r="224" spans="1:11" ht="15.75" thickTop="1">
      <c r="A224" s="427"/>
      <c r="B224" s="428"/>
      <c r="C224" s="76" t="s">
        <v>88</v>
      </c>
      <c r="D224" s="85">
        <v>247319731</v>
      </c>
      <c r="E224" s="86">
        <f>+E219</f>
        <v>0.7</v>
      </c>
      <c r="F224" s="85">
        <f>+D224*E224</f>
        <v>173123811.69999999</v>
      </c>
      <c r="G224" s="85">
        <v>6574554</v>
      </c>
      <c r="H224" s="86">
        <f>+H219</f>
        <v>0.3</v>
      </c>
      <c r="I224" s="85">
        <f>+G224*H224</f>
        <v>1972366.2</v>
      </c>
      <c r="J224" s="85">
        <f>+F224+I224</f>
        <v>175096177.89999998</v>
      </c>
      <c r="K224" s="429"/>
    </row>
    <row r="225" spans="1:11">
      <c r="D225" s="88"/>
      <c r="E225" s="86"/>
      <c r="F225" s="89"/>
      <c r="G225" s="89"/>
      <c r="H225" s="86"/>
      <c r="I225" s="89"/>
      <c r="J225" s="91"/>
      <c r="K225" s="92"/>
    </row>
    <row r="226" spans="1:11" ht="15.75" thickBot="1">
      <c r="A226" s="427" t="s">
        <v>89</v>
      </c>
      <c r="B226" s="428" t="s">
        <v>77</v>
      </c>
      <c r="C226" s="93" t="s">
        <v>87</v>
      </c>
      <c r="D226" s="85">
        <f>+D223</f>
        <v>976409174</v>
      </c>
      <c r="E226" s="86">
        <f>+E224</f>
        <v>0.7</v>
      </c>
      <c r="F226" s="85">
        <f>+D226*E226</f>
        <v>683486421.79999995</v>
      </c>
      <c r="G226" s="85">
        <f>+G223</f>
        <v>393617000</v>
      </c>
      <c r="H226" s="86">
        <f>+H224</f>
        <v>0.3</v>
      </c>
      <c r="I226" s="85">
        <f>+G226*H226</f>
        <v>118085100</v>
      </c>
      <c r="J226" s="85">
        <f>+F226+I226</f>
        <v>801571521.79999995</v>
      </c>
      <c r="K226" s="429">
        <f>+J226/J227</f>
        <v>0.24654907767862236</v>
      </c>
    </row>
    <row r="227" spans="1:11" ht="15.75" thickTop="1">
      <c r="A227" s="427"/>
      <c r="B227" s="428"/>
      <c r="C227" s="94" t="s">
        <v>90</v>
      </c>
      <c r="D227" s="85">
        <f>+D219-D218</f>
        <v>3804602067</v>
      </c>
      <c r="E227" s="86">
        <f>+E226</f>
        <v>0.7</v>
      </c>
      <c r="F227" s="85">
        <f>+D227*E227</f>
        <v>2663221446.8999996</v>
      </c>
      <c r="G227" s="85">
        <f>+G219-G218</f>
        <v>1959809000</v>
      </c>
      <c r="H227" s="86">
        <f>+H226</f>
        <v>0.3</v>
      </c>
      <c r="I227" s="85">
        <f>+G227*H227</f>
        <v>587942700</v>
      </c>
      <c r="J227" s="85">
        <f>+F227+I227</f>
        <v>3251164146.8999996</v>
      </c>
      <c r="K227" s="429"/>
    </row>
    <row r="228" spans="1:11">
      <c r="D228" s="88"/>
      <c r="E228" s="86"/>
      <c r="F228" s="89"/>
      <c r="G228" s="89"/>
      <c r="H228" s="86"/>
      <c r="I228" s="89"/>
      <c r="J228" s="91"/>
      <c r="K228" s="92"/>
    </row>
    <row r="229" spans="1:11" ht="15.75" thickBot="1">
      <c r="A229" s="427" t="s">
        <v>91</v>
      </c>
      <c r="B229" s="428" t="s">
        <v>77</v>
      </c>
      <c r="C229" s="93" t="s">
        <v>87</v>
      </c>
      <c r="D229" s="85">
        <f>+D226</f>
        <v>976409174</v>
      </c>
      <c r="E229" s="86">
        <f>+E227</f>
        <v>0.7</v>
      </c>
      <c r="F229" s="85">
        <f>+D229*E229</f>
        <v>683486421.79999995</v>
      </c>
      <c r="G229" s="85">
        <f>+G226</f>
        <v>393617000</v>
      </c>
      <c r="H229" s="86">
        <f>+H227</f>
        <v>0.3</v>
      </c>
      <c r="I229" s="85">
        <f>+G229*H229</f>
        <v>118085100</v>
      </c>
      <c r="J229" s="85">
        <f>+F229+I229</f>
        <v>801571521.79999995</v>
      </c>
      <c r="K229" s="429">
        <f>+J229/J230</f>
        <v>0.11705603170607923</v>
      </c>
    </row>
    <row r="230" spans="1:11" ht="15.75" thickTop="1">
      <c r="A230" s="427"/>
      <c r="B230" s="428"/>
      <c r="C230" s="94" t="s">
        <v>92</v>
      </c>
      <c r="D230" s="85">
        <f>+D219</f>
        <v>8746569046</v>
      </c>
      <c r="E230" s="86">
        <f>+E229</f>
        <v>0.7</v>
      </c>
      <c r="F230" s="85">
        <f>+D230*E230</f>
        <v>6122598332.1999998</v>
      </c>
      <c r="G230" s="85">
        <f>+G219</f>
        <v>2417203000</v>
      </c>
      <c r="H230" s="86">
        <f>+H229</f>
        <v>0.3</v>
      </c>
      <c r="I230" s="85">
        <f>+G230*H230</f>
        <v>725160900</v>
      </c>
      <c r="J230" s="85">
        <f>+F230+I230</f>
        <v>6847759232.1999998</v>
      </c>
      <c r="K230" s="429"/>
    </row>
    <row r="233" spans="1:11">
      <c r="D233" s="431" t="str">
        <f>+[2]OFERENTES!A11</f>
        <v xml:space="preserve">CONSORCIO PALATIUM CS. </v>
      </c>
      <c r="E233" s="432"/>
      <c r="F233" s="432"/>
      <c r="G233" s="432"/>
      <c r="H233" s="432"/>
      <c r="I233" s="432"/>
      <c r="J233" s="432"/>
      <c r="K233" s="433" t="s">
        <v>133</v>
      </c>
    </row>
    <row r="234" spans="1:11">
      <c r="D234" s="434" t="s">
        <v>165</v>
      </c>
      <c r="E234" s="434"/>
      <c r="F234" s="434"/>
      <c r="G234" s="434" t="s">
        <v>166</v>
      </c>
      <c r="H234" s="434"/>
      <c r="I234" s="434"/>
      <c r="J234" s="435" t="s">
        <v>132</v>
      </c>
      <c r="K234" s="433"/>
    </row>
    <row r="235" spans="1:11">
      <c r="D235" s="434"/>
      <c r="E235" s="434"/>
      <c r="F235" s="434"/>
      <c r="G235" s="434"/>
      <c r="H235" s="434"/>
      <c r="I235" s="434"/>
      <c r="J235" s="436"/>
      <c r="K235" s="433"/>
    </row>
    <row r="236" spans="1:11">
      <c r="C236" s="79" t="s">
        <v>135</v>
      </c>
      <c r="D236" s="438" t="s">
        <v>167</v>
      </c>
      <c r="E236" s="439"/>
      <c r="F236" s="440"/>
      <c r="G236" s="438" t="s">
        <v>142</v>
      </c>
      <c r="H236" s="439"/>
      <c r="I236" s="440"/>
      <c r="J236" s="436"/>
      <c r="K236" s="433"/>
    </row>
    <row r="237" spans="1:11" ht="34.5">
      <c r="D237" s="269" t="s">
        <v>137</v>
      </c>
      <c r="E237" s="80" t="s">
        <v>138</v>
      </c>
      <c r="F237" s="81" t="s">
        <v>139</v>
      </c>
      <c r="G237" s="81" t="s">
        <v>137</v>
      </c>
      <c r="H237" s="80" t="s">
        <v>138</v>
      </c>
      <c r="I237" s="81" t="s">
        <v>139</v>
      </c>
      <c r="J237" s="437"/>
      <c r="K237" s="433"/>
    </row>
    <row r="238" spans="1:11" ht="15.75" thickBot="1">
      <c r="A238" s="427" t="s">
        <v>76</v>
      </c>
      <c r="B238" s="428" t="s">
        <v>77</v>
      </c>
      <c r="C238" s="84" t="s">
        <v>78</v>
      </c>
      <c r="D238" s="85">
        <v>1595622138</v>
      </c>
      <c r="E238" s="86">
        <v>0.1</v>
      </c>
      <c r="F238" s="85">
        <f>+D238*E238</f>
        <v>159562213.80000001</v>
      </c>
      <c r="G238" s="85">
        <v>25454493332</v>
      </c>
      <c r="H238" s="86">
        <v>0.9</v>
      </c>
      <c r="I238" s="85">
        <f>+G238*H238</f>
        <v>22909043998.799999</v>
      </c>
      <c r="J238" s="85">
        <f>+F238+I238</f>
        <v>23068606212.599998</v>
      </c>
      <c r="K238" s="430">
        <f>+J238/J239</f>
        <v>2.4154847586564436</v>
      </c>
    </row>
    <row r="239" spans="1:11" ht="15.75" thickTop="1">
      <c r="A239" s="427"/>
      <c r="B239" s="428"/>
      <c r="C239" s="76" t="s">
        <v>80</v>
      </c>
      <c r="D239" s="85">
        <v>329366777</v>
      </c>
      <c r="E239" s="86">
        <f>+E238</f>
        <v>0.1</v>
      </c>
      <c r="F239" s="85">
        <f>+D239*E239</f>
        <v>32936677.700000003</v>
      </c>
      <c r="G239" s="85">
        <v>10574849112</v>
      </c>
      <c r="H239" s="86">
        <f>+H238</f>
        <v>0.9</v>
      </c>
      <c r="I239" s="85">
        <f>+G239*H239</f>
        <v>9517364200.8000011</v>
      </c>
      <c r="J239" s="85">
        <f>+F239+I239</f>
        <v>9550300878.5000019</v>
      </c>
      <c r="K239" s="430"/>
    </row>
    <row r="240" spans="1:11">
      <c r="D240" s="88"/>
      <c r="E240" s="89"/>
      <c r="F240" s="89"/>
      <c r="G240" s="89"/>
      <c r="H240" s="89"/>
      <c r="I240" s="89"/>
      <c r="J240" s="91"/>
      <c r="K240" s="92"/>
    </row>
    <row r="241" spans="1:17" ht="15.75" thickBot="1">
      <c r="A241" s="427" t="s">
        <v>81</v>
      </c>
      <c r="B241" s="428" t="s">
        <v>77</v>
      </c>
      <c r="C241" s="93" t="s">
        <v>82</v>
      </c>
      <c r="D241" s="85">
        <v>877760245</v>
      </c>
      <c r="E241" s="86">
        <f>+E239</f>
        <v>0.1</v>
      </c>
      <c r="F241" s="85">
        <f>+D241*E241</f>
        <v>87776024.5</v>
      </c>
      <c r="G241" s="85">
        <v>17101342294</v>
      </c>
      <c r="H241" s="86">
        <f>+H239</f>
        <v>0.9</v>
      </c>
      <c r="I241" s="85">
        <f>+G241*H241</f>
        <v>15391208064.6</v>
      </c>
      <c r="J241" s="85">
        <f>+F241+I241</f>
        <v>15478984089.1</v>
      </c>
      <c r="K241" s="429">
        <f>+J241/J242</f>
        <v>0.60705076057490992</v>
      </c>
    </row>
    <row r="242" spans="1:17" ht="15.75" thickTop="1">
      <c r="A242" s="427"/>
      <c r="B242" s="428"/>
      <c r="C242" s="94" t="s">
        <v>83</v>
      </c>
      <c r="D242" s="85">
        <v>2335200122</v>
      </c>
      <c r="E242" s="86">
        <f>+E241</f>
        <v>0.1</v>
      </c>
      <c r="F242" s="85">
        <f>+D242*E242</f>
        <v>233520012.20000002</v>
      </c>
      <c r="G242" s="85">
        <v>28072383516</v>
      </c>
      <c r="H242" s="86">
        <f>+H241</f>
        <v>0.9</v>
      </c>
      <c r="I242" s="85">
        <f>+G242*H242</f>
        <v>25265145164.400002</v>
      </c>
      <c r="J242" s="85">
        <f>+F242+I242</f>
        <v>25498665176.600002</v>
      </c>
      <c r="K242" s="429"/>
    </row>
    <row r="243" spans="1:17">
      <c r="D243" s="88"/>
      <c r="E243" s="86"/>
      <c r="F243" s="89"/>
      <c r="G243" s="89"/>
      <c r="H243" s="86"/>
      <c r="I243" s="89"/>
      <c r="J243" s="91"/>
      <c r="K243" s="92"/>
    </row>
    <row r="244" spans="1:17" ht="19.5">
      <c r="A244" s="76" t="s">
        <v>84</v>
      </c>
      <c r="B244" s="76" t="s">
        <v>140</v>
      </c>
      <c r="C244" s="95" t="s">
        <v>85</v>
      </c>
      <c r="D244" s="85"/>
      <c r="E244" s="85"/>
      <c r="F244" s="85">
        <f>+D238-D239</f>
        <v>1266255361</v>
      </c>
      <c r="G244" s="85"/>
      <c r="H244" s="86"/>
      <c r="I244" s="85">
        <f>+G238-G239</f>
        <v>14879644220</v>
      </c>
      <c r="J244" s="85">
        <f>+F244+I244</f>
        <v>16145899581</v>
      </c>
      <c r="K244" s="97">
        <f>+F244+I244</f>
        <v>16145899581</v>
      </c>
    </row>
    <row r="245" spans="1:17">
      <c r="D245" s="88"/>
      <c r="E245" s="86"/>
      <c r="F245" s="89"/>
      <c r="G245" s="89"/>
      <c r="H245" s="86"/>
      <c r="I245" s="89"/>
      <c r="J245" s="91"/>
      <c r="K245" s="92"/>
    </row>
    <row r="246" spans="1:17" ht="15.75" thickBot="1">
      <c r="A246" s="427" t="s">
        <v>86</v>
      </c>
      <c r="B246" s="428" t="s">
        <v>77</v>
      </c>
      <c r="C246" s="84" t="s">
        <v>87</v>
      </c>
      <c r="D246" s="85">
        <v>186273098</v>
      </c>
      <c r="E246" s="86">
        <f>+E242</f>
        <v>0.1</v>
      </c>
      <c r="F246" s="85">
        <f>+D246*E246</f>
        <v>18627309.800000001</v>
      </c>
      <c r="G246" s="85">
        <v>5361375397</v>
      </c>
      <c r="H246" s="86">
        <f>+H242</f>
        <v>0.9</v>
      </c>
      <c r="I246" s="85">
        <f>+G246*H246</f>
        <v>4825237857.3000002</v>
      </c>
      <c r="J246" s="85">
        <f>+F246+I246</f>
        <v>4843865167.1000004</v>
      </c>
      <c r="K246" s="429" t="s">
        <v>103</v>
      </c>
    </row>
    <row r="247" spans="1:17" ht="15.75" thickTop="1">
      <c r="A247" s="427"/>
      <c r="B247" s="428"/>
      <c r="C247" s="76" t="s">
        <v>88</v>
      </c>
      <c r="D247" s="85">
        <v>0</v>
      </c>
      <c r="E247" s="86">
        <f>+E242</f>
        <v>0.1</v>
      </c>
      <c r="F247" s="85">
        <f>+D247*E247</f>
        <v>0</v>
      </c>
      <c r="G247" s="85">
        <v>0</v>
      </c>
      <c r="H247" s="86">
        <f>+H242</f>
        <v>0.9</v>
      </c>
      <c r="I247" s="85">
        <f>+G247*H247</f>
        <v>0</v>
      </c>
      <c r="J247" s="85">
        <f>+F247+I247</f>
        <v>0</v>
      </c>
      <c r="K247" s="429"/>
    </row>
    <row r="248" spans="1:17">
      <c r="D248" s="88"/>
      <c r="E248" s="86"/>
      <c r="F248" s="89"/>
      <c r="G248" s="89"/>
      <c r="H248" s="86"/>
      <c r="I248" s="89"/>
      <c r="J248" s="91"/>
      <c r="K248" s="92"/>
    </row>
    <row r="249" spans="1:17" ht="15.75" thickBot="1">
      <c r="A249" s="427" t="s">
        <v>89</v>
      </c>
      <c r="B249" s="428" t="s">
        <v>77</v>
      </c>
      <c r="C249" s="93" t="s">
        <v>87</v>
      </c>
      <c r="D249" s="85">
        <f>+D246</f>
        <v>186273098</v>
      </c>
      <c r="E249" s="86">
        <f>+E247</f>
        <v>0.1</v>
      </c>
      <c r="F249" s="85">
        <f>+D249*E249</f>
        <v>18627309.800000001</v>
      </c>
      <c r="G249" s="85">
        <f>+G246</f>
        <v>5361375397</v>
      </c>
      <c r="H249" s="86">
        <f>+H247</f>
        <v>0.9</v>
      </c>
      <c r="I249" s="85">
        <f>+G249*H249</f>
        <v>4825237857.3000002</v>
      </c>
      <c r="J249" s="85">
        <f>+F249+I249</f>
        <v>4843865167.1000004</v>
      </c>
      <c r="K249" s="429">
        <f>+J249/J250</f>
        <v>0.4834350639306213</v>
      </c>
    </row>
    <row r="250" spans="1:17" ht="15.75" thickTop="1">
      <c r="A250" s="427"/>
      <c r="B250" s="428"/>
      <c r="C250" s="94" t="s">
        <v>90</v>
      </c>
      <c r="D250" s="85">
        <f>+D242-D241</f>
        <v>1457439877</v>
      </c>
      <c r="E250" s="86">
        <f>+E249</f>
        <v>0.1</v>
      </c>
      <c r="F250" s="85">
        <f>+D250*E250</f>
        <v>145743987.70000002</v>
      </c>
      <c r="G250" s="85">
        <f>+G242-G241</f>
        <v>10971041222</v>
      </c>
      <c r="H250" s="86">
        <f>+H249</f>
        <v>0.9</v>
      </c>
      <c r="I250" s="85">
        <f>+G250*H250</f>
        <v>9873937099.8000011</v>
      </c>
      <c r="J250" s="85">
        <f>+F250+I250</f>
        <v>10019681087.500002</v>
      </c>
      <c r="K250" s="429"/>
    </row>
    <row r="251" spans="1:17">
      <c r="D251" s="88"/>
      <c r="E251" s="86"/>
      <c r="F251" s="89"/>
      <c r="G251" s="89"/>
      <c r="H251" s="86"/>
      <c r="I251" s="89"/>
      <c r="J251" s="91"/>
      <c r="K251" s="92"/>
    </row>
    <row r="252" spans="1:17" ht="15.75" thickBot="1">
      <c r="A252" s="427" t="s">
        <v>91</v>
      </c>
      <c r="B252" s="428" t="s">
        <v>77</v>
      </c>
      <c r="C252" s="93" t="s">
        <v>87</v>
      </c>
      <c r="D252" s="85">
        <f>+D249</f>
        <v>186273098</v>
      </c>
      <c r="E252" s="86">
        <f>+E250</f>
        <v>0.1</v>
      </c>
      <c r="F252" s="85">
        <f>+D252*E252</f>
        <v>18627309.800000001</v>
      </c>
      <c r="G252" s="85">
        <f>+G249</f>
        <v>5361375397</v>
      </c>
      <c r="H252" s="86">
        <f>+H250</f>
        <v>0.9</v>
      </c>
      <c r="I252" s="85">
        <f>+G252*H252</f>
        <v>4825237857.3000002</v>
      </c>
      <c r="J252" s="85">
        <f>+F252+I252</f>
        <v>4843865167.1000004</v>
      </c>
      <c r="K252" s="429">
        <f>+J252/J253</f>
        <v>0.18996544068295745</v>
      </c>
    </row>
    <row r="253" spans="1:17" ht="15.75" thickTop="1">
      <c r="A253" s="427"/>
      <c r="B253" s="428"/>
      <c r="C253" s="94" t="s">
        <v>92</v>
      </c>
      <c r="D253" s="85">
        <f>+D242</f>
        <v>2335200122</v>
      </c>
      <c r="E253" s="86">
        <f>+E252</f>
        <v>0.1</v>
      </c>
      <c r="F253" s="85">
        <f>+D253*E253</f>
        <v>233520012.20000002</v>
      </c>
      <c r="G253" s="85">
        <f>+G242</f>
        <v>28072383516</v>
      </c>
      <c r="H253" s="86">
        <f>+H252</f>
        <v>0.9</v>
      </c>
      <c r="I253" s="85">
        <f>+G253*H253</f>
        <v>25265145164.400002</v>
      </c>
      <c r="J253" s="85">
        <f>+F253+I253</f>
        <v>25498665176.600002</v>
      </c>
      <c r="K253" s="429"/>
    </row>
    <row r="256" spans="1:17">
      <c r="D256" s="446" t="str">
        <f>+[2]INDICADORES!T23</f>
        <v>CONSORCIO CONSTRUCTORES 2026</v>
      </c>
      <c r="E256" s="447"/>
      <c r="F256" s="447"/>
      <c r="G256" s="447"/>
      <c r="H256" s="447"/>
      <c r="I256" s="447"/>
      <c r="J256" s="447"/>
      <c r="K256" s="447"/>
      <c r="L256" s="447"/>
      <c r="M256" s="447"/>
      <c r="N256" s="447"/>
      <c r="O256" s="448"/>
      <c r="P256" s="435" t="s">
        <v>132</v>
      </c>
      <c r="Q256" s="452" t="s">
        <v>133</v>
      </c>
    </row>
    <row r="257" spans="1:17">
      <c r="D257" s="434" t="s">
        <v>168</v>
      </c>
      <c r="E257" s="434"/>
      <c r="F257" s="434"/>
      <c r="G257" s="434" t="s">
        <v>169</v>
      </c>
      <c r="H257" s="434"/>
      <c r="I257" s="434"/>
      <c r="J257" s="434" t="s">
        <v>170</v>
      </c>
      <c r="K257" s="434"/>
      <c r="L257" s="434"/>
      <c r="M257" s="434" t="s">
        <v>171</v>
      </c>
      <c r="N257" s="434"/>
      <c r="O257" s="434"/>
      <c r="P257" s="436"/>
      <c r="Q257" s="452"/>
    </row>
    <row r="258" spans="1:17">
      <c r="D258" s="434"/>
      <c r="E258" s="434"/>
      <c r="F258" s="434"/>
      <c r="G258" s="434"/>
      <c r="H258" s="434"/>
      <c r="I258" s="434"/>
      <c r="J258" s="434"/>
      <c r="K258" s="434"/>
      <c r="L258" s="434"/>
      <c r="M258" s="434"/>
      <c r="N258" s="434"/>
      <c r="O258" s="434"/>
      <c r="P258" s="436"/>
      <c r="Q258" s="452"/>
    </row>
    <row r="259" spans="1:17">
      <c r="C259" s="79" t="s">
        <v>135</v>
      </c>
      <c r="D259" s="438" t="s">
        <v>136</v>
      </c>
      <c r="E259" s="439"/>
      <c r="F259" s="440"/>
      <c r="G259" s="438"/>
      <c r="H259" s="439"/>
      <c r="I259" s="440"/>
      <c r="J259" s="438" t="s">
        <v>167</v>
      </c>
      <c r="K259" s="439"/>
      <c r="L259" s="440"/>
      <c r="M259" s="438" t="s">
        <v>167</v>
      </c>
      <c r="N259" s="439"/>
      <c r="O259" s="440"/>
      <c r="P259" s="436"/>
      <c r="Q259" s="452"/>
    </row>
    <row r="260" spans="1:17" ht="34.5">
      <c r="D260" s="269" t="s">
        <v>137</v>
      </c>
      <c r="E260" s="80" t="s">
        <v>138</v>
      </c>
      <c r="F260" s="81" t="s">
        <v>139</v>
      </c>
      <c r="G260" s="81" t="s">
        <v>137</v>
      </c>
      <c r="H260" s="80" t="s">
        <v>138</v>
      </c>
      <c r="I260" s="81" t="s">
        <v>139</v>
      </c>
      <c r="J260" s="81" t="s">
        <v>137</v>
      </c>
      <c r="K260" s="82" t="s">
        <v>138</v>
      </c>
      <c r="L260" s="81" t="s">
        <v>139</v>
      </c>
      <c r="M260" s="81" t="s">
        <v>137</v>
      </c>
      <c r="N260" s="82" t="s">
        <v>138</v>
      </c>
      <c r="O260" s="81" t="s">
        <v>139</v>
      </c>
      <c r="P260" s="437"/>
      <c r="Q260" s="452"/>
    </row>
    <row r="261" spans="1:17" ht="15.75" thickBot="1">
      <c r="A261" s="427" t="s">
        <v>76</v>
      </c>
      <c r="B261" s="428" t="s">
        <v>77</v>
      </c>
      <c r="C261" s="84" t="s">
        <v>78</v>
      </c>
      <c r="D261" s="85">
        <v>4404767990</v>
      </c>
      <c r="E261" s="86">
        <v>0.4</v>
      </c>
      <c r="F261" s="85">
        <f>+D261*E261</f>
        <v>1761907196</v>
      </c>
      <c r="G261" s="85">
        <v>353198640</v>
      </c>
      <c r="H261" s="86">
        <v>0.4</v>
      </c>
      <c r="I261" s="85">
        <f>+G261*H261</f>
        <v>141279456</v>
      </c>
      <c r="J261" s="85">
        <v>1306548068</v>
      </c>
      <c r="K261" s="86">
        <v>0.1</v>
      </c>
      <c r="L261" s="85">
        <f>+J261*K261</f>
        <v>130654806.80000001</v>
      </c>
      <c r="M261" s="85">
        <v>3225210859</v>
      </c>
      <c r="N261" s="86">
        <v>0.1</v>
      </c>
      <c r="O261" s="85">
        <f>+M261*N261</f>
        <v>322521085.90000004</v>
      </c>
      <c r="P261" s="85">
        <f>+F261+I261+L261+O261</f>
        <v>2356362544.6999998</v>
      </c>
      <c r="Q261" s="451">
        <f>+P261/P262</f>
        <v>88.394493168871591</v>
      </c>
    </row>
    <row r="262" spans="1:17" ht="15.75" thickTop="1">
      <c r="A262" s="427"/>
      <c r="B262" s="428"/>
      <c r="C262" s="76" t="s">
        <v>80</v>
      </c>
      <c r="D262" s="85">
        <v>55574320</v>
      </c>
      <c r="E262" s="86">
        <f>+E261</f>
        <v>0.4</v>
      </c>
      <c r="F262" s="85">
        <f>+D262*E262</f>
        <v>22229728</v>
      </c>
      <c r="G262" s="85">
        <v>1755999</v>
      </c>
      <c r="H262" s="86">
        <f>+H261</f>
        <v>0.4</v>
      </c>
      <c r="I262" s="85">
        <f>+G262*H262</f>
        <v>702399.60000000009</v>
      </c>
      <c r="J262" s="85">
        <v>17012679</v>
      </c>
      <c r="K262" s="86">
        <f>+K261</f>
        <v>0.1</v>
      </c>
      <c r="L262" s="85">
        <f>+J262*K262</f>
        <v>1701267.9000000001</v>
      </c>
      <c r="M262" s="85">
        <v>20239500</v>
      </c>
      <c r="N262" s="86">
        <f>+N261</f>
        <v>0.1</v>
      </c>
      <c r="O262" s="85">
        <f>+M262*N262</f>
        <v>2023950</v>
      </c>
      <c r="P262" s="85">
        <f>+F262+I262+L262+O262</f>
        <v>26657345.5</v>
      </c>
      <c r="Q262" s="451"/>
    </row>
    <row r="263" spans="1:17">
      <c r="D263" s="88"/>
      <c r="E263" s="89"/>
      <c r="F263" s="89"/>
      <c r="G263" s="89"/>
      <c r="H263" s="89"/>
      <c r="I263" s="89"/>
      <c r="J263" s="89"/>
      <c r="K263" s="98"/>
      <c r="L263" s="89"/>
      <c r="M263" s="89"/>
      <c r="N263" s="98"/>
      <c r="O263" s="89"/>
      <c r="P263" s="91"/>
      <c r="Q263" s="51"/>
    </row>
    <row r="264" spans="1:17" ht="15.75" thickBot="1">
      <c r="A264" s="427" t="s">
        <v>81</v>
      </c>
      <c r="B264" s="428" t="s">
        <v>77</v>
      </c>
      <c r="C264" s="93" t="s">
        <v>82</v>
      </c>
      <c r="D264" s="85">
        <v>1745058008</v>
      </c>
      <c r="E264" s="86">
        <f>+E262</f>
        <v>0.4</v>
      </c>
      <c r="F264" s="85">
        <f>+D264*E264</f>
        <v>698023203.20000005</v>
      </c>
      <c r="G264" s="85">
        <v>239000350</v>
      </c>
      <c r="H264" s="86">
        <f>+H262</f>
        <v>0.4</v>
      </c>
      <c r="I264" s="85">
        <f>+G264*H264</f>
        <v>95600140</v>
      </c>
      <c r="J264" s="85">
        <v>17012679</v>
      </c>
      <c r="K264" s="86">
        <f>+K262</f>
        <v>0.1</v>
      </c>
      <c r="L264" s="85">
        <f>+J264*K264</f>
        <v>1701267.9000000001</v>
      </c>
      <c r="M264" s="85">
        <v>78407330</v>
      </c>
      <c r="N264" s="86">
        <f>+N262</f>
        <v>0.1</v>
      </c>
      <c r="O264" s="85">
        <f>+M264*N264</f>
        <v>7840733</v>
      </c>
      <c r="P264" s="85">
        <f>+F264+I264+L264+O264</f>
        <v>803165344.10000002</v>
      </c>
      <c r="Q264" s="450">
        <f>+P264/P265</f>
        <v>0.29067069249657507</v>
      </c>
    </row>
    <row r="265" spans="1:17" ht="15.75" thickTop="1">
      <c r="A265" s="427"/>
      <c r="B265" s="428"/>
      <c r="C265" s="94" t="s">
        <v>83</v>
      </c>
      <c r="D265" s="85">
        <v>4940867890</v>
      </c>
      <c r="E265" s="86">
        <f>+E264</f>
        <v>0.4</v>
      </c>
      <c r="F265" s="85">
        <f>+D265*E265</f>
        <v>1976347156</v>
      </c>
      <c r="G265" s="85">
        <v>521348340</v>
      </c>
      <c r="H265" s="86">
        <f>+H264</f>
        <v>0.4</v>
      </c>
      <c r="I265" s="85">
        <f>+G265*H265</f>
        <v>208539336</v>
      </c>
      <c r="J265" s="85">
        <v>2168771368</v>
      </c>
      <c r="K265" s="86">
        <f>+K264</f>
        <v>0.1</v>
      </c>
      <c r="L265" s="85">
        <f>+J265*K265</f>
        <v>216877136.80000001</v>
      </c>
      <c r="M265" s="85">
        <v>3613816240</v>
      </c>
      <c r="N265" s="86">
        <f>+N264</f>
        <v>0.1</v>
      </c>
      <c r="O265" s="85">
        <f>+M265*N265</f>
        <v>361381624</v>
      </c>
      <c r="P265" s="85">
        <f>+F265+I265+L265+O265</f>
        <v>2763145252.8000002</v>
      </c>
      <c r="Q265" s="450"/>
    </row>
    <row r="266" spans="1:17">
      <c r="D266" s="88"/>
      <c r="E266" s="86"/>
      <c r="F266" s="89"/>
      <c r="G266" s="89"/>
      <c r="H266" s="86"/>
      <c r="I266" s="89"/>
      <c r="J266" s="89"/>
      <c r="K266" s="86"/>
      <c r="L266" s="89"/>
      <c r="M266" s="89"/>
      <c r="N266" s="86"/>
      <c r="O266" s="89"/>
      <c r="P266" s="91"/>
      <c r="Q266" s="51"/>
    </row>
    <row r="267" spans="1:17" ht="19.5">
      <c r="A267" s="76" t="s">
        <v>84</v>
      </c>
      <c r="B267" s="76" t="s">
        <v>140</v>
      </c>
      <c r="C267" s="95" t="s">
        <v>85</v>
      </c>
      <c r="D267" s="85"/>
      <c r="E267" s="85"/>
      <c r="F267" s="85">
        <f>+D261-D262</f>
        <v>4349193670</v>
      </c>
      <c r="G267" s="85"/>
      <c r="H267" s="86"/>
      <c r="I267" s="85">
        <f>+G261-G262</f>
        <v>351442641</v>
      </c>
      <c r="J267" s="85"/>
      <c r="K267" s="86"/>
      <c r="L267" s="85">
        <f>+J261-J262</f>
        <v>1289535389</v>
      </c>
      <c r="M267" s="85"/>
      <c r="N267" s="86"/>
      <c r="O267" s="85">
        <f>+O261-O262</f>
        <v>320497135.90000004</v>
      </c>
      <c r="P267" s="85">
        <f>+F267+I267+L267+O267</f>
        <v>6310668835.8999996</v>
      </c>
      <c r="Q267" s="91">
        <f>+P267</f>
        <v>6310668835.8999996</v>
      </c>
    </row>
    <row r="268" spans="1:17">
      <c r="D268" s="88"/>
      <c r="E268" s="86"/>
      <c r="F268" s="89"/>
      <c r="G268" s="89"/>
      <c r="H268" s="86"/>
      <c r="I268" s="89"/>
      <c r="J268" s="89"/>
      <c r="K268" s="86"/>
      <c r="L268" s="89"/>
      <c r="M268" s="89"/>
      <c r="N268" s="86"/>
      <c r="O268" s="89"/>
      <c r="P268" s="85"/>
      <c r="Q268" s="51"/>
    </row>
    <row r="269" spans="1:17" ht="15.75" thickBot="1">
      <c r="A269" s="427" t="s">
        <v>86</v>
      </c>
      <c r="B269" s="428" t="s">
        <v>77</v>
      </c>
      <c r="C269" s="84" t="s">
        <v>87</v>
      </c>
      <c r="D269" s="85">
        <v>570308640</v>
      </c>
      <c r="E269" s="86">
        <f>+E265</f>
        <v>0.4</v>
      </c>
      <c r="F269" s="85">
        <f>+D269*E269</f>
        <v>228123456</v>
      </c>
      <c r="G269" s="85">
        <v>352934252</v>
      </c>
      <c r="H269" s="86">
        <f>+H265</f>
        <v>0.4</v>
      </c>
      <c r="I269" s="85">
        <f>+G269*H269</f>
        <v>141173700.80000001</v>
      </c>
      <c r="J269" s="85">
        <v>207685633</v>
      </c>
      <c r="K269" s="86">
        <f>+K265</f>
        <v>0.1</v>
      </c>
      <c r="L269" s="85">
        <f>+J269*K269</f>
        <v>20768563.300000001</v>
      </c>
      <c r="M269" s="85">
        <v>292773030</v>
      </c>
      <c r="N269" s="86">
        <f>+N265</f>
        <v>0.1</v>
      </c>
      <c r="O269" s="85">
        <f>+M269*N269</f>
        <v>29277303</v>
      </c>
      <c r="P269" s="85">
        <f>+F269+I269+L269+O269</f>
        <v>419343023.10000002</v>
      </c>
      <c r="Q269" s="451" t="s">
        <v>103</v>
      </c>
    </row>
    <row r="270" spans="1:17" ht="15.75" thickTop="1">
      <c r="A270" s="427"/>
      <c r="B270" s="428"/>
      <c r="C270" s="76" t="s">
        <v>88</v>
      </c>
      <c r="D270" s="85">
        <v>0</v>
      </c>
      <c r="E270" s="86">
        <f>+E265</f>
        <v>0.4</v>
      </c>
      <c r="F270" s="85">
        <f>+D270*E270</f>
        <v>0</v>
      </c>
      <c r="G270" s="85">
        <v>0</v>
      </c>
      <c r="H270" s="86">
        <f>+H265</f>
        <v>0.4</v>
      </c>
      <c r="I270" s="85">
        <f>+G270*H270</f>
        <v>0</v>
      </c>
      <c r="J270" s="85">
        <v>0</v>
      </c>
      <c r="K270" s="86">
        <f>+K265</f>
        <v>0.1</v>
      </c>
      <c r="L270" s="85">
        <f>+J270*K270</f>
        <v>0</v>
      </c>
      <c r="M270" s="85">
        <v>0</v>
      </c>
      <c r="N270" s="86">
        <f>+N265</f>
        <v>0.1</v>
      </c>
      <c r="O270" s="85">
        <f>+M270*N270</f>
        <v>0</v>
      </c>
      <c r="P270" s="85">
        <f>+F270+I270+L270+O270</f>
        <v>0</v>
      </c>
      <c r="Q270" s="451"/>
    </row>
    <row r="271" spans="1:17">
      <c r="D271" s="88"/>
      <c r="E271" s="86"/>
      <c r="F271" s="89"/>
      <c r="G271" s="89"/>
      <c r="H271" s="86"/>
      <c r="I271" s="89"/>
      <c r="J271" s="89"/>
      <c r="K271" s="86"/>
      <c r="L271" s="89"/>
      <c r="M271" s="89"/>
      <c r="N271" s="86"/>
      <c r="O271" s="89"/>
      <c r="P271" s="91"/>
      <c r="Q271" s="51"/>
    </row>
    <row r="272" spans="1:17" ht="15.75" thickBot="1">
      <c r="A272" s="427" t="s">
        <v>89</v>
      </c>
      <c r="B272" s="428" t="s">
        <v>77</v>
      </c>
      <c r="C272" s="93" t="s">
        <v>87</v>
      </c>
      <c r="D272" s="85">
        <f>+D269</f>
        <v>570308640</v>
      </c>
      <c r="E272" s="86">
        <f>+E270</f>
        <v>0.4</v>
      </c>
      <c r="F272" s="85">
        <f>+D272*E272</f>
        <v>228123456</v>
      </c>
      <c r="G272" s="85">
        <f>+G269</f>
        <v>352934252</v>
      </c>
      <c r="H272" s="86">
        <f>+H270</f>
        <v>0.4</v>
      </c>
      <c r="I272" s="85">
        <f>+G272*H272</f>
        <v>141173700.80000001</v>
      </c>
      <c r="J272" s="85">
        <f>+J269</f>
        <v>207685633</v>
      </c>
      <c r="K272" s="86">
        <f>+K270</f>
        <v>0.1</v>
      </c>
      <c r="L272" s="85">
        <f>+J272*K272</f>
        <v>20768563.300000001</v>
      </c>
      <c r="M272" s="85">
        <v>292773030</v>
      </c>
      <c r="N272" s="86">
        <f>+N270</f>
        <v>0.1</v>
      </c>
      <c r="O272" s="85">
        <f>+M272*N272</f>
        <v>29277303</v>
      </c>
      <c r="P272" s="85">
        <f>+F272+I272+L272+O272</f>
        <v>419343023.10000002</v>
      </c>
      <c r="Q272" s="450">
        <f>+P272/P273</f>
        <v>0.2139527151470336</v>
      </c>
    </row>
    <row r="273" spans="1:17" ht="15.75" thickTop="1">
      <c r="A273" s="427"/>
      <c r="B273" s="428"/>
      <c r="C273" s="94" t="s">
        <v>90</v>
      </c>
      <c r="D273" s="85">
        <f>+D265-D264</f>
        <v>3195809882</v>
      </c>
      <c r="E273" s="86">
        <f>+E272</f>
        <v>0.4</v>
      </c>
      <c r="F273" s="85">
        <f>+D273*E273</f>
        <v>1278323952.8</v>
      </c>
      <c r="G273" s="85">
        <f>+G265-G264</f>
        <v>282347990</v>
      </c>
      <c r="H273" s="86">
        <f>+H272</f>
        <v>0.4</v>
      </c>
      <c r="I273" s="85">
        <f>+G273*H273</f>
        <v>112939196</v>
      </c>
      <c r="J273" s="85">
        <f>+J265-J264</f>
        <v>2151758689</v>
      </c>
      <c r="K273" s="86">
        <f>+K272</f>
        <v>0.1</v>
      </c>
      <c r="L273" s="85">
        <f>+J273*K273</f>
        <v>215175868.90000001</v>
      </c>
      <c r="M273" s="85">
        <f>+M265-M264</f>
        <v>3535408910</v>
      </c>
      <c r="N273" s="86">
        <f>+N272</f>
        <v>0.1</v>
      </c>
      <c r="O273" s="85">
        <f>+M273*N273</f>
        <v>353540891</v>
      </c>
      <c r="P273" s="85">
        <f>+F273+I273+L273+O273</f>
        <v>1959979908.7</v>
      </c>
      <c r="Q273" s="450"/>
    </row>
    <row r="274" spans="1:17">
      <c r="D274" s="88"/>
      <c r="E274" s="86"/>
      <c r="F274" s="89"/>
      <c r="G274" s="89"/>
      <c r="H274" s="86"/>
      <c r="I274" s="89"/>
      <c r="J274" s="89"/>
      <c r="K274" s="86"/>
      <c r="L274" s="89"/>
      <c r="M274" s="89"/>
      <c r="N274" s="86"/>
      <c r="O274" s="89"/>
      <c r="P274" s="91"/>
      <c r="Q274" s="51"/>
    </row>
    <row r="275" spans="1:17" ht="15.75" thickBot="1">
      <c r="A275" s="427" t="s">
        <v>91</v>
      </c>
      <c r="B275" s="428" t="s">
        <v>77</v>
      </c>
      <c r="C275" s="93" t="s">
        <v>87</v>
      </c>
      <c r="D275" s="85">
        <f>+D272</f>
        <v>570308640</v>
      </c>
      <c r="E275" s="86">
        <f>+E273</f>
        <v>0.4</v>
      </c>
      <c r="F275" s="85">
        <f>+D275*E275</f>
        <v>228123456</v>
      </c>
      <c r="G275" s="85">
        <f>+G272</f>
        <v>352934252</v>
      </c>
      <c r="H275" s="86">
        <f>+H273</f>
        <v>0.4</v>
      </c>
      <c r="I275" s="85">
        <f>+G275*H275</f>
        <v>141173700.80000001</v>
      </c>
      <c r="J275" s="85">
        <f>+J272</f>
        <v>207685633</v>
      </c>
      <c r="K275" s="86">
        <f>+K273</f>
        <v>0.1</v>
      </c>
      <c r="L275" s="85">
        <f>+J275*K275</f>
        <v>20768563.300000001</v>
      </c>
      <c r="M275" s="85">
        <f>+M272</f>
        <v>292773030</v>
      </c>
      <c r="N275" s="86">
        <f>+N273</f>
        <v>0.1</v>
      </c>
      <c r="O275" s="85">
        <f>+M275*N275</f>
        <v>29277303</v>
      </c>
      <c r="P275" s="85">
        <f>+F275+I275+L275+O275</f>
        <v>419343023.10000002</v>
      </c>
      <c r="Q275" s="450">
        <f>+P275/P276</f>
        <v>0.15176293127372287</v>
      </c>
    </row>
    <row r="276" spans="1:17" ht="15.75" thickTop="1">
      <c r="A276" s="427"/>
      <c r="B276" s="428"/>
      <c r="C276" s="94" t="s">
        <v>92</v>
      </c>
      <c r="D276" s="85">
        <f>+D265</f>
        <v>4940867890</v>
      </c>
      <c r="E276" s="86">
        <f>+E275</f>
        <v>0.4</v>
      </c>
      <c r="F276" s="85">
        <f>+D276*E276</f>
        <v>1976347156</v>
      </c>
      <c r="G276" s="85">
        <f>+G265</f>
        <v>521348340</v>
      </c>
      <c r="H276" s="86">
        <f>+H275</f>
        <v>0.4</v>
      </c>
      <c r="I276" s="85">
        <f>+G276*H276</f>
        <v>208539336</v>
      </c>
      <c r="J276" s="85">
        <f>+J265</f>
        <v>2168771368</v>
      </c>
      <c r="K276" s="86">
        <f>+K275</f>
        <v>0.1</v>
      </c>
      <c r="L276" s="85">
        <f>+J276*K276</f>
        <v>216877136.80000001</v>
      </c>
      <c r="M276" s="85">
        <f>+M265</f>
        <v>3613816240</v>
      </c>
      <c r="N276" s="86">
        <f>+N275</f>
        <v>0.1</v>
      </c>
      <c r="O276" s="85">
        <f>+M276*N276</f>
        <v>361381624</v>
      </c>
      <c r="P276" s="85">
        <f>+F276+I276+L276+O276</f>
        <v>2763145252.8000002</v>
      </c>
      <c r="Q276" s="450"/>
    </row>
    <row r="280" spans="1:17">
      <c r="D280" s="431" t="str">
        <f>+[2]INDICADORES!E45</f>
        <v>CONSORCIO PALACIO 2027</v>
      </c>
      <c r="E280" s="432"/>
      <c r="F280" s="432"/>
      <c r="G280" s="432"/>
      <c r="H280" s="432"/>
      <c r="I280" s="432"/>
      <c r="J280" s="432"/>
      <c r="K280" s="433" t="s">
        <v>133</v>
      </c>
    </row>
    <row r="281" spans="1:17">
      <c r="D281" s="434" t="s">
        <v>172</v>
      </c>
      <c r="E281" s="434"/>
      <c r="F281" s="434"/>
      <c r="G281" s="434" t="s">
        <v>173</v>
      </c>
      <c r="H281" s="434"/>
      <c r="I281" s="434"/>
      <c r="J281" s="435" t="s">
        <v>132</v>
      </c>
      <c r="K281" s="433"/>
    </row>
    <row r="282" spans="1:17">
      <c r="D282" s="434"/>
      <c r="E282" s="434"/>
      <c r="F282" s="434"/>
      <c r="G282" s="434"/>
      <c r="H282" s="434"/>
      <c r="I282" s="434"/>
      <c r="J282" s="436"/>
      <c r="K282" s="433"/>
    </row>
    <row r="283" spans="1:17">
      <c r="C283" s="79" t="s">
        <v>135</v>
      </c>
      <c r="D283" s="438" t="s">
        <v>167</v>
      </c>
      <c r="E283" s="439"/>
      <c r="F283" s="440"/>
      <c r="G283" s="438" t="s">
        <v>142</v>
      </c>
      <c r="H283" s="439"/>
      <c r="I283" s="440"/>
      <c r="J283" s="436"/>
      <c r="K283" s="433"/>
    </row>
    <row r="284" spans="1:17" ht="34.5">
      <c r="D284" s="269" t="s">
        <v>137</v>
      </c>
      <c r="E284" s="80" t="s">
        <v>138</v>
      </c>
      <c r="F284" s="81" t="s">
        <v>139</v>
      </c>
      <c r="G284" s="81" t="s">
        <v>137</v>
      </c>
      <c r="H284" s="80" t="s">
        <v>138</v>
      </c>
      <c r="I284" s="81" t="s">
        <v>139</v>
      </c>
      <c r="J284" s="437"/>
      <c r="K284" s="433"/>
    </row>
    <row r="285" spans="1:17" ht="15.75" thickBot="1">
      <c r="A285" s="427" t="s">
        <v>76</v>
      </c>
      <c r="B285" s="428" t="s">
        <v>77</v>
      </c>
      <c r="C285" s="84" t="s">
        <v>78</v>
      </c>
      <c r="D285" s="85">
        <v>683965673</v>
      </c>
      <c r="E285" s="86">
        <v>0.5</v>
      </c>
      <c r="F285" s="85">
        <f>+D285*E285</f>
        <v>341982836.5</v>
      </c>
      <c r="G285" s="85">
        <v>24567558390</v>
      </c>
      <c r="H285" s="86">
        <v>0.5</v>
      </c>
      <c r="I285" s="85">
        <f>+G285*H285</f>
        <v>12283779195</v>
      </c>
      <c r="J285" s="85">
        <f>+F285+I285</f>
        <v>12625762031.5</v>
      </c>
      <c r="K285" s="430">
        <f>+J285/J286</f>
        <v>22.30339654000867</v>
      </c>
    </row>
    <row r="286" spans="1:17" ht="15.75" thickTop="1">
      <c r="A286" s="427"/>
      <c r="B286" s="428"/>
      <c r="C286" s="76" t="s">
        <v>80</v>
      </c>
      <c r="D286" s="85">
        <v>66919857</v>
      </c>
      <c r="E286" s="86">
        <f>+E285</f>
        <v>0.5</v>
      </c>
      <c r="F286" s="85">
        <f>+D286*E286</f>
        <v>33459928.5</v>
      </c>
      <c r="G286" s="85">
        <v>1065263038</v>
      </c>
      <c r="H286" s="86">
        <f>+H285</f>
        <v>0.5</v>
      </c>
      <c r="I286" s="85">
        <f>+G286*H286</f>
        <v>532631519</v>
      </c>
      <c r="J286" s="85">
        <f>+F286+I286</f>
        <v>566091447.5</v>
      </c>
      <c r="K286" s="430"/>
    </row>
    <row r="287" spans="1:17">
      <c r="D287" s="88"/>
      <c r="E287" s="89"/>
      <c r="F287" s="89"/>
      <c r="G287" s="89"/>
      <c r="H287" s="89"/>
      <c r="I287" s="89"/>
      <c r="J287" s="91"/>
      <c r="K287" s="92"/>
    </row>
    <row r="288" spans="1:17" ht="15.75" thickBot="1">
      <c r="A288" s="427" t="s">
        <v>81</v>
      </c>
      <c r="B288" s="428" t="s">
        <v>77</v>
      </c>
      <c r="C288" s="93" t="s">
        <v>82</v>
      </c>
      <c r="D288" s="85">
        <v>390217857</v>
      </c>
      <c r="E288" s="86">
        <f>+E286</f>
        <v>0.5</v>
      </c>
      <c r="F288" s="85">
        <f>+D288*E288</f>
        <v>195108928.5</v>
      </c>
      <c r="G288" s="85">
        <v>19176024364</v>
      </c>
      <c r="H288" s="86">
        <f>+H286</f>
        <v>0.5</v>
      </c>
      <c r="I288" s="85">
        <f>+G288*H288</f>
        <v>9588012182</v>
      </c>
      <c r="J288" s="85">
        <f>+F288+I288</f>
        <v>9783121110.5</v>
      </c>
      <c r="K288" s="429">
        <f>+J288/J289</f>
        <v>0.53435018253883593</v>
      </c>
    </row>
    <row r="289" spans="1:14" ht="15.75" thickTop="1">
      <c r="A289" s="427"/>
      <c r="B289" s="428"/>
      <c r="C289" s="94" t="s">
        <v>83</v>
      </c>
      <c r="D289" s="85">
        <v>821965673</v>
      </c>
      <c r="E289" s="86">
        <f>+E288</f>
        <v>0.5</v>
      </c>
      <c r="F289" s="85">
        <f>+D289*E289</f>
        <v>410982836.5</v>
      </c>
      <c r="G289" s="85">
        <v>35794925011</v>
      </c>
      <c r="H289" s="86">
        <f>+H288</f>
        <v>0.5</v>
      </c>
      <c r="I289" s="85">
        <f>+G289*H289</f>
        <v>17897462505.5</v>
      </c>
      <c r="J289" s="85">
        <f>+F289+I289</f>
        <v>18308445342</v>
      </c>
      <c r="K289" s="429"/>
    </row>
    <row r="290" spans="1:14">
      <c r="D290" s="88"/>
      <c r="E290" s="86"/>
      <c r="F290" s="89"/>
      <c r="G290" s="89"/>
      <c r="H290" s="86"/>
      <c r="I290" s="89"/>
      <c r="J290" s="91"/>
      <c r="K290" s="92"/>
    </row>
    <row r="291" spans="1:14" ht="19.5">
      <c r="A291" s="76" t="s">
        <v>84</v>
      </c>
      <c r="B291" s="76" t="s">
        <v>140</v>
      </c>
      <c r="C291" s="95" t="s">
        <v>85</v>
      </c>
      <c r="D291" s="85"/>
      <c r="E291" s="85"/>
      <c r="F291" s="85">
        <f>+D285-D286</f>
        <v>617045816</v>
      </c>
      <c r="G291" s="85"/>
      <c r="H291" s="86"/>
      <c r="I291" s="85">
        <f>+G285-G286</f>
        <v>23502295352</v>
      </c>
      <c r="J291" s="85">
        <f>+F291+I291</f>
        <v>24119341168</v>
      </c>
      <c r="K291" s="97">
        <f>+F291+I291</f>
        <v>24119341168</v>
      </c>
    </row>
    <row r="292" spans="1:14">
      <c r="D292" s="88"/>
      <c r="E292" s="86"/>
      <c r="F292" s="89"/>
      <c r="G292" s="89"/>
      <c r="H292" s="86"/>
      <c r="I292" s="89"/>
      <c r="J292" s="91"/>
      <c r="K292" s="92"/>
    </row>
    <row r="293" spans="1:14" ht="15.75" thickBot="1">
      <c r="A293" s="427" t="s">
        <v>86</v>
      </c>
      <c r="B293" s="428" t="s">
        <v>77</v>
      </c>
      <c r="C293" s="84" t="s">
        <v>87</v>
      </c>
      <c r="D293" s="85">
        <v>211608836</v>
      </c>
      <c r="E293" s="86">
        <f>+E289</f>
        <v>0.5</v>
      </c>
      <c r="F293" s="85">
        <f>+D293*E293</f>
        <v>105804418</v>
      </c>
      <c r="G293" s="85">
        <v>4952385576</v>
      </c>
      <c r="H293" s="86">
        <f>+H289</f>
        <v>0.5</v>
      </c>
      <c r="I293" s="85">
        <f>+G293*H293</f>
        <v>2476192788</v>
      </c>
      <c r="J293" s="85">
        <f>+F293+I293</f>
        <v>2581997206</v>
      </c>
      <c r="K293" s="429">
        <f>+J293/J294</f>
        <v>2.309082018920396</v>
      </c>
    </row>
    <row r="294" spans="1:14" ht="15.75" thickTop="1">
      <c r="A294" s="427"/>
      <c r="B294" s="428"/>
      <c r="C294" s="76" t="s">
        <v>88</v>
      </c>
      <c r="D294" s="85">
        <v>142300</v>
      </c>
      <c r="E294" s="86">
        <f>+E289</f>
        <v>0.5</v>
      </c>
      <c r="F294" s="85">
        <f>+D294*E294</f>
        <v>71150</v>
      </c>
      <c r="G294" s="85">
        <v>2236241843</v>
      </c>
      <c r="H294" s="86">
        <f>+H289</f>
        <v>0.5</v>
      </c>
      <c r="I294" s="85">
        <f>+G294*H294</f>
        <v>1118120921.5</v>
      </c>
      <c r="J294" s="85">
        <f>+F294+I294</f>
        <v>1118192071.5</v>
      </c>
      <c r="K294" s="429"/>
    </row>
    <row r="295" spans="1:14">
      <c r="D295" s="88"/>
      <c r="E295" s="86"/>
      <c r="F295" s="89"/>
      <c r="G295" s="89"/>
      <c r="H295" s="86"/>
      <c r="I295" s="89"/>
      <c r="J295" s="91"/>
      <c r="K295" s="92"/>
    </row>
    <row r="296" spans="1:14" ht="15.75" thickBot="1">
      <c r="A296" s="427" t="s">
        <v>89</v>
      </c>
      <c r="B296" s="428" t="s">
        <v>77</v>
      </c>
      <c r="C296" s="93" t="s">
        <v>87</v>
      </c>
      <c r="D296" s="85">
        <f>+D293</f>
        <v>211608836</v>
      </c>
      <c r="E296" s="86">
        <f>+E294</f>
        <v>0.5</v>
      </c>
      <c r="F296" s="85">
        <f>+D296*E296</f>
        <v>105804418</v>
      </c>
      <c r="G296" s="85">
        <f>+G293</f>
        <v>4952385576</v>
      </c>
      <c r="H296" s="86">
        <f>+H294</f>
        <v>0.5</v>
      </c>
      <c r="I296" s="85">
        <f>+G296*H296</f>
        <v>2476192788</v>
      </c>
      <c r="J296" s="85">
        <f>+F296+I296</f>
        <v>2581997206</v>
      </c>
      <c r="K296" s="429">
        <f>+J296/J297</f>
        <v>0.30286205379261066</v>
      </c>
    </row>
    <row r="297" spans="1:14" ht="15.75" thickTop="1">
      <c r="A297" s="427"/>
      <c r="B297" s="428"/>
      <c r="C297" s="94" t="s">
        <v>90</v>
      </c>
      <c r="D297" s="85">
        <f>+D289-D288</f>
        <v>431747816</v>
      </c>
      <c r="E297" s="86">
        <f>+E296</f>
        <v>0.5</v>
      </c>
      <c r="F297" s="85">
        <f>+D297*E297</f>
        <v>215873908</v>
      </c>
      <c r="G297" s="85">
        <f>+G289-G288</f>
        <v>16618900647</v>
      </c>
      <c r="H297" s="86">
        <f>+H296</f>
        <v>0.5</v>
      </c>
      <c r="I297" s="85">
        <f>+G297*H297</f>
        <v>8309450323.5</v>
      </c>
      <c r="J297" s="85">
        <f>+F297+I297</f>
        <v>8525324231.5</v>
      </c>
      <c r="K297" s="429"/>
    </row>
    <row r="298" spans="1:14">
      <c r="D298" s="88"/>
      <c r="E298" s="86"/>
      <c r="F298" s="89"/>
      <c r="G298" s="89"/>
      <c r="H298" s="86"/>
      <c r="I298" s="89"/>
      <c r="J298" s="91"/>
      <c r="K298" s="92"/>
    </row>
    <row r="299" spans="1:14" ht="15.75" thickBot="1">
      <c r="A299" s="427" t="s">
        <v>91</v>
      </c>
      <c r="B299" s="428" t="s">
        <v>77</v>
      </c>
      <c r="C299" s="93" t="s">
        <v>87</v>
      </c>
      <c r="D299" s="85">
        <f>+D296</f>
        <v>211608836</v>
      </c>
      <c r="E299" s="86">
        <f>+E297</f>
        <v>0.5</v>
      </c>
      <c r="F299" s="85">
        <f>+D299*E299</f>
        <v>105804418</v>
      </c>
      <c r="G299" s="85">
        <f>+G296</f>
        <v>4952385576</v>
      </c>
      <c r="H299" s="86">
        <f>+H297</f>
        <v>0.5</v>
      </c>
      <c r="I299" s="85">
        <f>+G299*H299</f>
        <v>2476192788</v>
      </c>
      <c r="J299" s="85">
        <f>+F299+I299</f>
        <v>2581997206</v>
      </c>
      <c r="K299" s="429">
        <f>+J299/J300</f>
        <v>0.14102766006444239</v>
      </c>
    </row>
    <row r="300" spans="1:14" ht="15.75" thickTop="1">
      <c r="A300" s="427"/>
      <c r="B300" s="428"/>
      <c r="C300" s="94" t="s">
        <v>92</v>
      </c>
      <c r="D300" s="85">
        <f>+D289</f>
        <v>821965673</v>
      </c>
      <c r="E300" s="86">
        <f>+E299</f>
        <v>0.5</v>
      </c>
      <c r="F300" s="85">
        <f>+D300*E300</f>
        <v>410982836.5</v>
      </c>
      <c r="G300" s="85">
        <f>+G289</f>
        <v>35794925011</v>
      </c>
      <c r="H300" s="86">
        <f>+H299</f>
        <v>0.5</v>
      </c>
      <c r="I300" s="85">
        <f>+G300*H300</f>
        <v>17897462505.5</v>
      </c>
      <c r="J300" s="85">
        <f>+F300+I300</f>
        <v>18308445342</v>
      </c>
      <c r="K300" s="429"/>
    </row>
    <row r="303" spans="1:14">
      <c r="D303" s="443" t="str">
        <f>+[2]INDICADORES!H45</f>
        <v>CONSORCIO R.M.C. 2026</v>
      </c>
      <c r="E303" s="444"/>
      <c r="F303" s="444"/>
      <c r="G303" s="444"/>
      <c r="H303" s="444"/>
      <c r="I303" s="444"/>
      <c r="J303" s="444"/>
      <c r="K303" s="444"/>
      <c r="L303" s="445"/>
      <c r="M303" s="435" t="s">
        <v>132</v>
      </c>
      <c r="N303" s="433" t="s">
        <v>133</v>
      </c>
    </row>
    <row r="304" spans="1:14">
      <c r="D304" s="434" t="s">
        <v>174</v>
      </c>
      <c r="E304" s="434"/>
      <c r="F304" s="434"/>
      <c r="G304" s="434" t="s">
        <v>175</v>
      </c>
      <c r="H304" s="434"/>
      <c r="I304" s="434"/>
      <c r="J304" s="434" t="s">
        <v>176</v>
      </c>
      <c r="K304" s="434"/>
      <c r="L304" s="434"/>
      <c r="M304" s="436"/>
      <c r="N304" s="433"/>
    </row>
    <row r="305" spans="1:14">
      <c r="D305" s="434"/>
      <c r="E305" s="434"/>
      <c r="F305" s="434"/>
      <c r="G305" s="434"/>
      <c r="H305" s="434"/>
      <c r="I305" s="434"/>
      <c r="J305" s="434"/>
      <c r="K305" s="434"/>
      <c r="L305" s="434"/>
      <c r="M305" s="436"/>
      <c r="N305" s="433"/>
    </row>
    <row r="306" spans="1:14">
      <c r="C306" s="79" t="s">
        <v>135</v>
      </c>
      <c r="D306" s="438" t="s">
        <v>167</v>
      </c>
      <c r="E306" s="439"/>
      <c r="F306" s="440"/>
      <c r="G306" s="438" t="s">
        <v>167</v>
      </c>
      <c r="H306" s="439"/>
      <c r="I306" s="440"/>
      <c r="J306" s="438" t="s">
        <v>167</v>
      </c>
      <c r="K306" s="439"/>
      <c r="L306" s="440"/>
      <c r="M306" s="436"/>
      <c r="N306" s="433"/>
    </row>
    <row r="307" spans="1:14" ht="34.5">
      <c r="D307" s="269" t="s">
        <v>137</v>
      </c>
      <c r="E307" s="80" t="s">
        <v>138</v>
      </c>
      <c r="F307" s="81" t="s">
        <v>139</v>
      </c>
      <c r="G307" s="81" t="s">
        <v>137</v>
      </c>
      <c r="H307" s="80" t="s">
        <v>138</v>
      </c>
      <c r="I307" s="81" t="s">
        <v>139</v>
      </c>
      <c r="J307" s="81" t="s">
        <v>137</v>
      </c>
      <c r="K307" s="82" t="s">
        <v>138</v>
      </c>
      <c r="L307" s="81" t="s">
        <v>139</v>
      </c>
      <c r="M307" s="437"/>
      <c r="N307" s="433"/>
    </row>
    <row r="308" spans="1:14" ht="15.75" thickBot="1">
      <c r="A308" s="427" t="s">
        <v>76</v>
      </c>
      <c r="B308" s="428" t="s">
        <v>77</v>
      </c>
      <c r="C308" s="84" t="s">
        <v>78</v>
      </c>
      <c r="D308" s="85">
        <v>1039303150</v>
      </c>
      <c r="E308" s="86">
        <v>0.8</v>
      </c>
      <c r="F308" s="85">
        <f>+D308*E308</f>
        <v>831442520</v>
      </c>
      <c r="G308" s="85">
        <v>4403465821</v>
      </c>
      <c r="H308" s="86">
        <v>0.1</v>
      </c>
      <c r="I308" s="85">
        <f>+G308*H308</f>
        <v>440346582.10000002</v>
      </c>
      <c r="J308" s="85">
        <v>1350984698</v>
      </c>
      <c r="K308" s="87">
        <v>0.1</v>
      </c>
      <c r="L308" s="85">
        <f>+J308*K308</f>
        <v>135098469.80000001</v>
      </c>
      <c r="M308" s="85">
        <f>+F308+I308+L308</f>
        <v>1406887571.8999999</v>
      </c>
      <c r="N308" s="430">
        <f>+M308/M309</f>
        <v>20.66296081926988</v>
      </c>
    </row>
    <row r="309" spans="1:14" ht="15.75" thickTop="1">
      <c r="A309" s="427"/>
      <c r="B309" s="428"/>
      <c r="C309" s="76" t="s">
        <v>80</v>
      </c>
      <c r="D309" s="85">
        <v>37470280</v>
      </c>
      <c r="E309" s="86">
        <f>+E308</f>
        <v>0.8</v>
      </c>
      <c r="F309" s="85">
        <f>+D309*E309</f>
        <v>29976224</v>
      </c>
      <c r="G309" s="85">
        <v>301674600</v>
      </c>
      <c r="H309" s="86">
        <f>+H308</f>
        <v>0.1</v>
      </c>
      <c r="I309" s="85">
        <f>+G309*H309</f>
        <v>30167460</v>
      </c>
      <c r="J309" s="85">
        <v>79437302</v>
      </c>
      <c r="K309" s="87">
        <f>+K308</f>
        <v>0.1</v>
      </c>
      <c r="L309" s="85">
        <f>+J309*K309</f>
        <v>7943730.2000000002</v>
      </c>
      <c r="M309" s="85">
        <f>+F309+I309+L309</f>
        <v>68087414.200000003</v>
      </c>
      <c r="N309" s="430"/>
    </row>
    <row r="310" spans="1:14">
      <c r="D310" s="88"/>
      <c r="E310" s="89"/>
      <c r="F310" s="89"/>
      <c r="G310" s="89"/>
      <c r="H310" s="89"/>
      <c r="I310" s="89"/>
      <c r="J310" s="89"/>
      <c r="K310" s="90"/>
      <c r="L310" s="89"/>
      <c r="M310" s="91"/>
      <c r="N310" s="92"/>
    </row>
    <row r="311" spans="1:14" ht="15.75" thickBot="1">
      <c r="A311" s="427" t="s">
        <v>81</v>
      </c>
      <c r="B311" s="428" t="s">
        <v>77</v>
      </c>
      <c r="C311" s="93" t="s">
        <v>82</v>
      </c>
      <c r="D311" s="85">
        <v>132913164</v>
      </c>
      <c r="E311" s="86">
        <f>+E309</f>
        <v>0.8</v>
      </c>
      <c r="F311" s="85">
        <f>+D311*E311</f>
        <v>106330531.2</v>
      </c>
      <c r="G311" s="85">
        <v>1846274600</v>
      </c>
      <c r="H311" s="86">
        <f>+H309</f>
        <v>0.1</v>
      </c>
      <c r="I311" s="85">
        <f>+G311*H311</f>
        <v>184627460</v>
      </c>
      <c r="J311" s="85">
        <v>79437302</v>
      </c>
      <c r="K311" s="87">
        <f>+K309</f>
        <v>0.1</v>
      </c>
      <c r="L311" s="85">
        <f>+J311*K311</f>
        <v>7943730.2000000002</v>
      </c>
      <c r="M311" s="85">
        <f>+F311+I311+L311</f>
        <v>298901721.39999998</v>
      </c>
      <c r="N311" s="429">
        <f>+M311/M312</f>
        <v>0.16043249306215865</v>
      </c>
    </row>
    <row r="312" spans="1:14" ht="15.75" thickTop="1">
      <c r="A312" s="427"/>
      <c r="B312" s="428"/>
      <c r="C312" s="94" t="s">
        <v>83</v>
      </c>
      <c r="D312" s="85">
        <v>1332185120</v>
      </c>
      <c r="E312" s="86">
        <f>+E311</f>
        <v>0.8</v>
      </c>
      <c r="F312" s="85">
        <f>+D312*E312</f>
        <v>1065748096</v>
      </c>
      <c r="G312" s="85">
        <v>6407465821</v>
      </c>
      <c r="H312" s="86">
        <f>+H311</f>
        <v>0.1</v>
      </c>
      <c r="I312" s="85">
        <f>+G312*H312</f>
        <v>640746582.10000002</v>
      </c>
      <c r="J312" s="85">
        <v>1566049702</v>
      </c>
      <c r="K312" s="87">
        <f>+K311</f>
        <v>0.1</v>
      </c>
      <c r="L312" s="85">
        <f>+J312*K312</f>
        <v>156604970.20000002</v>
      </c>
      <c r="M312" s="85">
        <f>+F312+I312+L312</f>
        <v>1863099648.3</v>
      </c>
      <c r="N312" s="429"/>
    </row>
    <row r="313" spans="1:14">
      <c r="D313" s="88"/>
      <c r="E313" s="86"/>
      <c r="F313" s="89"/>
      <c r="G313" s="89"/>
      <c r="H313" s="86"/>
      <c r="I313" s="89"/>
      <c r="J313" s="89"/>
      <c r="K313" s="87"/>
      <c r="L313" s="89"/>
      <c r="M313" s="91"/>
      <c r="N313" s="92"/>
    </row>
    <row r="314" spans="1:14" ht="19.5">
      <c r="A314" s="76" t="s">
        <v>84</v>
      </c>
      <c r="B314" s="76" t="s">
        <v>140</v>
      </c>
      <c r="C314" s="95" t="s">
        <v>85</v>
      </c>
      <c r="D314" s="85"/>
      <c r="E314" s="85"/>
      <c r="F314" s="85">
        <f>+D308-D309</f>
        <v>1001832870</v>
      </c>
      <c r="G314" s="85"/>
      <c r="H314" s="86"/>
      <c r="I314" s="85">
        <f>+G308-G309</f>
        <v>4101791221</v>
      </c>
      <c r="J314" s="85"/>
      <c r="K314" s="87"/>
      <c r="L314" s="85">
        <f>+J308-J309</f>
        <v>1271547396</v>
      </c>
      <c r="M314" s="85">
        <f>+F314+I314+L314</f>
        <v>6375171487</v>
      </c>
      <c r="N314" s="92">
        <f>+M314</f>
        <v>6375171487</v>
      </c>
    </row>
    <row r="315" spans="1:14">
      <c r="D315" s="88"/>
      <c r="E315" s="86"/>
      <c r="F315" s="89"/>
      <c r="G315" s="89"/>
      <c r="H315" s="86"/>
      <c r="I315" s="89"/>
      <c r="J315" s="89"/>
      <c r="K315" s="87"/>
      <c r="L315" s="89"/>
      <c r="M315" s="91"/>
      <c r="N315" s="92"/>
    </row>
    <row r="316" spans="1:14" ht="15.75" thickBot="1">
      <c r="A316" s="427" t="s">
        <v>86</v>
      </c>
      <c r="B316" s="428" t="s">
        <v>77</v>
      </c>
      <c r="C316" s="84" t="s">
        <v>87</v>
      </c>
      <c r="D316" s="85">
        <v>110274616</v>
      </c>
      <c r="E316" s="86">
        <f>+E312</f>
        <v>0.8</v>
      </c>
      <c r="F316" s="85">
        <f>+D316*E316</f>
        <v>88219692.800000012</v>
      </c>
      <c r="G316" s="85">
        <v>139111900</v>
      </c>
      <c r="H316" s="86">
        <f>+H312</f>
        <v>0.1</v>
      </c>
      <c r="I316" s="85">
        <f>+G316*H316</f>
        <v>13911190</v>
      </c>
      <c r="J316" s="85">
        <v>219373069</v>
      </c>
      <c r="K316" s="87">
        <f>+K312</f>
        <v>0.1</v>
      </c>
      <c r="L316" s="85">
        <f>+J316*K316</f>
        <v>21937306.900000002</v>
      </c>
      <c r="M316" s="85">
        <f>+F316+I316+L316</f>
        <v>124068189.70000002</v>
      </c>
      <c r="N316" s="430">
        <f>+M316/M317</f>
        <v>23.599529467172982</v>
      </c>
    </row>
    <row r="317" spans="1:14" ht="15.75" thickTop="1">
      <c r="A317" s="427"/>
      <c r="B317" s="428"/>
      <c r="C317" s="76" t="s">
        <v>88</v>
      </c>
      <c r="D317" s="85">
        <v>6110965</v>
      </c>
      <c r="E317" s="86">
        <f>+E312</f>
        <v>0.8</v>
      </c>
      <c r="F317" s="85">
        <f>+D317*E317</f>
        <v>4888772</v>
      </c>
      <c r="G317" s="85">
        <v>1310000</v>
      </c>
      <c r="H317" s="86">
        <f>+H312</f>
        <v>0.1</v>
      </c>
      <c r="I317" s="85">
        <f>+G317*H317</f>
        <v>131000</v>
      </c>
      <c r="J317" s="85">
        <v>2374595</v>
      </c>
      <c r="K317" s="87">
        <f>+K312</f>
        <v>0.1</v>
      </c>
      <c r="L317" s="85">
        <f>+J317*K317</f>
        <v>237459.5</v>
      </c>
      <c r="M317" s="85">
        <f>+F317+I317+L317</f>
        <v>5257231.5</v>
      </c>
      <c r="N317" s="430"/>
    </row>
    <row r="318" spans="1:14">
      <c r="D318" s="88"/>
      <c r="E318" s="86"/>
      <c r="F318" s="89"/>
      <c r="G318" s="89"/>
      <c r="H318" s="86"/>
      <c r="I318" s="89"/>
      <c r="J318" s="89"/>
      <c r="K318" s="87"/>
      <c r="L318" s="89"/>
      <c r="M318" s="91"/>
      <c r="N318" s="92"/>
    </row>
    <row r="319" spans="1:14" ht="15.75" thickBot="1">
      <c r="A319" s="427" t="s">
        <v>89</v>
      </c>
      <c r="B319" s="428" t="s">
        <v>77</v>
      </c>
      <c r="C319" s="93" t="s">
        <v>87</v>
      </c>
      <c r="D319" s="85">
        <f>+D316</f>
        <v>110274616</v>
      </c>
      <c r="E319" s="86">
        <f>+E317</f>
        <v>0.8</v>
      </c>
      <c r="F319" s="85">
        <f>+D319*E319</f>
        <v>88219692.800000012</v>
      </c>
      <c r="G319" s="85">
        <f>+G316</f>
        <v>139111900</v>
      </c>
      <c r="H319" s="86">
        <f>+H317</f>
        <v>0.1</v>
      </c>
      <c r="I319" s="85">
        <f>+G319*H319</f>
        <v>13911190</v>
      </c>
      <c r="J319" s="85">
        <f>+J316</f>
        <v>219373069</v>
      </c>
      <c r="K319" s="87">
        <f>+K317</f>
        <v>0.1</v>
      </c>
      <c r="L319" s="85">
        <f>+J319*K319</f>
        <v>21937306.900000002</v>
      </c>
      <c r="M319" s="85">
        <f>+F319+I319+L319</f>
        <v>124068189.70000002</v>
      </c>
      <c r="N319" s="429">
        <f>+M319/M320</f>
        <v>7.9317449260327369E-2</v>
      </c>
    </row>
    <row r="320" spans="1:14" ht="15.75" thickTop="1">
      <c r="A320" s="427"/>
      <c r="B320" s="428"/>
      <c r="C320" s="94" t="s">
        <v>90</v>
      </c>
      <c r="D320" s="85">
        <f>+D312-D311</f>
        <v>1199271956</v>
      </c>
      <c r="E320" s="86">
        <f>+E319</f>
        <v>0.8</v>
      </c>
      <c r="F320" s="85">
        <f>+D320*E320</f>
        <v>959417564.80000007</v>
      </c>
      <c r="G320" s="85">
        <f>+G312-G311</f>
        <v>4561191221</v>
      </c>
      <c r="H320" s="86">
        <f>+H319</f>
        <v>0.1</v>
      </c>
      <c r="I320" s="85">
        <f>+G320*H320</f>
        <v>456119122.10000002</v>
      </c>
      <c r="J320" s="85">
        <f>+J312-J311</f>
        <v>1486612400</v>
      </c>
      <c r="K320" s="87">
        <f>+K319</f>
        <v>0.1</v>
      </c>
      <c r="L320" s="85">
        <f>+J320*K320</f>
        <v>148661240</v>
      </c>
      <c r="M320" s="85">
        <f>+F320+I320+L320</f>
        <v>1564197926.9000001</v>
      </c>
      <c r="N320" s="429"/>
    </row>
    <row r="321" spans="1:14">
      <c r="D321" s="88"/>
      <c r="E321" s="86"/>
      <c r="F321" s="89"/>
      <c r="G321" s="89"/>
      <c r="H321" s="86"/>
      <c r="I321" s="89"/>
      <c r="J321" s="89"/>
      <c r="K321" s="87"/>
      <c r="L321" s="89"/>
      <c r="M321" s="91"/>
      <c r="N321" s="92"/>
    </row>
    <row r="322" spans="1:14" ht="15.75" thickBot="1">
      <c r="A322" s="427" t="s">
        <v>91</v>
      </c>
      <c r="B322" s="428" t="s">
        <v>77</v>
      </c>
      <c r="C322" s="93" t="s">
        <v>87</v>
      </c>
      <c r="D322" s="85">
        <f>+D319</f>
        <v>110274616</v>
      </c>
      <c r="E322" s="86">
        <f>+E320</f>
        <v>0.8</v>
      </c>
      <c r="F322" s="85">
        <f>+D322*E322</f>
        <v>88219692.800000012</v>
      </c>
      <c r="G322" s="85">
        <f>+G319</f>
        <v>139111900</v>
      </c>
      <c r="H322" s="86">
        <f>+H320</f>
        <v>0.1</v>
      </c>
      <c r="I322" s="85">
        <f>+G322*H322</f>
        <v>13911190</v>
      </c>
      <c r="J322" s="85">
        <f>+J319</f>
        <v>219373069</v>
      </c>
      <c r="K322" s="87">
        <f>+K320</f>
        <v>0.1</v>
      </c>
      <c r="L322" s="85">
        <f>+J322*K322</f>
        <v>21937306.900000002</v>
      </c>
      <c r="M322" s="85">
        <f>+F322+I322+L322</f>
        <v>124068189.70000002</v>
      </c>
      <c r="N322" s="429">
        <f>+M322/M323</f>
        <v>6.6592353132161788E-2</v>
      </c>
    </row>
    <row r="323" spans="1:14" ht="15.75" thickTop="1">
      <c r="A323" s="427"/>
      <c r="B323" s="428"/>
      <c r="C323" s="94" t="s">
        <v>92</v>
      </c>
      <c r="D323" s="85">
        <f>+D312</f>
        <v>1332185120</v>
      </c>
      <c r="E323" s="86">
        <f>+E322</f>
        <v>0.8</v>
      </c>
      <c r="F323" s="85">
        <f>+D323*E323</f>
        <v>1065748096</v>
      </c>
      <c r="G323" s="85">
        <f>+G312</f>
        <v>6407465821</v>
      </c>
      <c r="H323" s="86">
        <f>+H322</f>
        <v>0.1</v>
      </c>
      <c r="I323" s="85">
        <f>+G323*H323</f>
        <v>640746582.10000002</v>
      </c>
      <c r="J323" s="85">
        <f>+J312</f>
        <v>1566049702</v>
      </c>
      <c r="K323" s="87">
        <f>+K322</f>
        <v>0.1</v>
      </c>
      <c r="L323" s="85">
        <f>+J323*K323</f>
        <v>156604970.20000002</v>
      </c>
      <c r="M323" s="85">
        <f>+F323+I323+L323</f>
        <v>1863099648.3</v>
      </c>
      <c r="N323" s="429"/>
    </row>
    <row r="326" spans="1:14" hidden="1">
      <c r="D326" s="431" t="str">
        <f>+[2]INDICADORES!K45</f>
        <v>CONSORCIO PALACIO JUDICIAL</v>
      </c>
      <c r="E326" s="432"/>
      <c r="F326" s="432"/>
      <c r="G326" s="432"/>
      <c r="H326" s="432"/>
      <c r="I326" s="432"/>
      <c r="J326" s="432"/>
      <c r="K326" s="433" t="s">
        <v>133</v>
      </c>
    </row>
    <row r="327" spans="1:14" hidden="1">
      <c r="D327" s="434" t="s">
        <v>177</v>
      </c>
      <c r="E327" s="434"/>
      <c r="F327" s="434"/>
      <c r="G327" s="434" t="s">
        <v>178</v>
      </c>
      <c r="H327" s="434"/>
      <c r="I327" s="434"/>
      <c r="J327" s="435" t="s">
        <v>132</v>
      </c>
      <c r="K327" s="433"/>
    </row>
    <row r="328" spans="1:14" hidden="1">
      <c r="D328" s="434"/>
      <c r="E328" s="434"/>
      <c r="F328" s="434"/>
      <c r="G328" s="434"/>
      <c r="H328" s="434"/>
      <c r="I328" s="434"/>
      <c r="J328" s="436"/>
      <c r="K328" s="433"/>
    </row>
    <row r="329" spans="1:14" hidden="1">
      <c r="C329" s="79" t="s">
        <v>135</v>
      </c>
      <c r="D329" s="438" t="s">
        <v>142</v>
      </c>
      <c r="E329" s="439"/>
      <c r="F329" s="440"/>
      <c r="G329" s="438" t="s">
        <v>136</v>
      </c>
      <c r="H329" s="439"/>
      <c r="I329" s="440"/>
      <c r="J329" s="436"/>
      <c r="K329" s="433"/>
    </row>
    <row r="330" spans="1:14" ht="34.5" hidden="1">
      <c r="D330" s="269" t="s">
        <v>137</v>
      </c>
      <c r="E330" s="80" t="s">
        <v>138</v>
      </c>
      <c r="F330" s="81" t="s">
        <v>139</v>
      </c>
      <c r="G330" s="81" t="s">
        <v>137</v>
      </c>
      <c r="H330" s="80" t="s">
        <v>138</v>
      </c>
      <c r="I330" s="81" t="s">
        <v>139</v>
      </c>
      <c r="J330" s="437"/>
      <c r="K330" s="433"/>
    </row>
    <row r="331" spans="1:14" ht="15.75" hidden="1" thickBot="1">
      <c r="A331" s="427" t="s">
        <v>76</v>
      </c>
      <c r="B331" s="428" t="s">
        <v>77</v>
      </c>
      <c r="C331" s="84" t="s">
        <v>78</v>
      </c>
      <c r="D331" s="85">
        <v>32731546229</v>
      </c>
      <c r="E331" s="86">
        <v>0.9</v>
      </c>
      <c r="F331" s="85">
        <f>+D331*E331</f>
        <v>29458391606.100002</v>
      </c>
      <c r="G331" s="85">
        <v>686245603</v>
      </c>
      <c r="H331" s="86">
        <v>0.1</v>
      </c>
      <c r="I331" s="85">
        <f>+G331*H331</f>
        <v>68624560.299999997</v>
      </c>
      <c r="J331" s="85">
        <f>+F331+I331</f>
        <v>29527016166.400002</v>
      </c>
      <c r="K331" s="430">
        <f>+J331/J332</f>
        <v>8.7689387489429791</v>
      </c>
    </row>
    <row r="332" spans="1:14" hidden="1">
      <c r="A332" s="427"/>
      <c r="B332" s="428"/>
      <c r="C332" s="76" t="s">
        <v>80</v>
      </c>
      <c r="D332" s="85">
        <v>3716624029</v>
      </c>
      <c r="E332" s="86">
        <f>+E331</f>
        <v>0.9</v>
      </c>
      <c r="F332" s="85">
        <f>+D332*E332</f>
        <v>3344961626.0999999</v>
      </c>
      <c r="G332" s="85">
        <v>222663831</v>
      </c>
      <c r="H332" s="86">
        <f>+H331</f>
        <v>0.1</v>
      </c>
      <c r="I332" s="85">
        <f>+G332*H332</f>
        <v>22266383.100000001</v>
      </c>
      <c r="J332" s="85">
        <f>+F332+I332</f>
        <v>3367228009.1999998</v>
      </c>
      <c r="K332" s="430"/>
    </row>
    <row r="333" spans="1:14" hidden="1">
      <c r="D333" s="88"/>
      <c r="E333" s="89"/>
      <c r="F333" s="89"/>
      <c r="G333" s="89"/>
      <c r="H333" s="89"/>
      <c r="I333" s="89"/>
      <c r="J333" s="91"/>
      <c r="K333" s="92"/>
    </row>
    <row r="334" spans="1:14" ht="15.75" hidden="1" thickBot="1">
      <c r="A334" s="427" t="s">
        <v>81</v>
      </c>
      <c r="B334" s="428" t="s">
        <v>77</v>
      </c>
      <c r="C334" s="93" t="s">
        <v>82</v>
      </c>
      <c r="D334" s="85">
        <v>6622113660</v>
      </c>
      <c r="E334" s="86">
        <f>+E332</f>
        <v>0.9</v>
      </c>
      <c r="F334" s="85">
        <f>+D334*E334</f>
        <v>5959902294</v>
      </c>
      <c r="G334" s="85">
        <v>373287727</v>
      </c>
      <c r="H334" s="86">
        <f>+H332</f>
        <v>0.1</v>
      </c>
      <c r="I334" s="85">
        <f>+G334*H334</f>
        <v>37328772.700000003</v>
      </c>
      <c r="J334" s="85">
        <f>+F334+I334</f>
        <v>5997231066.6999998</v>
      </c>
      <c r="K334" s="429">
        <f>+J334/J335</f>
        <v>0.18611268548090762</v>
      </c>
    </row>
    <row r="335" spans="1:14" hidden="1">
      <c r="A335" s="427"/>
      <c r="B335" s="428"/>
      <c r="C335" s="94" t="s">
        <v>83</v>
      </c>
      <c r="D335" s="85">
        <v>35650505507</v>
      </c>
      <c r="E335" s="86">
        <f>+E334</f>
        <v>0.9</v>
      </c>
      <c r="F335" s="85">
        <f>+D335*E335</f>
        <v>32085454956.299999</v>
      </c>
      <c r="G335" s="85">
        <v>1382005737</v>
      </c>
      <c r="H335" s="86">
        <f>+H334</f>
        <v>0.1</v>
      </c>
      <c r="I335" s="85">
        <f>+G335*H335</f>
        <v>138200573.70000002</v>
      </c>
      <c r="J335" s="85">
        <f>+F335+I335</f>
        <v>32223655530</v>
      </c>
      <c r="K335" s="429"/>
    </row>
    <row r="336" spans="1:14" hidden="1">
      <c r="D336" s="88"/>
      <c r="E336" s="86"/>
      <c r="F336" s="89"/>
      <c r="G336" s="89"/>
      <c r="H336" s="86"/>
      <c r="I336" s="89"/>
      <c r="J336" s="91"/>
      <c r="K336" s="92"/>
    </row>
    <row r="337" spans="1:11" ht="19.5" hidden="1">
      <c r="A337" s="76" t="s">
        <v>84</v>
      </c>
      <c r="B337" s="76" t="s">
        <v>140</v>
      </c>
      <c r="C337" s="95" t="s">
        <v>85</v>
      </c>
      <c r="D337" s="85"/>
      <c r="E337" s="85"/>
      <c r="F337" s="85">
        <f>+D331-D332</f>
        <v>29014922200</v>
      </c>
      <c r="G337" s="85"/>
      <c r="H337" s="86"/>
      <c r="I337" s="85">
        <f>+G331-G332</f>
        <v>463581772</v>
      </c>
      <c r="J337" s="85">
        <f>+F337+I337</f>
        <v>29478503972</v>
      </c>
      <c r="K337" s="97">
        <f>+F337+I337</f>
        <v>29478503972</v>
      </c>
    </row>
    <row r="338" spans="1:11" hidden="1">
      <c r="D338" s="88"/>
      <c r="E338" s="86"/>
      <c r="F338" s="89"/>
      <c r="G338" s="89"/>
      <c r="H338" s="86"/>
      <c r="I338" s="89"/>
      <c r="J338" s="91"/>
      <c r="K338" s="92"/>
    </row>
    <row r="339" spans="1:11" ht="15.75" hidden="1" thickBot="1">
      <c r="A339" s="427" t="s">
        <v>86</v>
      </c>
      <c r="B339" s="428" t="s">
        <v>77</v>
      </c>
      <c r="C339" s="84" t="s">
        <v>87</v>
      </c>
      <c r="D339" s="85">
        <v>5788883278</v>
      </c>
      <c r="E339" s="86">
        <f>+E335</f>
        <v>0.9</v>
      </c>
      <c r="F339" s="85">
        <f>+D339*E339</f>
        <v>5209994950.1999998</v>
      </c>
      <c r="G339" s="85">
        <v>556438826</v>
      </c>
      <c r="H339" s="86">
        <f>+H335</f>
        <v>0.1</v>
      </c>
      <c r="I339" s="85">
        <f>+G339*H339</f>
        <v>55643882.600000001</v>
      </c>
      <c r="J339" s="85">
        <f>+F339+I339</f>
        <v>5265638832.8000002</v>
      </c>
      <c r="K339" s="429">
        <f>+J339/J340</f>
        <v>44.525263213469906</v>
      </c>
    </row>
    <row r="340" spans="1:11" hidden="1">
      <c r="A340" s="427"/>
      <c r="B340" s="428"/>
      <c r="C340" s="76" t="s">
        <v>88</v>
      </c>
      <c r="D340" s="85">
        <v>130228436</v>
      </c>
      <c r="E340" s="86">
        <f>+E335</f>
        <v>0.9</v>
      </c>
      <c r="F340" s="85">
        <f>+D340*E340</f>
        <v>117205592.40000001</v>
      </c>
      <c r="G340" s="85">
        <v>10562314</v>
      </c>
      <c r="H340" s="86">
        <f>+H335</f>
        <v>0.1</v>
      </c>
      <c r="I340" s="85">
        <f>+G340*H340</f>
        <v>1056231.4000000001</v>
      </c>
      <c r="J340" s="85">
        <f>+F340+I340</f>
        <v>118261823.80000001</v>
      </c>
      <c r="K340" s="429"/>
    </row>
    <row r="341" spans="1:11" hidden="1">
      <c r="D341" s="88"/>
      <c r="E341" s="86"/>
      <c r="F341" s="89"/>
      <c r="G341" s="89"/>
      <c r="H341" s="86"/>
      <c r="I341" s="89"/>
      <c r="J341" s="91"/>
      <c r="K341" s="92"/>
    </row>
    <row r="342" spans="1:11" ht="15.75" hidden="1" thickBot="1">
      <c r="A342" s="427" t="s">
        <v>89</v>
      </c>
      <c r="B342" s="428" t="s">
        <v>77</v>
      </c>
      <c r="C342" s="93" t="s">
        <v>87</v>
      </c>
      <c r="D342" s="85">
        <f>+D339</f>
        <v>5788883278</v>
      </c>
      <c r="E342" s="86">
        <f>+E340</f>
        <v>0.9</v>
      </c>
      <c r="F342" s="85">
        <f>+D342*E342</f>
        <v>5209994950.1999998</v>
      </c>
      <c r="G342" s="85">
        <f>+G339</f>
        <v>556438826</v>
      </c>
      <c r="H342" s="86">
        <f>+H340</f>
        <v>0.1</v>
      </c>
      <c r="I342" s="85">
        <f>+G342*H342</f>
        <v>55643882.600000001</v>
      </c>
      <c r="J342" s="85">
        <f>+F342+I342</f>
        <v>5265638832.8000002</v>
      </c>
      <c r="K342" s="429">
        <f>+J342/J343</f>
        <v>0.2007760852101087</v>
      </c>
    </row>
    <row r="343" spans="1:11" hidden="1">
      <c r="A343" s="427"/>
      <c r="B343" s="428"/>
      <c r="C343" s="94" t="s">
        <v>90</v>
      </c>
      <c r="D343" s="85">
        <f>+D335-D334</f>
        <v>29028391847</v>
      </c>
      <c r="E343" s="86">
        <f>+E342</f>
        <v>0.9</v>
      </c>
      <c r="F343" s="85">
        <f>+D343*E343</f>
        <v>26125552662.299999</v>
      </c>
      <c r="G343" s="85">
        <f>+G335-G334</f>
        <v>1008718010</v>
      </c>
      <c r="H343" s="86">
        <f>+H342</f>
        <v>0.1</v>
      </c>
      <c r="I343" s="85">
        <f>+G343*H343</f>
        <v>100871801</v>
      </c>
      <c r="J343" s="85">
        <f>+F343+I343</f>
        <v>26226424463.299999</v>
      </c>
      <c r="K343" s="429"/>
    </row>
    <row r="344" spans="1:11" hidden="1">
      <c r="D344" s="88"/>
      <c r="E344" s="86"/>
      <c r="F344" s="89"/>
      <c r="G344" s="89"/>
      <c r="H344" s="86"/>
      <c r="I344" s="89"/>
      <c r="J344" s="91"/>
      <c r="K344" s="92"/>
    </row>
    <row r="345" spans="1:11" ht="15.75" hidden="1" thickBot="1">
      <c r="A345" s="427" t="s">
        <v>91</v>
      </c>
      <c r="B345" s="428" t="s">
        <v>77</v>
      </c>
      <c r="C345" s="93" t="s">
        <v>87</v>
      </c>
      <c r="D345" s="85">
        <f>+D342</f>
        <v>5788883278</v>
      </c>
      <c r="E345" s="86">
        <f>+E343</f>
        <v>0.9</v>
      </c>
      <c r="F345" s="85">
        <f>+D345*E345</f>
        <v>5209994950.1999998</v>
      </c>
      <c r="G345" s="85">
        <f>+G342</f>
        <v>556438826</v>
      </c>
      <c r="H345" s="86">
        <f>+H343</f>
        <v>0.1</v>
      </c>
      <c r="I345" s="85">
        <f>+G345*H345</f>
        <v>55643882.600000001</v>
      </c>
      <c r="J345" s="85">
        <f>+F345+I345</f>
        <v>5265638832.8000002</v>
      </c>
      <c r="K345" s="429">
        <f>+J345/J346</f>
        <v>0.16340910881131182</v>
      </c>
    </row>
    <row r="346" spans="1:11" hidden="1">
      <c r="A346" s="427"/>
      <c r="B346" s="428"/>
      <c r="C346" s="94" t="s">
        <v>92</v>
      </c>
      <c r="D346" s="85">
        <f>+D335</f>
        <v>35650505507</v>
      </c>
      <c r="E346" s="86">
        <f>+E345</f>
        <v>0.9</v>
      </c>
      <c r="F346" s="85">
        <f>+D346*E346</f>
        <v>32085454956.299999</v>
      </c>
      <c r="G346" s="85">
        <f>+G335</f>
        <v>1382005737</v>
      </c>
      <c r="H346" s="86">
        <f>+H345</f>
        <v>0.1</v>
      </c>
      <c r="I346" s="85">
        <f>+G346*H346</f>
        <v>138200573.70000002</v>
      </c>
      <c r="J346" s="85">
        <f>+F346+I346</f>
        <v>32223655530</v>
      </c>
      <c r="K346" s="429"/>
    </row>
    <row r="349" spans="1:11">
      <c r="D349" s="441" t="str">
        <f>+[2]INDICADORES!N45</f>
        <v>CONSORCIO JUSTICIA</v>
      </c>
      <c r="E349" s="442"/>
      <c r="F349" s="442"/>
      <c r="G349" s="442"/>
      <c r="H349" s="442"/>
      <c r="I349" s="442"/>
      <c r="J349" s="442"/>
      <c r="K349" s="433" t="s">
        <v>133</v>
      </c>
    </row>
    <row r="350" spans="1:11">
      <c r="D350" s="434" t="s">
        <v>179</v>
      </c>
      <c r="E350" s="434"/>
      <c r="F350" s="434"/>
      <c r="G350" s="434" t="s">
        <v>180</v>
      </c>
      <c r="H350" s="434"/>
      <c r="I350" s="434"/>
      <c r="J350" s="435" t="s">
        <v>132</v>
      </c>
      <c r="K350" s="433"/>
    </row>
    <row r="351" spans="1:11">
      <c r="D351" s="434"/>
      <c r="E351" s="434"/>
      <c r="F351" s="434"/>
      <c r="G351" s="434"/>
      <c r="H351" s="434"/>
      <c r="I351" s="434"/>
      <c r="J351" s="436"/>
      <c r="K351" s="433"/>
    </row>
    <row r="352" spans="1:11">
      <c r="C352" s="79" t="s">
        <v>135</v>
      </c>
      <c r="D352" s="438" t="s">
        <v>143</v>
      </c>
      <c r="E352" s="439"/>
      <c r="F352" s="440"/>
      <c r="G352" s="438" t="s">
        <v>143</v>
      </c>
      <c r="H352" s="439"/>
      <c r="I352" s="440"/>
      <c r="J352" s="436"/>
      <c r="K352" s="433"/>
    </row>
    <row r="353" spans="1:11" ht="34.5">
      <c r="D353" s="269" t="s">
        <v>137</v>
      </c>
      <c r="E353" s="80" t="s">
        <v>138</v>
      </c>
      <c r="F353" s="81" t="s">
        <v>139</v>
      </c>
      <c r="G353" s="81" t="s">
        <v>137</v>
      </c>
      <c r="H353" s="80" t="s">
        <v>138</v>
      </c>
      <c r="I353" s="81" t="s">
        <v>139</v>
      </c>
      <c r="J353" s="437"/>
      <c r="K353" s="433"/>
    </row>
    <row r="354" spans="1:11" ht="15.75" thickBot="1">
      <c r="A354" s="427" t="s">
        <v>76</v>
      </c>
      <c r="B354" s="428" t="s">
        <v>77</v>
      </c>
      <c r="C354" s="84" t="s">
        <v>78</v>
      </c>
      <c r="D354" s="85">
        <v>10497312097</v>
      </c>
      <c r="E354" s="86">
        <v>0.3</v>
      </c>
      <c r="F354" s="85">
        <f>+D354*E354</f>
        <v>3149193629.0999999</v>
      </c>
      <c r="G354" s="85">
        <v>5929735684</v>
      </c>
      <c r="H354" s="86">
        <v>0.7</v>
      </c>
      <c r="I354" s="85">
        <f>+G354*H354</f>
        <v>4150814978.7999997</v>
      </c>
      <c r="J354" s="85">
        <f>+F354+I354</f>
        <v>7300008607.8999996</v>
      </c>
      <c r="K354" s="430">
        <f>+J354/J355</f>
        <v>202.20690426738418</v>
      </c>
    </row>
    <row r="355" spans="1:11" ht="15.75" thickTop="1">
      <c r="A355" s="427"/>
      <c r="B355" s="428"/>
      <c r="C355" s="76" t="s">
        <v>80</v>
      </c>
      <c r="D355" s="85">
        <v>24453175</v>
      </c>
      <c r="E355" s="86">
        <f>+E354</f>
        <v>0.3</v>
      </c>
      <c r="F355" s="85">
        <f>+D355*E355</f>
        <v>7335952.5</v>
      </c>
      <c r="G355" s="85">
        <v>41093894</v>
      </c>
      <c r="H355" s="86">
        <f>+H354</f>
        <v>0.7</v>
      </c>
      <c r="I355" s="85">
        <f>+G355*H355</f>
        <v>28765725.799999997</v>
      </c>
      <c r="J355" s="85">
        <f>+F355+I355</f>
        <v>36101678.299999997</v>
      </c>
      <c r="K355" s="430"/>
    </row>
    <row r="356" spans="1:11">
      <c r="D356" s="88"/>
      <c r="E356" s="89"/>
      <c r="F356" s="89"/>
      <c r="G356" s="89"/>
      <c r="H356" s="89"/>
      <c r="I356" s="89"/>
      <c r="J356" s="91"/>
      <c r="K356" s="92"/>
    </row>
    <row r="357" spans="1:11" ht="15.75" thickBot="1">
      <c r="A357" s="427" t="s">
        <v>81</v>
      </c>
      <c r="B357" s="428" t="s">
        <v>77</v>
      </c>
      <c r="C357" s="93" t="s">
        <v>82</v>
      </c>
      <c r="D357" s="85">
        <v>6267579526</v>
      </c>
      <c r="E357" s="86">
        <f>+E355</f>
        <v>0.3</v>
      </c>
      <c r="F357" s="85">
        <f>+D357*E357</f>
        <v>1880273857.8</v>
      </c>
      <c r="G357" s="85">
        <v>2683766360</v>
      </c>
      <c r="H357" s="86">
        <f>+H355</f>
        <v>0.7</v>
      </c>
      <c r="I357" s="85">
        <f>+G357*H357</f>
        <v>1878636452</v>
      </c>
      <c r="J357" s="85">
        <f>+F357+I357</f>
        <v>3758910309.8000002</v>
      </c>
      <c r="K357" s="429">
        <f>+J357/J358</f>
        <v>0.4797031331398679</v>
      </c>
    </row>
    <row r="358" spans="1:11" ht="15.75" thickTop="1">
      <c r="A358" s="427"/>
      <c r="B358" s="428"/>
      <c r="C358" s="94" t="s">
        <v>83</v>
      </c>
      <c r="D358" s="85">
        <v>11836275239</v>
      </c>
      <c r="E358" s="86">
        <f>+E357</f>
        <v>0.3</v>
      </c>
      <c r="F358" s="85">
        <f>+D358*E358</f>
        <v>3550882571.6999998</v>
      </c>
      <c r="G358" s="85">
        <v>6121466956</v>
      </c>
      <c r="H358" s="86">
        <f>+H357</f>
        <v>0.7</v>
      </c>
      <c r="I358" s="85">
        <f>+G358*H358</f>
        <v>4285026869.1999998</v>
      </c>
      <c r="J358" s="85">
        <f>+F358+I358</f>
        <v>7835909440.8999996</v>
      </c>
      <c r="K358" s="429"/>
    </row>
    <row r="359" spans="1:11">
      <c r="D359" s="88"/>
      <c r="E359" s="86"/>
      <c r="F359" s="89"/>
      <c r="G359" s="89"/>
      <c r="H359" s="86"/>
      <c r="I359" s="89"/>
      <c r="J359" s="91"/>
      <c r="K359" s="92"/>
    </row>
    <row r="360" spans="1:11" ht="19.5">
      <c r="A360" s="76" t="s">
        <v>84</v>
      </c>
      <c r="B360" s="76" t="s">
        <v>140</v>
      </c>
      <c r="C360" s="95" t="s">
        <v>85</v>
      </c>
      <c r="D360" s="85"/>
      <c r="E360" s="85"/>
      <c r="F360" s="85">
        <f>+D354-D355</f>
        <v>10472858922</v>
      </c>
      <c r="G360" s="85"/>
      <c r="H360" s="86"/>
      <c r="I360" s="85">
        <f>+G354-G355</f>
        <v>5888641790</v>
      </c>
      <c r="J360" s="85">
        <f>+F360+I360</f>
        <v>16361500712</v>
      </c>
      <c r="K360" s="97">
        <f>+F360+I360</f>
        <v>16361500712</v>
      </c>
    </row>
    <row r="361" spans="1:11">
      <c r="D361" s="88"/>
      <c r="E361" s="86"/>
      <c r="F361" s="89"/>
      <c r="G361" s="89"/>
      <c r="H361" s="86"/>
      <c r="I361" s="89"/>
      <c r="J361" s="91"/>
      <c r="K361" s="92"/>
    </row>
    <row r="362" spans="1:11" ht="15.75" thickBot="1">
      <c r="A362" s="427" t="s">
        <v>86</v>
      </c>
      <c r="B362" s="428" t="s">
        <v>77</v>
      </c>
      <c r="C362" s="84" t="s">
        <v>87</v>
      </c>
      <c r="D362" s="85">
        <v>1112798133</v>
      </c>
      <c r="E362" s="86">
        <f>+E358</f>
        <v>0.3</v>
      </c>
      <c r="F362" s="85">
        <f>+D362*E362</f>
        <v>333839439.89999998</v>
      </c>
      <c r="G362" s="85">
        <v>1029183390</v>
      </c>
      <c r="H362" s="86">
        <f>+H358</f>
        <v>0.7</v>
      </c>
      <c r="I362" s="85">
        <f>+G362*H362</f>
        <v>720428373</v>
      </c>
      <c r="J362" s="85">
        <f>+F362+I362</f>
        <v>1054267812.9</v>
      </c>
      <c r="K362" s="429">
        <f>+J362/J363</f>
        <v>13.3713724990935</v>
      </c>
    </row>
    <row r="363" spans="1:11" ht="15.75" thickTop="1">
      <c r="A363" s="427"/>
      <c r="B363" s="428"/>
      <c r="C363" s="76" t="s">
        <v>88</v>
      </c>
      <c r="D363" s="85">
        <v>51022735</v>
      </c>
      <c r="E363" s="86">
        <f>+E358</f>
        <v>0.3</v>
      </c>
      <c r="F363" s="85">
        <f>+D363*E363</f>
        <v>15306820.5</v>
      </c>
      <c r="G363" s="85">
        <v>90769036</v>
      </c>
      <c r="H363" s="86">
        <f>+H358</f>
        <v>0.7</v>
      </c>
      <c r="I363" s="85">
        <f>+G363*H363</f>
        <v>63538325.199999996</v>
      </c>
      <c r="J363" s="85">
        <f>+F363+I363</f>
        <v>78845145.699999988</v>
      </c>
      <c r="K363" s="429"/>
    </row>
    <row r="364" spans="1:11">
      <c r="D364" s="88"/>
      <c r="E364" s="86"/>
      <c r="F364" s="89"/>
      <c r="G364" s="89"/>
      <c r="H364" s="86"/>
      <c r="I364" s="89"/>
      <c r="J364" s="91"/>
      <c r="K364" s="92"/>
    </row>
    <row r="365" spans="1:11" ht="15.75" thickBot="1">
      <c r="A365" s="427" t="s">
        <v>89</v>
      </c>
      <c r="B365" s="428" t="s">
        <v>77</v>
      </c>
      <c r="C365" s="93" t="s">
        <v>87</v>
      </c>
      <c r="D365" s="85">
        <f>+D362</f>
        <v>1112798133</v>
      </c>
      <c r="E365" s="86">
        <f>+E363</f>
        <v>0.3</v>
      </c>
      <c r="F365" s="85">
        <f>+D365*E365</f>
        <v>333839439.89999998</v>
      </c>
      <c r="G365" s="85">
        <f>+G362</f>
        <v>1029183390</v>
      </c>
      <c r="H365" s="86">
        <f>+H363</f>
        <v>0.7</v>
      </c>
      <c r="I365" s="85">
        <f>+G365*H365</f>
        <v>720428373</v>
      </c>
      <c r="J365" s="85">
        <f>+F365+I365</f>
        <v>1054267812.9</v>
      </c>
      <c r="K365" s="429">
        <f>+J365/J366</f>
        <v>0.25858916791467457</v>
      </c>
    </row>
    <row r="366" spans="1:11" ht="15.75" thickTop="1">
      <c r="A366" s="427"/>
      <c r="B366" s="428"/>
      <c r="C366" s="94" t="s">
        <v>90</v>
      </c>
      <c r="D366" s="85">
        <f>+D358-D357</f>
        <v>5568695713</v>
      </c>
      <c r="E366" s="86">
        <f>+E365</f>
        <v>0.3</v>
      </c>
      <c r="F366" s="85">
        <f>+D366*E366</f>
        <v>1670608713.8999999</v>
      </c>
      <c r="G366" s="85">
        <f>+G358-G357</f>
        <v>3437700596</v>
      </c>
      <c r="H366" s="86">
        <f>+H365</f>
        <v>0.7</v>
      </c>
      <c r="I366" s="85">
        <f>+G366*H366</f>
        <v>2406390417.1999998</v>
      </c>
      <c r="J366" s="85">
        <f>+F366+I366</f>
        <v>4076999131.0999994</v>
      </c>
      <c r="K366" s="429"/>
    </row>
    <row r="367" spans="1:11">
      <c r="D367" s="88"/>
      <c r="E367" s="86"/>
      <c r="F367" s="89"/>
      <c r="G367" s="89"/>
      <c r="H367" s="86"/>
      <c r="I367" s="89"/>
      <c r="J367" s="91"/>
      <c r="K367" s="92"/>
    </row>
    <row r="368" spans="1:11" ht="15.75" thickBot="1">
      <c r="A368" s="427" t="s">
        <v>91</v>
      </c>
      <c r="B368" s="428" t="s">
        <v>77</v>
      </c>
      <c r="C368" s="93" t="s">
        <v>87</v>
      </c>
      <c r="D368" s="85">
        <f>+D365</f>
        <v>1112798133</v>
      </c>
      <c r="E368" s="86">
        <f>+E366</f>
        <v>0.3</v>
      </c>
      <c r="F368" s="85">
        <f>+D368*E368</f>
        <v>333839439.89999998</v>
      </c>
      <c r="G368" s="85">
        <f>+G365</f>
        <v>1029183390</v>
      </c>
      <c r="H368" s="86">
        <f>+H366</f>
        <v>0.7</v>
      </c>
      <c r="I368" s="85">
        <f>+G368*H368</f>
        <v>720428373</v>
      </c>
      <c r="J368" s="85">
        <f>+F368+I368</f>
        <v>1054267812.9</v>
      </c>
      <c r="K368" s="429">
        <f>+J368/J369</f>
        <v>0.13454313386997377</v>
      </c>
    </row>
    <row r="369" spans="1:11" ht="15.75" thickTop="1">
      <c r="A369" s="427"/>
      <c r="B369" s="428"/>
      <c r="C369" s="94" t="s">
        <v>92</v>
      </c>
      <c r="D369" s="85">
        <f>+D358</f>
        <v>11836275239</v>
      </c>
      <c r="E369" s="86">
        <f>+E368</f>
        <v>0.3</v>
      </c>
      <c r="F369" s="85">
        <f>+D369*E369</f>
        <v>3550882571.6999998</v>
      </c>
      <c r="G369" s="85">
        <f>+G358</f>
        <v>6121466956</v>
      </c>
      <c r="H369" s="86">
        <f>+H368</f>
        <v>0.7</v>
      </c>
      <c r="I369" s="85">
        <f>+G369*H369</f>
        <v>4285026869.1999998</v>
      </c>
      <c r="J369" s="85">
        <f>+F369+I369</f>
        <v>7835909440.8999996</v>
      </c>
      <c r="K369" s="429"/>
    </row>
    <row r="372" spans="1:11">
      <c r="D372" s="431" t="str">
        <f>+[2]INDICADORES!Q45</f>
        <v>CONSORCIO PALACIO DE JUSTICIA</v>
      </c>
      <c r="E372" s="432"/>
      <c r="F372" s="432"/>
      <c r="G372" s="432"/>
      <c r="H372" s="432"/>
      <c r="I372" s="432"/>
      <c r="J372" s="432"/>
      <c r="K372" s="433" t="s">
        <v>133</v>
      </c>
    </row>
    <row r="373" spans="1:11">
      <c r="D373" s="434" t="s">
        <v>181</v>
      </c>
      <c r="E373" s="434"/>
      <c r="F373" s="434"/>
      <c r="G373" s="434" t="s">
        <v>182</v>
      </c>
      <c r="H373" s="434"/>
      <c r="I373" s="434"/>
      <c r="J373" s="435" t="s">
        <v>132</v>
      </c>
      <c r="K373" s="433"/>
    </row>
    <row r="374" spans="1:11">
      <c r="D374" s="434"/>
      <c r="E374" s="434"/>
      <c r="F374" s="434"/>
      <c r="G374" s="434"/>
      <c r="H374" s="434"/>
      <c r="I374" s="434"/>
      <c r="J374" s="436"/>
      <c r="K374" s="433"/>
    </row>
    <row r="375" spans="1:11">
      <c r="C375" s="79" t="s">
        <v>135</v>
      </c>
      <c r="D375" s="438" t="s">
        <v>142</v>
      </c>
      <c r="E375" s="439"/>
      <c r="F375" s="440"/>
      <c r="G375" s="438" t="s">
        <v>143</v>
      </c>
      <c r="H375" s="439"/>
      <c r="I375" s="440"/>
      <c r="J375" s="436"/>
      <c r="K375" s="433"/>
    </row>
    <row r="376" spans="1:11" ht="34.5">
      <c r="D376" s="269" t="s">
        <v>137</v>
      </c>
      <c r="E376" s="80" t="s">
        <v>138</v>
      </c>
      <c r="F376" s="81" t="s">
        <v>139</v>
      </c>
      <c r="G376" s="81" t="s">
        <v>137</v>
      </c>
      <c r="H376" s="80" t="s">
        <v>138</v>
      </c>
      <c r="I376" s="81" t="s">
        <v>139</v>
      </c>
      <c r="J376" s="437"/>
      <c r="K376" s="433"/>
    </row>
    <row r="377" spans="1:11" ht="15.75" thickBot="1">
      <c r="A377" s="427" t="s">
        <v>76</v>
      </c>
      <c r="B377" s="428" t="s">
        <v>77</v>
      </c>
      <c r="C377" s="84" t="s">
        <v>78</v>
      </c>
      <c r="D377" s="85">
        <v>81391000000</v>
      </c>
      <c r="E377" s="86">
        <v>0.1</v>
      </c>
      <c r="F377" s="85">
        <f>+D377*E377</f>
        <v>8139100000</v>
      </c>
      <c r="G377" s="85">
        <v>20622314791</v>
      </c>
      <c r="H377" s="86">
        <v>0.9</v>
      </c>
      <c r="I377" s="85">
        <f>+G377*H377</f>
        <v>18560083311.900002</v>
      </c>
      <c r="J377" s="85">
        <f>+F377+I377</f>
        <v>26699183311.900002</v>
      </c>
      <c r="K377" s="430">
        <f>+J377/J378</f>
        <v>2.1878671942168864</v>
      </c>
    </row>
    <row r="378" spans="1:11" ht="15.75" thickTop="1">
      <c r="A378" s="427"/>
      <c r="B378" s="428"/>
      <c r="C378" s="76" t="s">
        <v>80</v>
      </c>
      <c r="D378" s="85">
        <v>762000000</v>
      </c>
      <c r="E378" s="86">
        <f>+E377</f>
        <v>0.1</v>
      </c>
      <c r="F378" s="85">
        <f>+D378*E378</f>
        <v>76200000</v>
      </c>
      <c r="G378" s="85">
        <v>13474547217</v>
      </c>
      <c r="H378" s="86">
        <f>+H377</f>
        <v>0.9</v>
      </c>
      <c r="I378" s="85">
        <f>+G378*H378</f>
        <v>12127092495.300001</v>
      </c>
      <c r="J378" s="85">
        <f>+F378+I378</f>
        <v>12203292495.300001</v>
      </c>
      <c r="K378" s="430"/>
    </row>
    <row r="379" spans="1:11">
      <c r="D379" s="88"/>
      <c r="E379" s="89"/>
      <c r="F379" s="89"/>
      <c r="G379" s="89"/>
      <c r="H379" s="89"/>
      <c r="I379" s="89"/>
      <c r="J379" s="91"/>
      <c r="K379" s="92"/>
    </row>
    <row r="380" spans="1:11" ht="15.75" thickBot="1">
      <c r="A380" s="427" t="s">
        <v>81</v>
      </c>
      <c r="B380" s="428" t="s">
        <v>77</v>
      </c>
      <c r="C380" s="93" t="s">
        <v>82</v>
      </c>
      <c r="D380" s="85">
        <v>762000000</v>
      </c>
      <c r="E380" s="86">
        <f>+E378</f>
        <v>0.1</v>
      </c>
      <c r="F380" s="85">
        <f>+D380*E380</f>
        <v>76200000</v>
      </c>
      <c r="G380" s="85">
        <v>14998781426</v>
      </c>
      <c r="H380" s="86">
        <f>+H378</f>
        <v>0.9</v>
      </c>
      <c r="I380" s="85">
        <f>+G380*H380</f>
        <v>13498903283.4</v>
      </c>
      <c r="J380" s="85">
        <f>+F380+I380</f>
        <v>13575103283.4</v>
      </c>
      <c r="K380" s="429">
        <f>+J380/J381</f>
        <v>0.42438394520571476</v>
      </c>
    </row>
    <row r="381" spans="1:11" ht="15.75" thickTop="1">
      <c r="A381" s="427"/>
      <c r="B381" s="428"/>
      <c r="C381" s="94" t="s">
        <v>83</v>
      </c>
      <c r="D381" s="85">
        <v>113858000000</v>
      </c>
      <c r="E381" s="86">
        <f>+E380</f>
        <v>0.1</v>
      </c>
      <c r="F381" s="85">
        <f>+D381*E381</f>
        <v>11385800000</v>
      </c>
      <c r="G381" s="85">
        <v>22891096766</v>
      </c>
      <c r="H381" s="86">
        <f>+H380</f>
        <v>0.9</v>
      </c>
      <c r="I381" s="85">
        <f>+G381*H381</f>
        <v>20601987089.400002</v>
      </c>
      <c r="J381" s="85">
        <f>+F381+I381</f>
        <v>31987787089.400002</v>
      </c>
      <c r="K381" s="429"/>
    </row>
    <row r="382" spans="1:11">
      <c r="D382" s="88"/>
      <c r="E382" s="86"/>
      <c r="F382" s="89"/>
      <c r="G382" s="89"/>
      <c r="H382" s="86"/>
      <c r="I382" s="89"/>
      <c r="J382" s="91"/>
      <c r="K382" s="92"/>
    </row>
    <row r="383" spans="1:11" ht="19.5">
      <c r="A383" s="76" t="s">
        <v>84</v>
      </c>
      <c r="B383" s="76" t="s">
        <v>140</v>
      </c>
      <c r="C383" s="95" t="s">
        <v>85</v>
      </c>
      <c r="D383" s="85"/>
      <c r="E383" s="85"/>
      <c r="F383" s="85">
        <f>+D377-D378</f>
        <v>80629000000</v>
      </c>
      <c r="G383" s="85"/>
      <c r="H383" s="86"/>
      <c r="I383" s="85">
        <f>+G377-G378</f>
        <v>7147767574</v>
      </c>
      <c r="J383" s="85">
        <f>+F383+I383</f>
        <v>87776767574</v>
      </c>
      <c r="K383" s="97">
        <f>+F383+I383</f>
        <v>87776767574</v>
      </c>
    </row>
    <row r="384" spans="1:11">
      <c r="D384" s="88"/>
      <c r="E384" s="86"/>
      <c r="F384" s="89"/>
      <c r="G384" s="89"/>
      <c r="H384" s="86"/>
      <c r="I384" s="89"/>
      <c r="J384" s="91"/>
      <c r="K384" s="92"/>
    </row>
    <row r="385" spans="1:11" ht="15.75" thickBot="1">
      <c r="A385" s="427" t="s">
        <v>86</v>
      </c>
      <c r="B385" s="428" t="s">
        <v>77</v>
      </c>
      <c r="C385" s="84" t="s">
        <v>87</v>
      </c>
      <c r="D385" s="85">
        <v>58230000000</v>
      </c>
      <c r="E385" s="86">
        <f>+E381</f>
        <v>0.1</v>
      </c>
      <c r="F385" s="85">
        <f>+D385*E385</f>
        <v>5823000000</v>
      </c>
      <c r="G385" s="85">
        <v>887650179</v>
      </c>
      <c r="H385" s="86">
        <f>+H381</f>
        <v>0.9</v>
      </c>
      <c r="I385" s="85">
        <f>+G385*H385</f>
        <v>798885161.10000002</v>
      </c>
      <c r="J385" s="85">
        <f>+F385+I385</f>
        <v>6621885161.1000004</v>
      </c>
      <c r="K385" s="429">
        <f>+J385/J386</f>
        <v>107.68897930919431</v>
      </c>
    </row>
    <row r="386" spans="1:11" ht="15.75" thickTop="1">
      <c r="A386" s="427"/>
      <c r="B386" s="428"/>
      <c r="C386" s="76" t="s">
        <v>88</v>
      </c>
      <c r="D386" s="85"/>
      <c r="E386" s="86">
        <f>+E381</f>
        <v>0.1</v>
      </c>
      <c r="F386" s="85">
        <f>+D386*E386</f>
        <v>0</v>
      </c>
      <c r="G386" s="85">
        <v>68323149</v>
      </c>
      <c r="H386" s="86">
        <f>+H381</f>
        <v>0.9</v>
      </c>
      <c r="I386" s="85">
        <f>+G386*H386</f>
        <v>61490834.100000001</v>
      </c>
      <c r="J386" s="85">
        <f>+F386+I386</f>
        <v>61490834.100000001</v>
      </c>
      <c r="K386" s="429"/>
    </row>
    <row r="387" spans="1:11">
      <c r="D387" s="88"/>
      <c r="E387" s="86"/>
      <c r="F387" s="89"/>
      <c r="G387" s="89"/>
      <c r="H387" s="86"/>
      <c r="I387" s="89"/>
      <c r="J387" s="91"/>
      <c r="K387" s="92"/>
    </row>
    <row r="388" spans="1:11" ht="15.75" thickBot="1">
      <c r="A388" s="427" t="s">
        <v>89</v>
      </c>
      <c r="B388" s="428" t="s">
        <v>77</v>
      </c>
      <c r="C388" s="93" t="s">
        <v>87</v>
      </c>
      <c r="D388" s="85">
        <f>+D385</f>
        <v>58230000000</v>
      </c>
      <c r="E388" s="86">
        <f>+E386</f>
        <v>0.1</v>
      </c>
      <c r="F388" s="85">
        <f>+D388*E388</f>
        <v>5823000000</v>
      </c>
      <c r="G388" s="85">
        <f>+G385</f>
        <v>887650179</v>
      </c>
      <c r="H388" s="86">
        <f>+H386</f>
        <v>0.9</v>
      </c>
      <c r="I388" s="85">
        <f>+G388*H388</f>
        <v>798885161.10000002</v>
      </c>
      <c r="J388" s="85">
        <f>+F388+I388</f>
        <v>6621885161.1000004</v>
      </c>
      <c r="K388" s="429">
        <f>+J388/J389</f>
        <v>0.35963715180630962</v>
      </c>
    </row>
    <row r="389" spans="1:11" ht="15.75" thickTop="1">
      <c r="A389" s="427"/>
      <c r="B389" s="428"/>
      <c r="C389" s="94" t="s">
        <v>90</v>
      </c>
      <c r="D389" s="85">
        <f>+D381-D380</f>
        <v>113096000000</v>
      </c>
      <c r="E389" s="86">
        <f>+E388</f>
        <v>0.1</v>
      </c>
      <c r="F389" s="85">
        <f>+D389*E389</f>
        <v>11309600000</v>
      </c>
      <c r="G389" s="85">
        <f>+G381-G380</f>
        <v>7892315340</v>
      </c>
      <c r="H389" s="86">
        <f>+H388</f>
        <v>0.9</v>
      </c>
      <c r="I389" s="85">
        <f>+G389*H389</f>
        <v>7103083806</v>
      </c>
      <c r="J389" s="85">
        <f>+F389+I389</f>
        <v>18412683806</v>
      </c>
      <c r="K389" s="429"/>
    </row>
    <row r="390" spans="1:11">
      <c r="D390" s="88"/>
      <c r="E390" s="86"/>
      <c r="F390" s="89"/>
      <c r="G390" s="89"/>
      <c r="H390" s="86"/>
      <c r="I390" s="89"/>
      <c r="J390" s="91"/>
      <c r="K390" s="92"/>
    </row>
    <row r="391" spans="1:11" ht="15.75" thickBot="1">
      <c r="A391" s="427" t="s">
        <v>91</v>
      </c>
      <c r="B391" s="428" t="s">
        <v>77</v>
      </c>
      <c r="C391" s="93" t="s">
        <v>87</v>
      </c>
      <c r="D391" s="85">
        <f>+D388</f>
        <v>58230000000</v>
      </c>
      <c r="E391" s="86">
        <f>+E389</f>
        <v>0.1</v>
      </c>
      <c r="F391" s="85">
        <f>+D391*E391</f>
        <v>5823000000</v>
      </c>
      <c r="G391" s="85">
        <f>+G388</f>
        <v>887650179</v>
      </c>
      <c r="H391" s="86">
        <f>+H389</f>
        <v>0.9</v>
      </c>
      <c r="I391" s="85">
        <f>+G391*H391</f>
        <v>798885161.10000002</v>
      </c>
      <c r="J391" s="85">
        <f>+F391+I391</f>
        <v>6621885161.1000004</v>
      </c>
      <c r="K391" s="429">
        <f>+J391/J392</f>
        <v>0.20701291848020137</v>
      </c>
    </row>
    <row r="392" spans="1:11" ht="15.75" thickTop="1">
      <c r="A392" s="427"/>
      <c r="B392" s="428"/>
      <c r="C392" s="94" t="s">
        <v>92</v>
      </c>
      <c r="D392" s="85">
        <f>+D381</f>
        <v>113858000000</v>
      </c>
      <c r="E392" s="86">
        <f>+E391</f>
        <v>0.1</v>
      </c>
      <c r="F392" s="85">
        <f>+D392*E392</f>
        <v>11385800000</v>
      </c>
      <c r="G392" s="85">
        <f>+G381</f>
        <v>22891096766</v>
      </c>
      <c r="H392" s="86">
        <f>+H391</f>
        <v>0.9</v>
      </c>
      <c r="I392" s="85">
        <f>+G392*H392</f>
        <v>20601987089.400002</v>
      </c>
      <c r="J392" s="85">
        <f>+F392+I392</f>
        <v>31987787089.400002</v>
      </c>
      <c r="K392" s="429"/>
    </row>
    <row r="395" spans="1:11">
      <c r="D395" s="441" t="str">
        <f>+[2]INDICADORES!T45</f>
        <v>CONSORCIO ID PALACIO</v>
      </c>
      <c r="E395" s="442"/>
      <c r="F395" s="442"/>
      <c r="G395" s="442"/>
      <c r="H395" s="442"/>
      <c r="I395" s="442"/>
      <c r="J395" s="442"/>
      <c r="K395" s="433" t="s">
        <v>133</v>
      </c>
    </row>
    <row r="396" spans="1:11">
      <c r="D396" s="434" t="s">
        <v>183</v>
      </c>
      <c r="E396" s="434"/>
      <c r="F396" s="434"/>
      <c r="G396" s="434" t="s">
        <v>184</v>
      </c>
      <c r="H396" s="434"/>
      <c r="I396" s="434"/>
      <c r="J396" s="435" t="s">
        <v>132</v>
      </c>
      <c r="K396" s="433"/>
    </row>
    <row r="397" spans="1:11">
      <c r="D397" s="434"/>
      <c r="E397" s="434"/>
      <c r="F397" s="434"/>
      <c r="G397" s="434"/>
      <c r="H397" s="434"/>
      <c r="I397" s="434"/>
      <c r="J397" s="436"/>
      <c r="K397" s="433"/>
    </row>
    <row r="398" spans="1:11">
      <c r="C398" s="79" t="s">
        <v>135</v>
      </c>
      <c r="D398" s="438" t="s">
        <v>150</v>
      </c>
      <c r="E398" s="439"/>
      <c r="F398" s="440"/>
      <c r="G398" s="438" t="s">
        <v>163</v>
      </c>
      <c r="H398" s="439"/>
      <c r="I398" s="440"/>
      <c r="J398" s="436"/>
      <c r="K398" s="433"/>
    </row>
    <row r="399" spans="1:11" ht="34.5">
      <c r="D399" s="269" t="s">
        <v>137</v>
      </c>
      <c r="E399" s="80" t="s">
        <v>138</v>
      </c>
      <c r="F399" s="81" t="s">
        <v>139</v>
      </c>
      <c r="G399" s="81" t="s">
        <v>137</v>
      </c>
      <c r="H399" s="80" t="s">
        <v>138</v>
      </c>
      <c r="I399" s="81" t="s">
        <v>139</v>
      </c>
      <c r="J399" s="437"/>
      <c r="K399" s="433"/>
    </row>
    <row r="400" spans="1:11" ht="15.75" thickBot="1">
      <c r="A400" s="427" t="s">
        <v>76</v>
      </c>
      <c r="B400" s="428" t="s">
        <v>77</v>
      </c>
      <c r="C400" s="84" t="s">
        <v>78</v>
      </c>
      <c r="D400" s="85">
        <v>289758000</v>
      </c>
      <c r="E400" s="86">
        <v>0.9</v>
      </c>
      <c r="F400" s="85">
        <f>+D400*E400</f>
        <v>260782200</v>
      </c>
      <c r="G400" s="85">
        <v>11904669365</v>
      </c>
      <c r="H400" s="86">
        <v>0.1</v>
      </c>
      <c r="I400" s="85">
        <f>+G400*H400</f>
        <v>1190466936.5</v>
      </c>
      <c r="J400" s="85">
        <f>+F400+I400</f>
        <v>1451249136.5</v>
      </c>
      <c r="K400" s="430">
        <f>+J400/J401</f>
        <v>6.6482683010129584</v>
      </c>
    </row>
    <row r="401" spans="1:11" ht="15.75" thickTop="1">
      <c r="A401" s="427"/>
      <c r="B401" s="428"/>
      <c r="C401" s="76" t="s">
        <v>80</v>
      </c>
      <c r="D401" s="85">
        <v>143296319</v>
      </c>
      <c r="E401" s="86">
        <f>+E400</f>
        <v>0.9</v>
      </c>
      <c r="F401" s="85">
        <f>+D401*E401</f>
        <v>128966687.10000001</v>
      </c>
      <c r="G401" s="85">
        <v>893231097</v>
      </c>
      <c r="H401" s="86">
        <f>+H400</f>
        <v>0.1</v>
      </c>
      <c r="I401" s="85">
        <f>+G401*H401</f>
        <v>89323109.700000003</v>
      </c>
      <c r="J401" s="85">
        <f>+F401+I401</f>
        <v>218289796.80000001</v>
      </c>
      <c r="K401" s="430"/>
    </row>
    <row r="402" spans="1:11">
      <c r="D402" s="88"/>
      <c r="E402" s="89"/>
      <c r="F402" s="89"/>
      <c r="G402" s="89"/>
      <c r="H402" s="89"/>
      <c r="I402" s="89"/>
      <c r="J402" s="91"/>
      <c r="K402" s="92"/>
    </row>
    <row r="403" spans="1:11" ht="15.75" thickBot="1">
      <c r="A403" s="427" t="s">
        <v>81</v>
      </c>
      <c r="B403" s="428" t="s">
        <v>77</v>
      </c>
      <c r="C403" s="93" t="s">
        <v>82</v>
      </c>
      <c r="D403" s="85">
        <v>143296319</v>
      </c>
      <c r="E403" s="86">
        <f>+E401</f>
        <v>0.9</v>
      </c>
      <c r="F403" s="85">
        <f>+D403*E403</f>
        <v>128966687.10000001</v>
      </c>
      <c r="G403" s="85">
        <v>1909158926</v>
      </c>
      <c r="H403" s="86">
        <f>+H401</f>
        <v>0.1</v>
      </c>
      <c r="I403" s="85">
        <f>+G403*H403</f>
        <v>190915892.60000002</v>
      </c>
      <c r="J403" s="85">
        <f>+F403+I403</f>
        <v>319882579.70000005</v>
      </c>
      <c r="K403" s="429">
        <f>+J403/J404</f>
        <v>0.21612601763884581</v>
      </c>
    </row>
    <row r="404" spans="1:11" ht="15.75" thickTop="1">
      <c r="A404" s="427"/>
      <c r="B404" s="428"/>
      <c r="C404" s="94" t="s">
        <v>83</v>
      </c>
      <c r="D404" s="85">
        <v>289758000</v>
      </c>
      <c r="E404" s="86">
        <f>+E403</f>
        <v>0.9</v>
      </c>
      <c r="F404" s="85">
        <f>+D404*E404</f>
        <v>260782200</v>
      </c>
      <c r="G404" s="85">
        <v>12192921714</v>
      </c>
      <c r="H404" s="86">
        <f>+H403</f>
        <v>0.1</v>
      </c>
      <c r="I404" s="85">
        <f>+G404*H404</f>
        <v>1219292171.4000001</v>
      </c>
      <c r="J404" s="85">
        <f>+F404+I404</f>
        <v>1480074371.4000001</v>
      </c>
      <c r="K404" s="429"/>
    </row>
    <row r="405" spans="1:11">
      <c r="D405" s="88"/>
      <c r="E405" s="86"/>
      <c r="F405" s="89"/>
      <c r="G405" s="89"/>
      <c r="H405" s="86"/>
      <c r="I405" s="89"/>
      <c r="J405" s="91"/>
      <c r="K405" s="92"/>
    </row>
    <row r="406" spans="1:11" ht="19.5">
      <c r="A406" s="76" t="s">
        <v>84</v>
      </c>
      <c r="B406" s="76" t="s">
        <v>140</v>
      </c>
      <c r="C406" s="95" t="s">
        <v>85</v>
      </c>
      <c r="D406" s="85"/>
      <c r="E406" s="85"/>
      <c r="F406" s="85">
        <f>+D400-D401</f>
        <v>146461681</v>
      </c>
      <c r="G406" s="85"/>
      <c r="H406" s="86"/>
      <c r="I406" s="85">
        <f>+G400-G401</f>
        <v>11011438268</v>
      </c>
      <c r="J406" s="85">
        <f>+F406+I406</f>
        <v>11157899949</v>
      </c>
      <c r="K406" s="97">
        <f>+F406+I406</f>
        <v>11157899949</v>
      </c>
    </row>
    <row r="407" spans="1:11">
      <c r="D407" s="88"/>
      <c r="E407" s="86"/>
      <c r="F407" s="89"/>
      <c r="G407" s="89"/>
      <c r="H407" s="86"/>
      <c r="I407" s="89"/>
      <c r="J407" s="91"/>
      <c r="K407" s="92"/>
    </row>
    <row r="408" spans="1:11" ht="15.75" thickBot="1">
      <c r="A408" s="427" t="s">
        <v>86</v>
      </c>
      <c r="B408" s="428" t="s">
        <v>77</v>
      </c>
      <c r="C408" s="84" t="s">
        <v>87</v>
      </c>
      <c r="D408" s="85">
        <v>71487953</v>
      </c>
      <c r="E408" s="86">
        <f>+E404</f>
        <v>0.9</v>
      </c>
      <c r="F408" s="85">
        <f>+D408*E408</f>
        <v>64339157.700000003</v>
      </c>
      <c r="G408" s="85">
        <v>4131948687</v>
      </c>
      <c r="H408" s="86">
        <f>+H404</f>
        <v>0.1</v>
      </c>
      <c r="I408" s="85">
        <f>+G408*H408</f>
        <v>413194868.70000005</v>
      </c>
      <c r="J408" s="85">
        <f>+F408+I408</f>
        <v>477534026.40000004</v>
      </c>
      <c r="K408" s="429">
        <f>+J408/J409</f>
        <v>79.191501339169676</v>
      </c>
    </row>
    <row r="409" spans="1:11" ht="15.75" thickTop="1">
      <c r="A409" s="427"/>
      <c r="B409" s="428"/>
      <c r="C409" s="76" t="s">
        <v>88</v>
      </c>
      <c r="D409" s="85">
        <v>0</v>
      </c>
      <c r="E409" s="86">
        <f>+E404</f>
        <v>0.9</v>
      </c>
      <c r="F409" s="85">
        <f>+D409*E409</f>
        <v>0</v>
      </c>
      <c r="G409" s="85">
        <v>60301171</v>
      </c>
      <c r="H409" s="86">
        <f>+H404</f>
        <v>0.1</v>
      </c>
      <c r="I409" s="85">
        <f>+G409*H409</f>
        <v>6030117.1000000006</v>
      </c>
      <c r="J409" s="85">
        <f>+F409+I409</f>
        <v>6030117.1000000006</v>
      </c>
      <c r="K409" s="429"/>
    </row>
    <row r="410" spans="1:11">
      <c r="D410" s="88"/>
      <c r="E410" s="86"/>
      <c r="F410" s="89"/>
      <c r="G410" s="89"/>
      <c r="H410" s="86"/>
      <c r="I410" s="89"/>
      <c r="J410" s="91"/>
      <c r="K410" s="92"/>
    </row>
    <row r="411" spans="1:11" ht="15.75" thickBot="1">
      <c r="A411" s="427" t="s">
        <v>89</v>
      </c>
      <c r="B411" s="428" t="s">
        <v>77</v>
      </c>
      <c r="C411" s="93" t="s">
        <v>87</v>
      </c>
      <c r="D411" s="85">
        <f>+D408</f>
        <v>71487953</v>
      </c>
      <c r="E411" s="86">
        <f>+E409</f>
        <v>0.9</v>
      </c>
      <c r="F411" s="85">
        <f>+D411*E411</f>
        <v>64339157.700000003</v>
      </c>
      <c r="G411" s="85">
        <f>+G408</f>
        <v>4131948687</v>
      </c>
      <c r="H411" s="86">
        <f>+H409</f>
        <v>0.1</v>
      </c>
      <c r="I411" s="85">
        <f>+G411*H411</f>
        <v>413194868.70000005</v>
      </c>
      <c r="J411" s="85">
        <f>+F411+I411</f>
        <v>477534026.40000004</v>
      </c>
      <c r="K411" s="429">
        <f>+J411/J412</f>
        <v>0.41159921128237026</v>
      </c>
    </row>
    <row r="412" spans="1:11" ht="15.75" thickTop="1">
      <c r="A412" s="427"/>
      <c r="B412" s="428"/>
      <c r="C412" s="94" t="s">
        <v>90</v>
      </c>
      <c r="D412" s="85">
        <f>+D404-D403</f>
        <v>146461681</v>
      </c>
      <c r="E412" s="86">
        <f>+E411</f>
        <v>0.9</v>
      </c>
      <c r="F412" s="85">
        <f>+D412*E412</f>
        <v>131815512.90000001</v>
      </c>
      <c r="G412" s="85">
        <f>+G404-G403</f>
        <v>10283762788</v>
      </c>
      <c r="H412" s="86">
        <f>+H411</f>
        <v>0.1</v>
      </c>
      <c r="I412" s="85">
        <f>+G412*H412</f>
        <v>1028376278.8000001</v>
      </c>
      <c r="J412" s="85">
        <f>+F412+I412</f>
        <v>1160191791.7</v>
      </c>
      <c r="K412" s="429"/>
    </row>
    <row r="413" spans="1:11">
      <c r="D413" s="88"/>
      <c r="E413" s="86"/>
      <c r="F413" s="89"/>
      <c r="G413" s="89"/>
      <c r="H413" s="86"/>
      <c r="I413" s="89"/>
      <c r="J413" s="91"/>
      <c r="K413" s="92"/>
    </row>
    <row r="414" spans="1:11" ht="15.75" thickBot="1">
      <c r="A414" s="427" t="s">
        <v>91</v>
      </c>
      <c r="B414" s="428" t="s">
        <v>77</v>
      </c>
      <c r="C414" s="93" t="s">
        <v>87</v>
      </c>
      <c r="D414" s="85">
        <f>+D411</f>
        <v>71487953</v>
      </c>
      <c r="E414" s="86">
        <f>+E412</f>
        <v>0.9</v>
      </c>
      <c r="F414" s="85">
        <f>+D414*E414</f>
        <v>64339157.700000003</v>
      </c>
      <c r="G414" s="85">
        <f>+G411</f>
        <v>4131948687</v>
      </c>
      <c r="H414" s="86">
        <f>+H412</f>
        <v>0.1</v>
      </c>
      <c r="I414" s="85">
        <f>+G414*H414</f>
        <v>413194868.70000005</v>
      </c>
      <c r="J414" s="85">
        <f>+F414+I414</f>
        <v>477534026.40000004</v>
      </c>
      <c r="K414" s="429">
        <f>+J414/J415</f>
        <v>0.32264191288462168</v>
      </c>
    </row>
    <row r="415" spans="1:11" ht="15.75" thickTop="1">
      <c r="A415" s="427"/>
      <c r="B415" s="428"/>
      <c r="C415" s="94" t="s">
        <v>92</v>
      </c>
      <c r="D415" s="85">
        <f>+D404</f>
        <v>289758000</v>
      </c>
      <c r="E415" s="86">
        <f>+E414</f>
        <v>0.9</v>
      </c>
      <c r="F415" s="85">
        <f>+D415*E415</f>
        <v>260782200</v>
      </c>
      <c r="G415" s="85">
        <f>+G404</f>
        <v>12192921714</v>
      </c>
      <c r="H415" s="86">
        <f>+H414</f>
        <v>0.1</v>
      </c>
      <c r="I415" s="85">
        <f>+G415*H415</f>
        <v>1219292171.4000001</v>
      </c>
      <c r="J415" s="85">
        <f>+F415+I415</f>
        <v>1480074371.4000001</v>
      </c>
      <c r="K415" s="429"/>
    </row>
    <row r="418" spans="1:14" ht="17.25" customHeight="1">
      <c r="D418" s="446" t="str">
        <f>+[2]INDICADORES!E67</f>
        <v>CONSORCIO YOSHER</v>
      </c>
      <c r="E418" s="447"/>
      <c r="F418" s="447"/>
      <c r="G418" s="447"/>
      <c r="H418" s="447"/>
      <c r="I418" s="447"/>
      <c r="J418" s="447"/>
      <c r="K418" s="447"/>
      <c r="L418" s="448"/>
      <c r="M418" s="435" t="s">
        <v>132</v>
      </c>
      <c r="N418" s="433" t="s">
        <v>133</v>
      </c>
    </row>
    <row r="419" spans="1:14">
      <c r="D419" s="434" t="s">
        <v>185</v>
      </c>
      <c r="E419" s="434"/>
      <c r="F419" s="434"/>
      <c r="G419" s="434" t="s">
        <v>186</v>
      </c>
      <c r="H419" s="434"/>
      <c r="I419" s="434"/>
      <c r="J419" s="434" t="s">
        <v>187</v>
      </c>
      <c r="K419" s="434"/>
      <c r="L419" s="434"/>
      <c r="M419" s="436"/>
      <c r="N419" s="433"/>
    </row>
    <row r="420" spans="1:14">
      <c r="D420" s="434"/>
      <c r="E420" s="434"/>
      <c r="F420" s="434"/>
      <c r="G420" s="434"/>
      <c r="H420" s="434"/>
      <c r="I420" s="434"/>
      <c r="J420" s="434"/>
      <c r="K420" s="434"/>
      <c r="L420" s="434"/>
      <c r="M420" s="436"/>
      <c r="N420" s="433"/>
    </row>
    <row r="421" spans="1:14">
      <c r="C421" s="79" t="s">
        <v>135</v>
      </c>
      <c r="D421" s="438" t="s">
        <v>167</v>
      </c>
      <c r="E421" s="439"/>
      <c r="F421" s="440"/>
      <c r="G421" s="438" t="s">
        <v>167</v>
      </c>
      <c r="H421" s="439"/>
      <c r="I421" s="440"/>
      <c r="J421" s="438" t="s">
        <v>163</v>
      </c>
      <c r="K421" s="439"/>
      <c r="L421" s="440"/>
      <c r="M421" s="436"/>
      <c r="N421" s="433"/>
    </row>
    <row r="422" spans="1:14" ht="34.5">
      <c r="D422" s="269" t="s">
        <v>137</v>
      </c>
      <c r="E422" s="80" t="s">
        <v>138</v>
      </c>
      <c r="F422" s="81" t="s">
        <v>139</v>
      </c>
      <c r="G422" s="81" t="s">
        <v>137</v>
      </c>
      <c r="H422" s="80" t="s">
        <v>138</v>
      </c>
      <c r="I422" s="81" t="s">
        <v>139</v>
      </c>
      <c r="J422" s="81" t="s">
        <v>137</v>
      </c>
      <c r="K422" s="82" t="s">
        <v>138</v>
      </c>
      <c r="L422" s="81" t="s">
        <v>139</v>
      </c>
      <c r="M422" s="437"/>
      <c r="N422" s="433"/>
    </row>
    <row r="423" spans="1:14" ht="15.75" thickBot="1">
      <c r="A423" s="427" t="s">
        <v>76</v>
      </c>
      <c r="B423" s="428" t="s">
        <v>77</v>
      </c>
      <c r="C423" s="84" t="s">
        <v>78</v>
      </c>
      <c r="D423" s="85">
        <v>24125000</v>
      </c>
      <c r="E423" s="86">
        <v>0.1</v>
      </c>
      <c r="F423" s="85">
        <f>+D423*E423</f>
        <v>2412500</v>
      </c>
      <c r="G423" s="85">
        <v>661071912</v>
      </c>
      <c r="H423" s="86">
        <v>0.5</v>
      </c>
      <c r="I423" s="85">
        <f>+G423*H423</f>
        <v>330535956</v>
      </c>
      <c r="J423" s="85">
        <v>4619555266</v>
      </c>
      <c r="K423" s="86">
        <v>0.4</v>
      </c>
      <c r="L423" s="85">
        <f>+J423*K423</f>
        <v>1847822106.4000001</v>
      </c>
      <c r="M423" s="85">
        <f>+F423+I423+L423</f>
        <v>2180770562.4000001</v>
      </c>
      <c r="N423" s="430">
        <f>+M423/M424</f>
        <v>6.4990595755009641</v>
      </c>
    </row>
    <row r="424" spans="1:14" ht="15.75" thickTop="1">
      <c r="A424" s="427"/>
      <c r="B424" s="428"/>
      <c r="C424" s="76" t="s">
        <v>80</v>
      </c>
      <c r="D424" s="85">
        <v>2225000</v>
      </c>
      <c r="E424" s="86">
        <f>+E423</f>
        <v>0.1</v>
      </c>
      <c r="F424" s="85">
        <f>+D424*E424</f>
        <v>222500</v>
      </c>
      <c r="G424" s="85">
        <v>66752853</v>
      </c>
      <c r="H424" s="86">
        <f>+H423</f>
        <v>0.5</v>
      </c>
      <c r="I424" s="85">
        <f>+G424*H424</f>
        <v>33376426.5</v>
      </c>
      <c r="J424" s="85">
        <v>754881962</v>
      </c>
      <c r="K424" s="86">
        <f>+K423</f>
        <v>0.4</v>
      </c>
      <c r="L424" s="85">
        <f>+J424*K424</f>
        <v>301952784.80000001</v>
      </c>
      <c r="M424" s="85">
        <f>+F424+I424+L424</f>
        <v>335551711.30000001</v>
      </c>
      <c r="N424" s="430"/>
    </row>
    <row r="425" spans="1:14">
      <c r="D425" s="88"/>
      <c r="E425" s="89"/>
      <c r="F425" s="89"/>
      <c r="G425" s="88"/>
      <c r="H425" s="89"/>
      <c r="I425" s="89"/>
      <c r="J425" s="89"/>
      <c r="K425" s="86"/>
      <c r="L425" s="89"/>
      <c r="M425" s="91"/>
      <c r="N425" s="92"/>
    </row>
    <row r="426" spans="1:14" ht="15.75" thickBot="1">
      <c r="A426" s="427" t="s">
        <v>81</v>
      </c>
      <c r="B426" s="428" t="s">
        <v>77</v>
      </c>
      <c r="C426" s="93" t="s">
        <v>82</v>
      </c>
      <c r="D426" s="85">
        <f>+D424</f>
        <v>2225000</v>
      </c>
      <c r="E426" s="86">
        <f>+E424</f>
        <v>0.1</v>
      </c>
      <c r="F426" s="85">
        <f>+D426*E426</f>
        <v>222500</v>
      </c>
      <c r="G426" s="85">
        <v>66752853</v>
      </c>
      <c r="H426" s="86">
        <f>+H424</f>
        <v>0.5</v>
      </c>
      <c r="I426" s="85">
        <f>+G426*H426</f>
        <v>33376426.5</v>
      </c>
      <c r="J426" s="85">
        <v>2794704664</v>
      </c>
      <c r="K426" s="86">
        <f>+K424</f>
        <v>0.4</v>
      </c>
      <c r="L426" s="85">
        <f>+J426*K426</f>
        <v>1117881865.6000001</v>
      </c>
      <c r="M426" s="85">
        <f>+F426+I426+L426</f>
        <v>1151480792.1000001</v>
      </c>
      <c r="N426" s="429">
        <f>+M426/M427</f>
        <v>0.52681812558526819</v>
      </c>
    </row>
    <row r="427" spans="1:14" ht="15.75" thickTop="1">
      <c r="A427" s="427"/>
      <c r="B427" s="428"/>
      <c r="C427" s="94" t="s">
        <v>83</v>
      </c>
      <c r="D427" s="85">
        <v>27225000</v>
      </c>
      <c r="E427" s="86">
        <f>+E426</f>
        <v>0.1</v>
      </c>
      <c r="F427" s="85">
        <f>+D427*E427</f>
        <v>2722500</v>
      </c>
      <c r="G427" s="85">
        <v>670365512</v>
      </c>
      <c r="H427" s="86">
        <f>+H426</f>
        <v>0.5</v>
      </c>
      <c r="I427" s="85">
        <f>+G427*H427</f>
        <v>335182756</v>
      </c>
      <c r="J427" s="85">
        <v>4619555266</v>
      </c>
      <c r="K427" s="86">
        <f>+K426</f>
        <v>0.4</v>
      </c>
      <c r="L427" s="85">
        <f>+J427*K427</f>
        <v>1847822106.4000001</v>
      </c>
      <c r="M427" s="85">
        <f>+F427+I427+L427</f>
        <v>2185727362.4000001</v>
      </c>
      <c r="N427" s="429"/>
    </row>
    <row r="428" spans="1:14">
      <c r="D428" s="88"/>
      <c r="E428" s="86"/>
      <c r="F428" s="89"/>
      <c r="G428" s="88"/>
      <c r="H428" s="86"/>
      <c r="I428" s="89"/>
      <c r="J428" s="89"/>
      <c r="K428" s="86"/>
      <c r="L428" s="89"/>
      <c r="M428" s="91"/>
      <c r="N428" s="92"/>
    </row>
    <row r="429" spans="1:14" ht="19.5">
      <c r="A429" s="76" t="s">
        <v>84</v>
      </c>
      <c r="B429" s="76" t="s">
        <v>140</v>
      </c>
      <c r="C429" s="95" t="s">
        <v>85</v>
      </c>
      <c r="D429" s="85"/>
      <c r="E429" s="85"/>
      <c r="F429" s="85">
        <f>+D423-D424</f>
        <v>21900000</v>
      </c>
      <c r="G429" s="85"/>
      <c r="H429" s="86"/>
      <c r="I429" s="85">
        <f>+G423-G424</f>
        <v>594319059</v>
      </c>
      <c r="J429" s="85"/>
      <c r="K429" s="86"/>
      <c r="L429" s="85">
        <f>+J423-J424</f>
        <v>3864673304</v>
      </c>
      <c r="M429" s="85">
        <f>+F429+I429+L429</f>
        <v>4480892363</v>
      </c>
      <c r="N429" s="92">
        <f>+M429</f>
        <v>4480892363</v>
      </c>
    </row>
    <row r="430" spans="1:14">
      <c r="D430" s="88"/>
      <c r="E430" s="86"/>
      <c r="F430" s="89"/>
      <c r="G430" s="88"/>
      <c r="H430" s="86"/>
      <c r="I430" s="89"/>
      <c r="J430" s="89"/>
      <c r="K430" s="86"/>
      <c r="L430" s="89"/>
      <c r="M430" s="91"/>
      <c r="N430" s="92"/>
    </row>
    <row r="431" spans="1:14" ht="15.75" thickBot="1">
      <c r="A431" s="427" t="s">
        <v>86</v>
      </c>
      <c r="B431" s="428" t="s">
        <v>77</v>
      </c>
      <c r="C431" s="84" t="s">
        <v>87</v>
      </c>
      <c r="D431" s="85">
        <v>20000000</v>
      </c>
      <c r="E431" s="86">
        <f>+E427</f>
        <v>0.1</v>
      </c>
      <c r="F431" s="85">
        <f>+D431*E431</f>
        <v>2000000</v>
      </c>
      <c r="G431" s="85">
        <v>103911598</v>
      </c>
      <c r="H431" s="86">
        <f>+H427</f>
        <v>0.5</v>
      </c>
      <c r="I431" s="85">
        <f>+G431*H431</f>
        <v>51955799</v>
      </c>
      <c r="J431" s="85">
        <v>477255815</v>
      </c>
      <c r="K431" s="86">
        <f>+K427</f>
        <v>0.4</v>
      </c>
      <c r="L431" s="85">
        <f>+J431*K431</f>
        <v>190902326</v>
      </c>
      <c r="M431" s="85">
        <f>+F431+I431+L431</f>
        <v>244858125</v>
      </c>
      <c r="N431" s="430">
        <f>+M431/M432</f>
        <v>17.826190905289646</v>
      </c>
    </row>
    <row r="432" spans="1:14" ht="15.75" thickTop="1">
      <c r="A432" s="427"/>
      <c r="B432" s="428"/>
      <c r="C432" s="76" t="s">
        <v>88</v>
      </c>
      <c r="D432" s="85">
        <v>0</v>
      </c>
      <c r="E432" s="86">
        <f>+E427</f>
        <v>0.1</v>
      </c>
      <c r="F432" s="85">
        <f>+D432*E432</f>
        <v>0</v>
      </c>
      <c r="G432" s="85">
        <v>1374939</v>
      </c>
      <c r="H432" s="86">
        <f>+H427</f>
        <v>0.5</v>
      </c>
      <c r="I432" s="85">
        <f>+G432*H432</f>
        <v>687469.5</v>
      </c>
      <c r="J432" s="85">
        <v>32620985</v>
      </c>
      <c r="K432" s="86">
        <f>+K427</f>
        <v>0.4</v>
      </c>
      <c r="L432" s="85">
        <f>+J432*K432</f>
        <v>13048394</v>
      </c>
      <c r="M432" s="85">
        <f>+F432+I432+L432</f>
        <v>13735863.5</v>
      </c>
      <c r="N432" s="430"/>
    </row>
    <row r="433" spans="1:14">
      <c r="D433" s="88"/>
      <c r="E433" s="86"/>
      <c r="F433" s="89"/>
      <c r="G433" s="88"/>
      <c r="H433" s="86"/>
      <c r="I433" s="89"/>
      <c r="J433" s="89"/>
      <c r="K433" s="86"/>
      <c r="L433" s="89"/>
      <c r="M433" s="91"/>
      <c r="N433" s="92"/>
    </row>
    <row r="434" spans="1:14" ht="15.75" thickBot="1">
      <c r="A434" s="427" t="s">
        <v>89</v>
      </c>
      <c r="B434" s="428" t="s">
        <v>77</v>
      </c>
      <c r="C434" s="93" t="s">
        <v>87</v>
      </c>
      <c r="D434" s="85">
        <f>+D431</f>
        <v>20000000</v>
      </c>
      <c r="E434" s="86">
        <f>+E432</f>
        <v>0.1</v>
      </c>
      <c r="F434" s="85">
        <f>+D434*E434</f>
        <v>2000000</v>
      </c>
      <c r="G434" s="85">
        <f>+G431</f>
        <v>103911598</v>
      </c>
      <c r="H434" s="86">
        <f>+H432</f>
        <v>0.5</v>
      </c>
      <c r="I434" s="85">
        <f>+G434*H434</f>
        <v>51955799</v>
      </c>
      <c r="J434" s="85">
        <f>+J431</f>
        <v>477255815</v>
      </c>
      <c r="K434" s="86">
        <f>+K432</f>
        <v>0.4</v>
      </c>
      <c r="L434" s="85">
        <f>+J434*K434</f>
        <v>190902326</v>
      </c>
      <c r="M434" s="85">
        <f>+F434+I434+L434</f>
        <v>244858125</v>
      </c>
      <c r="N434" s="429">
        <f>+M434/M435</f>
        <v>0.23675024122050017</v>
      </c>
    </row>
    <row r="435" spans="1:14" ht="15.75" thickTop="1">
      <c r="A435" s="427"/>
      <c r="B435" s="428"/>
      <c r="C435" s="94" t="s">
        <v>90</v>
      </c>
      <c r="D435" s="85">
        <f>+D427-D426</f>
        <v>25000000</v>
      </c>
      <c r="E435" s="86">
        <f>+E434</f>
        <v>0.1</v>
      </c>
      <c r="F435" s="85">
        <f>+D435*E435</f>
        <v>2500000</v>
      </c>
      <c r="G435" s="85">
        <f>+G427-G426</f>
        <v>603612659</v>
      </c>
      <c r="H435" s="86">
        <f>+H434</f>
        <v>0.5</v>
      </c>
      <c r="I435" s="85">
        <f>+G435*H435</f>
        <v>301806329.5</v>
      </c>
      <c r="J435" s="85">
        <f>+J427-J426</f>
        <v>1824850602</v>
      </c>
      <c r="K435" s="86">
        <f>+K434</f>
        <v>0.4</v>
      </c>
      <c r="L435" s="85">
        <f>+J435*K435</f>
        <v>729940240.80000007</v>
      </c>
      <c r="M435" s="85">
        <f>+F435+I435+L435</f>
        <v>1034246570.3000001</v>
      </c>
      <c r="N435" s="429"/>
    </row>
    <row r="436" spans="1:14">
      <c r="D436" s="88"/>
      <c r="E436" s="86"/>
      <c r="F436" s="89"/>
      <c r="G436" s="88"/>
      <c r="H436" s="86"/>
      <c r="I436" s="89"/>
      <c r="J436" s="89"/>
      <c r="K436" s="86"/>
      <c r="L436" s="89"/>
      <c r="M436" s="91"/>
      <c r="N436" s="92"/>
    </row>
    <row r="437" spans="1:14" ht="15.75" thickBot="1">
      <c r="A437" s="427" t="s">
        <v>91</v>
      </c>
      <c r="B437" s="428" t="s">
        <v>77</v>
      </c>
      <c r="C437" s="93" t="s">
        <v>87</v>
      </c>
      <c r="D437" s="85">
        <f>+D434</f>
        <v>20000000</v>
      </c>
      <c r="E437" s="86">
        <f>+E435</f>
        <v>0.1</v>
      </c>
      <c r="F437" s="85">
        <f>+D437*E437</f>
        <v>2000000</v>
      </c>
      <c r="G437" s="85">
        <f>+G434</f>
        <v>103911598</v>
      </c>
      <c r="H437" s="86">
        <f>+H435</f>
        <v>0.5</v>
      </c>
      <c r="I437" s="85">
        <f>+G437*H437</f>
        <v>51955799</v>
      </c>
      <c r="J437" s="85">
        <f>+J434</f>
        <v>477255815</v>
      </c>
      <c r="K437" s="86">
        <f>+K435</f>
        <v>0.4</v>
      </c>
      <c r="L437" s="85">
        <f>+J437*K437</f>
        <v>190902326</v>
      </c>
      <c r="M437" s="85">
        <f>+F437+I437+L437</f>
        <v>244858125</v>
      </c>
      <c r="N437" s="429">
        <f>+M437/M438</f>
        <v>0.1120259229088562</v>
      </c>
    </row>
    <row r="438" spans="1:14" ht="15.75" thickTop="1">
      <c r="A438" s="427"/>
      <c r="B438" s="428"/>
      <c r="C438" s="94" t="s">
        <v>92</v>
      </c>
      <c r="D438" s="85">
        <f>+D427</f>
        <v>27225000</v>
      </c>
      <c r="E438" s="86">
        <f>+E437</f>
        <v>0.1</v>
      </c>
      <c r="F438" s="85">
        <f>+D438*E438</f>
        <v>2722500</v>
      </c>
      <c r="G438" s="85">
        <f>+G427</f>
        <v>670365512</v>
      </c>
      <c r="H438" s="86">
        <f>+H437</f>
        <v>0.5</v>
      </c>
      <c r="I438" s="85">
        <f>+G438*H438</f>
        <v>335182756</v>
      </c>
      <c r="J438" s="85">
        <f>+J427</f>
        <v>4619555266</v>
      </c>
      <c r="K438" s="86">
        <f>+K437</f>
        <v>0.4</v>
      </c>
      <c r="L438" s="85">
        <f>+J438*K438</f>
        <v>1847822106.4000001</v>
      </c>
      <c r="M438" s="85">
        <f>+F438+I438+L438</f>
        <v>2185727362.4000001</v>
      </c>
      <c r="N438" s="429"/>
    </row>
    <row r="441" spans="1:14">
      <c r="D441" s="431" t="str">
        <f>+[2]OFERENTES!A20</f>
        <v>CONSORCIO PMB</v>
      </c>
      <c r="E441" s="432"/>
      <c r="F441" s="432"/>
      <c r="G441" s="432"/>
      <c r="H441" s="432"/>
      <c r="I441" s="432"/>
      <c r="J441" s="432"/>
      <c r="K441" s="433" t="s">
        <v>133</v>
      </c>
    </row>
    <row r="442" spans="1:14">
      <c r="D442" s="434" t="s">
        <v>655</v>
      </c>
      <c r="E442" s="434"/>
      <c r="F442" s="434"/>
      <c r="G442" s="434" t="s">
        <v>188</v>
      </c>
      <c r="H442" s="434"/>
      <c r="I442" s="434"/>
      <c r="J442" s="435" t="s">
        <v>132</v>
      </c>
      <c r="K442" s="433"/>
    </row>
    <row r="443" spans="1:14">
      <c r="D443" s="434"/>
      <c r="E443" s="434"/>
      <c r="F443" s="434"/>
      <c r="G443" s="434"/>
      <c r="H443" s="434"/>
      <c r="I443" s="434"/>
      <c r="J443" s="436"/>
      <c r="K443" s="433"/>
    </row>
    <row r="444" spans="1:14">
      <c r="C444" s="79" t="s">
        <v>135</v>
      </c>
      <c r="D444" s="438" t="s">
        <v>143</v>
      </c>
      <c r="E444" s="439"/>
      <c r="F444" s="440"/>
      <c r="G444" s="438" t="s">
        <v>143</v>
      </c>
      <c r="H444" s="439"/>
      <c r="I444" s="440"/>
      <c r="J444" s="436"/>
      <c r="K444" s="433"/>
    </row>
    <row r="445" spans="1:14" ht="34.5">
      <c r="D445" s="269" t="s">
        <v>137</v>
      </c>
      <c r="E445" s="80" t="s">
        <v>138</v>
      </c>
      <c r="F445" s="81" t="s">
        <v>139</v>
      </c>
      <c r="G445" s="81" t="s">
        <v>137</v>
      </c>
      <c r="H445" s="80" t="s">
        <v>138</v>
      </c>
      <c r="I445" s="81" t="s">
        <v>139</v>
      </c>
      <c r="J445" s="437"/>
      <c r="K445" s="433"/>
    </row>
    <row r="446" spans="1:14" ht="15.75" thickBot="1">
      <c r="A446" s="427" t="s">
        <v>76</v>
      </c>
      <c r="B446" s="428" t="s">
        <v>77</v>
      </c>
      <c r="C446" s="84" t="s">
        <v>78</v>
      </c>
      <c r="D446" s="85">
        <v>14843719570</v>
      </c>
      <c r="E446" s="86">
        <v>0.7</v>
      </c>
      <c r="F446" s="85">
        <f>+D446*E446</f>
        <v>10390603699</v>
      </c>
      <c r="G446" s="85">
        <v>8442149174</v>
      </c>
      <c r="H446" s="86">
        <v>0.3</v>
      </c>
      <c r="I446" s="85">
        <f>+G446*H446</f>
        <v>2532644752.1999998</v>
      </c>
      <c r="J446" s="85">
        <f>+F446+I446</f>
        <v>12923248451.200001</v>
      </c>
      <c r="K446" s="430">
        <f>+J446/J447</f>
        <v>31.456058080166887</v>
      </c>
    </row>
    <row r="447" spans="1:14" ht="15.75" thickTop="1">
      <c r="A447" s="427"/>
      <c r="B447" s="428"/>
      <c r="C447" s="76" t="s">
        <v>80</v>
      </c>
      <c r="D447" s="85">
        <v>571848102</v>
      </c>
      <c r="E447" s="86">
        <f>+E446</f>
        <v>0.7</v>
      </c>
      <c r="F447" s="85">
        <f>+D447*E447</f>
        <v>400293671.39999998</v>
      </c>
      <c r="G447" s="85">
        <v>35137638</v>
      </c>
      <c r="H447" s="86">
        <f>+H446</f>
        <v>0.3</v>
      </c>
      <c r="I447" s="85">
        <f>+G447*H447</f>
        <v>10541291.4</v>
      </c>
      <c r="J447" s="85">
        <f>+F447+I447</f>
        <v>410834962.79999995</v>
      </c>
      <c r="K447" s="430"/>
    </row>
    <row r="448" spans="1:14">
      <c r="D448" s="88"/>
      <c r="E448" s="89"/>
      <c r="F448" s="89"/>
      <c r="G448" s="89"/>
      <c r="H448" s="89"/>
      <c r="I448" s="89"/>
      <c r="J448" s="91"/>
      <c r="K448" s="92"/>
    </row>
    <row r="449" spans="1:14" ht="15.75" thickBot="1">
      <c r="A449" s="427" t="s">
        <v>81</v>
      </c>
      <c r="B449" s="428" t="s">
        <v>77</v>
      </c>
      <c r="C449" s="93" t="s">
        <v>82</v>
      </c>
      <c r="D449" s="85">
        <v>1119867084</v>
      </c>
      <c r="E449" s="86">
        <f>+E447</f>
        <v>0.7</v>
      </c>
      <c r="F449" s="85">
        <f>+D449*E449</f>
        <v>783906958.79999995</v>
      </c>
      <c r="G449" s="85">
        <v>1552213617</v>
      </c>
      <c r="H449" s="86">
        <f>+H447</f>
        <v>0.3</v>
      </c>
      <c r="I449" s="85">
        <f>+G449*H449</f>
        <v>465664085.09999996</v>
      </c>
      <c r="J449" s="85">
        <f>+F449+I449</f>
        <v>1249571043.8999999</v>
      </c>
      <c r="K449" s="429">
        <f>+J449/J450</f>
        <v>9.1971867014962017E-2</v>
      </c>
    </row>
    <row r="450" spans="1:14" ht="15.75" thickTop="1">
      <c r="A450" s="427"/>
      <c r="B450" s="428"/>
      <c r="C450" s="94" t="s">
        <v>83</v>
      </c>
      <c r="D450" s="85">
        <v>15712442277</v>
      </c>
      <c r="E450" s="86">
        <f>+E449</f>
        <v>0.7</v>
      </c>
      <c r="F450" s="85">
        <f>+D450*E450</f>
        <v>10998709593.9</v>
      </c>
      <c r="G450" s="85">
        <v>8625796689</v>
      </c>
      <c r="H450" s="86">
        <f>+H449</f>
        <v>0.3</v>
      </c>
      <c r="I450" s="85">
        <f>+G450*H450</f>
        <v>2587739006.6999998</v>
      </c>
      <c r="J450" s="85">
        <f>+F450+I450</f>
        <v>13586448600.599998</v>
      </c>
      <c r="K450" s="429"/>
    </row>
    <row r="451" spans="1:14">
      <c r="D451" s="88"/>
      <c r="E451" s="86"/>
      <c r="F451" s="89"/>
      <c r="G451" s="89"/>
      <c r="H451" s="86"/>
      <c r="I451" s="89"/>
      <c r="J451" s="91"/>
      <c r="K451" s="92"/>
    </row>
    <row r="452" spans="1:14" ht="19.5">
      <c r="A452" s="76" t="s">
        <v>84</v>
      </c>
      <c r="B452" s="76" t="s">
        <v>140</v>
      </c>
      <c r="C452" s="95" t="s">
        <v>85</v>
      </c>
      <c r="D452" s="85"/>
      <c r="E452" s="85"/>
      <c r="F452" s="85">
        <f>+D446-D447</f>
        <v>14271871468</v>
      </c>
      <c r="G452" s="85"/>
      <c r="H452" s="86"/>
      <c r="I452" s="85">
        <f>+G446-G447</f>
        <v>8407011536</v>
      </c>
      <c r="J452" s="85">
        <f>+F452+I452</f>
        <v>22678883004</v>
      </c>
      <c r="K452" s="181">
        <f>+F452+I452</f>
        <v>22678883004</v>
      </c>
    </row>
    <row r="453" spans="1:14">
      <c r="D453" s="88"/>
      <c r="E453" s="86"/>
      <c r="F453" s="89"/>
      <c r="G453" s="89"/>
      <c r="H453" s="86"/>
      <c r="I453" s="89"/>
      <c r="J453" s="91"/>
      <c r="K453" s="92"/>
    </row>
    <row r="454" spans="1:14" ht="15.75" thickBot="1">
      <c r="A454" s="427" t="s">
        <v>86</v>
      </c>
      <c r="B454" s="428" t="s">
        <v>77</v>
      </c>
      <c r="C454" s="84" t="s">
        <v>87</v>
      </c>
      <c r="D454" s="85">
        <v>555502423</v>
      </c>
      <c r="E454" s="86">
        <f>+E450</f>
        <v>0.7</v>
      </c>
      <c r="F454" s="85">
        <f>+D454*E454</f>
        <v>388851696.09999996</v>
      </c>
      <c r="G454" s="85">
        <v>579693230</v>
      </c>
      <c r="H454" s="86">
        <f>+H450</f>
        <v>0.3</v>
      </c>
      <c r="I454" s="85">
        <f>+G454*H454</f>
        <v>173907969</v>
      </c>
      <c r="J454" s="85">
        <f>+F454+I454</f>
        <v>562759665.0999999</v>
      </c>
      <c r="K454" s="429">
        <f>+J454/J455</f>
        <v>8773.7216170498032</v>
      </c>
    </row>
    <row r="455" spans="1:14" ht="15.75" thickTop="1">
      <c r="A455" s="427"/>
      <c r="B455" s="428"/>
      <c r="C455" s="76" t="s">
        <v>88</v>
      </c>
      <c r="D455" s="85">
        <v>73716</v>
      </c>
      <c r="E455" s="86">
        <f>+E450</f>
        <v>0.7</v>
      </c>
      <c r="F455" s="85">
        <f>+D455*E455</f>
        <v>51601.2</v>
      </c>
      <c r="G455" s="85">
        <v>41801</v>
      </c>
      <c r="H455" s="86">
        <f>+H450</f>
        <v>0.3</v>
      </c>
      <c r="I455" s="85">
        <f>+G455*H455</f>
        <v>12540.3</v>
      </c>
      <c r="J455" s="85">
        <f>+F455+I455</f>
        <v>64141.5</v>
      </c>
      <c r="K455" s="429"/>
    </row>
    <row r="456" spans="1:14">
      <c r="D456" s="88"/>
      <c r="E456" s="86"/>
      <c r="F456" s="89"/>
      <c r="G456" s="89"/>
      <c r="H456" s="86"/>
      <c r="I456" s="89"/>
      <c r="J456" s="91"/>
      <c r="K456" s="92"/>
    </row>
    <row r="457" spans="1:14" ht="15.75" thickBot="1">
      <c r="A457" s="427" t="s">
        <v>89</v>
      </c>
      <c r="B457" s="428" t="s">
        <v>77</v>
      </c>
      <c r="C457" s="93" t="s">
        <v>87</v>
      </c>
      <c r="D457" s="85">
        <f>+D454</f>
        <v>555502423</v>
      </c>
      <c r="E457" s="86">
        <f>+E455</f>
        <v>0.7</v>
      </c>
      <c r="F457" s="85">
        <f>+D457*E457</f>
        <v>388851696.09999996</v>
      </c>
      <c r="G457" s="85">
        <f>+G454</f>
        <v>579693230</v>
      </c>
      <c r="H457" s="86">
        <f>+H455</f>
        <v>0.3</v>
      </c>
      <c r="I457" s="85">
        <f>+G457*H457</f>
        <v>173907969</v>
      </c>
      <c r="J457" s="85">
        <f>+F457+I457</f>
        <v>562759665.0999999</v>
      </c>
      <c r="K457" s="429">
        <f>+J457/J458</f>
        <v>4.5616053374410964E-2</v>
      </c>
    </row>
    <row r="458" spans="1:14" ht="15.75" thickTop="1">
      <c r="A458" s="427"/>
      <c r="B458" s="428"/>
      <c r="C458" s="94" t="s">
        <v>90</v>
      </c>
      <c r="D458" s="85">
        <f>+D450-D449</f>
        <v>14592575193</v>
      </c>
      <c r="E458" s="86">
        <f>+E457</f>
        <v>0.7</v>
      </c>
      <c r="F458" s="85">
        <f>+D458*E458</f>
        <v>10214802635.099998</v>
      </c>
      <c r="G458" s="85">
        <f>+G450-G449</f>
        <v>7073583072</v>
      </c>
      <c r="H458" s="86">
        <f>+H457</f>
        <v>0.3</v>
      </c>
      <c r="I458" s="85">
        <f>+G458*H458</f>
        <v>2122074921.5999999</v>
      </c>
      <c r="J458" s="85">
        <f>+F458+I458</f>
        <v>12336877556.699999</v>
      </c>
      <c r="K458" s="429"/>
    </row>
    <row r="459" spans="1:14">
      <c r="D459" s="88"/>
      <c r="E459" s="86"/>
      <c r="F459" s="89"/>
      <c r="G459" s="89"/>
      <c r="H459" s="86"/>
      <c r="I459" s="89"/>
      <c r="J459" s="91"/>
      <c r="K459" s="92"/>
    </row>
    <row r="460" spans="1:14" ht="15.75" thickBot="1">
      <c r="A460" s="427" t="s">
        <v>91</v>
      </c>
      <c r="B460" s="428" t="s">
        <v>77</v>
      </c>
      <c r="C460" s="93" t="s">
        <v>87</v>
      </c>
      <c r="D460" s="85">
        <f>+D457</f>
        <v>555502423</v>
      </c>
      <c r="E460" s="86">
        <f>+E458</f>
        <v>0.7</v>
      </c>
      <c r="F460" s="85">
        <f>+D460*E460</f>
        <v>388851696.09999996</v>
      </c>
      <c r="G460" s="85">
        <f>+G457</f>
        <v>579693230</v>
      </c>
      <c r="H460" s="86">
        <f>+H458</f>
        <v>0.3</v>
      </c>
      <c r="I460" s="85">
        <f>+G460*H460</f>
        <v>173907969</v>
      </c>
      <c r="J460" s="85">
        <f>+F460+I460</f>
        <v>562759665.0999999</v>
      </c>
      <c r="K460" s="429">
        <f>+J460/J461</f>
        <v>4.1420659779712231E-2</v>
      </c>
    </row>
    <row r="461" spans="1:14" ht="15.75" thickTop="1">
      <c r="A461" s="427"/>
      <c r="B461" s="428"/>
      <c r="C461" s="94" t="s">
        <v>92</v>
      </c>
      <c r="D461" s="85">
        <f>+D450</f>
        <v>15712442277</v>
      </c>
      <c r="E461" s="86">
        <f>+E460</f>
        <v>0.7</v>
      </c>
      <c r="F461" s="85">
        <f>+D461*E461</f>
        <v>10998709593.9</v>
      </c>
      <c r="G461" s="85">
        <f>+G450</f>
        <v>8625796689</v>
      </c>
      <c r="H461" s="86">
        <f>+H460</f>
        <v>0.3</v>
      </c>
      <c r="I461" s="85">
        <f>+G461*H461</f>
        <v>2587739006.6999998</v>
      </c>
      <c r="J461" s="85">
        <f>+F461+I461</f>
        <v>13586448600.599998</v>
      </c>
      <c r="K461" s="429"/>
    </row>
    <row r="464" spans="1:14">
      <c r="D464" s="446" t="str">
        <f>+[2]INDICADORES!K67</f>
        <v>Consorcio AE-2</v>
      </c>
      <c r="E464" s="447"/>
      <c r="F464" s="447"/>
      <c r="G464" s="447"/>
      <c r="H464" s="447"/>
      <c r="I464" s="447"/>
      <c r="J464" s="447"/>
      <c r="K464" s="447"/>
      <c r="L464" s="448"/>
      <c r="M464" s="435" t="s">
        <v>132</v>
      </c>
      <c r="N464" s="433" t="s">
        <v>133</v>
      </c>
    </row>
    <row r="465" spans="1:14">
      <c r="D465" s="434" t="s">
        <v>189</v>
      </c>
      <c r="E465" s="434"/>
      <c r="F465" s="434"/>
      <c r="G465" s="434" t="s">
        <v>190</v>
      </c>
      <c r="H465" s="434"/>
      <c r="I465" s="434"/>
      <c r="J465" s="434" t="s">
        <v>191</v>
      </c>
      <c r="K465" s="434"/>
      <c r="L465" s="434"/>
      <c r="M465" s="436"/>
      <c r="N465" s="433"/>
    </row>
    <row r="466" spans="1:14">
      <c r="D466" s="434"/>
      <c r="E466" s="434"/>
      <c r="F466" s="434"/>
      <c r="G466" s="434"/>
      <c r="H466" s="434"/>
      <c r="I466" s="434"/>
      <c r="J466" s="434"/>
      <c r="K466" s="434"/>
      <c r="L466" s="434"/>
      <c r="M466" s="436"/>
      <c r="N466" s="433"/>
    </row>
    <row r="467" spans="1:14">
      <c r="C467" s="79" t="s">
        <v>135</v>
      </c>
      <c r="D467" s="438" t="s">
        <v>136</v>
      </c>
      <c r="E467" s="439"/>
      <c r="F467" s="440"/>
      <c r="G467" s="438"/>
      <c r="H467" s="439"/>
      <c r="I467" s="440"/>
      <c r="J467" s="438"/>
      <c r="K467" s="439"/>
      <c r="L467" s="440"/>
      <c r="M467" s="436"/>
      <c r="N467" s="433"/>
    </row>
    <row r="468" spans="1:14" ht="34.5">
      <c r="D468" s="269" t="s">
        <v>137</v>
      </c>
      <c r="E468" s="80" t="s">
        <v>138</v>
      </c>
      <c r="F468" s="81" t="s">
        <v>139</v>
      </c>
      <c r="G468" s="81" t="s">
        <v>137</v>
      </c>
      <c r="H468" s="80" t="s">
        <v>138</v>
      </c>
      <c r="I468" s="81" t="s">
        <v>139</v>
      </c>
      <c r="J468" s="81" t="s">
        <v>137</v>
      </c>
      <c r="K468" s="82" t="s">
        <v>138</v>
      </c>
      <c r="L468" s="81" t="s">
        <v>139</v>
      </c>
      <c r="M468" s="437"/>
      <c r="N468" s="433"/>
    </row>
    <row r="469" spans="1:14" ht="15.75" thickBot="1">
      <c r="A469" s="427" t="s">
        <v>76</v>
      </c>
      <c r="B469" s="428" t="s">
        <v>77</v>
      </c>
      <c r="C469" s="84" t="s">
        <v>78</v>
      </c>
      <c r="D469" s="85">
        <v>3121929288</v>
      </c>
      <c r="E469" s="86">
        <v>0.4</v>
      </c>
      <c r="F469" s="85">
        <f>+D469*E469</f>
        <v>1248771715.2</v>
      </c>
      <c r="G469" s="85">
        <v>1646191000</v>
      </c>
      <c r="H469" s="86">
        <v>0.2</v>
      </c>
      <c r="I469" s="85">
        <f>+G469*H469</f>
        <v>329238200</v>
      </c>
      <c r="J469" s="85">
        <v>874452448</v>
      </c>
      <c r="K469" s="86">
        <v>0.4</v>
      </c>
      <c r="L469" s="85">
        <f>+J469*K469</f>
        <v>349780979.20000005</v>
      </c>
      <c r="M469" s="85">
        <f>+F469+I469+L469</f>
        <v>1927790894.4000001</v>
      </c>
      <c r="N469" s="430">
        <f>+M469/M470</f>
        <v>6.8483720543792588</v>
      </c>
    </row>
    <row r="470" spans="1:14" ht="15.75" thickTop="1">
      <c r="A470" s="427"/>
      <c r="B470" s="428"/>
      <c r="C470" s="76" t="s">
        <v>80</v>
      </c>
      <c r="D470" s="85">
        <v>679561105</v>
      </c>
      <c r="E470" s="86">
        <f>+E469</f>
        <v>0.4</v>
      </c>
      <c r="F470" s="85">
        <f>+D470*E470</f>
        <v>271824442</v>
      </c>
      <c r="G470" s="85">
        <v>22500125</v>
      </c>
      <c r="H470" s="86">
        <f>+H469</f>
        <v>0.2</v>
      </c>
      <c r="I470" s="85">
        <f>+G470*H470</f>
        <v>4500025</v>
      </c>
      <c r="J470" s="85">
        <v>12929400</v>
      </c>
      <c r="K470" s="86">
        <f>+K469</f>
        <v>0.4</v>
      </c>
      <c r="L470" s="85">
        <f>+J470*K470</f>
        <v>5171760</v>
      </c>
      <c r="M470" s="85">
        <f>+F470+I470+L470</f>
        <v>281496227</v>
      </c>
      <c r="N470" s="430"/>
    </row>
    <row r="471" spans="1:14">
      <c r="D471" s="88"/>
      <c r="E471" s="89"/>
      <c r="F471" s="89"/>
      <c r="G471" s="88"/>
      <c r="H471" s="89"/>
      <c r="I471" s="89"/>
      <c r="J471" s="89"/>
      <c r="K471" s="98"/>
      <c r="L471" s="89"/>
      <c r="M471" s="91"/>
      <c r="N471" s="92"/>
    </row>
    <row r="472" spans="1:14" ht="15.75" thickBot="1">
      <c r="A472" s="427" t="s">
        <v>81</v>
      </c>
      <c r="B472" s="428" t="s">
        <v>77</v>
      </c>
      <c r="C472" s="93" t="s">
        <v>82</v>
      </c>
      <c r="D472" s="85">
        <v>679561105</v>
      </c>
      <c r="E472" s="86">
        <f>+E470</f>
        <v>0.4</v>
      </c>
      <c r="F472" s="85">
        <f>+D472*E472</f>
        <v>271824442</v>
      </c>
      <c r="G472" s="85">
        <v>35355325</v>
      </c>
      <c r="H472" s="86">
        <f>+H470</f>
        <v>0.2</v>
      </c>
      <c r="I472" s="85">
        <f>+G472*H472</f>
        <v>7071065</v>
      </c>
      <c r="J472" s="85">
        <v>12929400</v>
      </c>
      <c r="K472" s="86">
        <f>+K470</f>
        <v>0.4</v>
      </c>
      <c r="L472" s="85">
        <f>+J472*K472</f>
        <v>5171760</v>
      </c>
      <c r="M472" s="85">
        <f>+F472+I472+L472</f>
        <v>284067267</v>
      </c>
      <c r="N472" s="429">
        <f>+M472/M473</f>
        <v>0.10295366732022801</v>
      </c>
    </row>
    <row r="473" spans="1:14" ht="15.75" thickTop="1">
      <c r="A473" s="427"/>
      <c r="B473" s="428"/>
      <c r="C473" s="94" t="s">
        <v>83</v>
      </c>
      <c r="D473" s="85">
        <v>4234718880</v>
      </c>
      <c r="E473" s="86">
        <f>+E472</f>
        <v>0.4</v>
      </c>
      <c r="F473" s="85">
        <f>+D473*E473</f>
        <v>1693887552</v>
      </c>
      <c r="G473" s="85">
        <v>1930009871</v>
      </c>
      <c r="H473" s="86">
        <f>+H472</f>
        <v>0.2</v>
      </c>
      <c r="I473" s="85">
        <f>+G473*H473</f>
        <v>386001974.20000005</v>
      </c>
      <c r="J473" s="85">
        <v>1698215675</v>
      </c>
      <c r="K473" s="86">
        <f>+K472</f>
        <v>0.4</v>
      </c>
      <c r="L473" s="85">
        <f>+J473*K473</f>
        <v>679286270</v>
      </c>
      <c r="M473" s="85">
        <f>+F473+I473+L473</f>
        <v>2759175796.1999998</v>
      </c>
      <c r="N473" s="429"/>
    </row>
    <row r="474" spans="1:14">
      <c r="D474" s="88"/>
      <c r="E474" s="86"/>
      <c r="F474" s="89"/>
      <c r="G474" s="88"/>
      <c r="H474" s="86"/>
      <c r="I474" s="89"/>
      <c r="J474" s="89"/>
      <c r="K474" s="86"/>
      <c r="L474" s="89"/>
      <c r="M474" s="91"/>
      <c r="N474" s="92"/>
    </row>
    <row r="475" spans="1:14" ht="19.5">
      <c r="A475" s="76" t="s">
        <v>84</v>
      </c>
      <c r="B475" s="76" t="s">
        <v>140</v>
      </c>
      <c r="C475" s="95" t="s">
        <v>85</v>
      </c>
      <c r="D475" s="85"/>
      <c r="E475" s="85"/>
      <c r="F475" s="85">
        <f>+D469-D470</f>
        <v>2442368183</v>
      </c>
      <c r="G475" s="85"/>
      <c r="H475" s="86"/>
      <c r="I475" s="85">
        <f>+G469-G470</f>
        <v>1623690875</v>
      </c>
      <c r="J475" s="85"/>
      <c r="K475" s="86"/>
      <c r="L475" s="85">
        <f>+J469-J470</f>
        <v>861523048</v>
      </c>
      <c r="M475" s="85">
        <f>+F475+I475+L475</f>
        <v>4927582106</v>
      </c>
      <c r="N475" s="92">
        <f>+M475</f>
        <v>4927582106</v>
      </c>
    </row>
    <row r="476" spans="1:14">
      <c r="D476" s="88"/>
      <c r="E476" s="86"/>
      <c r="F476" s="89"/>
      <c r="G476" s="88"/>
      <c r="H476" s="86"/>
      <c r="I476" s="89"/>
      <c r="J476" s="89"/>
      <c r="K476" s="86"/>
      <c r="L476" s="89"/>
      <c r="M476" s="91"/>
      <c r="N476" s="92"/>
    </row>
    <row r="477" spans="1:14" ht="15.75" thickBot="1">
      <c r="A477" s="427" t="s">
        <v>86</v>
      </c>
      <c r="B477" s="428" t="s">
        <v>77</v>
      </c>
      <c r="C477" s="84" t="s">
        <v>87</v>
      </c>
      <c r="D477" s="85">
        <v>684699516</v>
      </c>
      <c r="E477" s="86">
        <f>+E473</f>
        <v>0.4</v>
      </c>
      <c r="F477" s="85">
        <f>+D477*E477</f>
        <v>273879806.40000004</v>
      </c>
      <c r="G477" s="85">
        <v>836974701</v>
      </c>
      <c r="H477" s="86">
        <f>+H473</f>
        <v>0.2</v>
      </c>
      <c r="I477" s="85">
        <f>+G477*H477</f>
        <v>167394940.20000002</v>
      </c>
      <c r="J477" s="85">
        <v>357325609</v>
      </c>
      <c r="K477" s="86">
        <f>+K473</f>
        <v>0.4</v>
      </c>
      <c r="L477" s="85">
        <f>+J477*K477</f>
        <v>142930243.59999999</v>
      </c>
      <c r="M477" s="85">
        <f>+F477+I477+L477</f>
        <v>584204990.20000005</v>
      </c>
      <c r="N477" s="430">
        <f>+M477/M478</f>
        <v>17.812562747433045</v>
      </c>
    </row>
    <row r="478" spans="1:14" ht="15.75" thickTop="1">
      <c r="A478" s="427"/>
      <c r="B478" s="428"/>
      <c r="C478" s="76" t="s">
        <v>88</v>
      </c>
      <c r="D478" s="85">
        <v>69565694</v>
      </c>
      <c r="E478" s="86">
        <f>+E473</f>
        <v>0.4</v>
      </c>
      <c r="F478" s="85">
        <f>+D478*E478</f>
        <v>27826277.600000001</v>
      </c>
      <c r="G478" s="85">
        <v>0</v>
      </c>
      <c r="H478" s="86">
        <f>+H473</f>
        <v>0.2</v>
      </c>
      <c r="I478" s="85">
        <f>+G478*H478</f>
        <v>0</v>
      </c>
      <c r="J478" s="85">
        <v>12427700</v>
      </c>
      <c r="K478" s="86">
        <f>+K473</f>
        <v>0.4</v>
      </c>
      <c r="L478" s="85">
        <f>+J478*K478</f>
        <v>4971080</v>
      </c>
      <c r="M478" s="85">
        <f>+F478+I478+L478</f>
        <v>32797357.600000001</v>
      </c>
      <c r="N478" s="430"/>
    </row>
    <row r="479" spans="1:14">
      <c r="D479" s="88"/>
      <c r="E479" s="86"/>
      <c r="F479" s="89"/>
      <c r="G479" s="88"/>
      <c r="H479" s="86"/>
      <c r="I479" s="89"/>
      <c r="J479" s="89"/>
      <c r="K479" s="86"/>
      <c r="L479" s="89"/>
      <c r="M479" s="91"/>
      <c r="N479" s="92"/>
    </row>
    <row r="480" spans="1:14" ht="15.75" thickBot="1">
      <c r="A480" s="427" t="s">
        <v>89</v>
      </c>
      <c r="B480" s="428" t="s">
        <v>77</v>
      </c>
      <c r="C480" s="93" t="s">
        <v>87</v>
      </c>
      <c r="D480" s="85">
        <f>+D477</f>
        <v>684699516</v>
      </c>
      <c r="E480" s="86">
        <f>+E478</f>
        <v>0.4</v>
      </c>
      <c r="F480" s="85">
        <f>+D480*E480</f>
        <v>273879806.40000004</v>
      </c>
      <c r="G480" s="85">
        <f>+G477</f>
        <v>836974701</v>
      </c>
      <c r="H480" s="86">
        <f>+H478</f>
        <v>0.2</v>
      </c>
      <c r="I480" s="85">
        <f>+G480*H480</f>
        <v>167394940.20000002</v>
      </c>
      <c r="J480" s="85">
        <f>+J477</f>
        <v>357325609</v>
      </c>
      <c r="K480" s="86">
        <f>+K478</f>
        <v>0.4</v>
      </c>
      <c r="L480" s="85">
        <f>+J480*K480</f>
        <v>142930243.59999999</v>
      </c>
      <c r="M480" s="85">
        <f>+F480+I480+L480</f>
        <v>584204990.20000005</v>
      </c>
      <c r="N480" s="429">
        <f>+M480/M481</f>
        <v>0.23603207023363365</v>
      </c>
    </row>
    <row r="481" spans="1:14" ht="15.75" thickTop="1">
      <c r="A481" s="427"/>
      <c r="B481" s="428"/>
      <c r="C481" s="94" t="s">
        <v>90</v>
      </c>
      <c r="D481" s="85">
        <f>+D473-D472</f>
        <v>3555157775</v>
      </c>
      <c r="E481" s="86">
        <f>+E480</f>
        <v>0.4</v>
      </c>
      <c r="F481" s="85">
        <f>+D481*E481</f>
        <v>1422063110</v>
      </c>
      <c r="G481" s="85">
        <f>+G473-G472</f>
        <v>1894654546</v>
      </c>
      <c r="H481" s="86">
        <f>+H480</f>
        <v>0.2</v>
      </c>
      <c r="I481" s="85">
        <f>+G481*H481</f>
        <v>378930909.20000005</v>
      </c>
      <c r="J481" s="85">
        <f>+J473-J472</f>
        <v>1685286275</v>
      </c>
      <c r="K481" s="86">
        <f>+K480</f>
        <v>0.4</v>
      </c>
      <c r="L481" s="85">
        <f>+J481*K481</f>
        <v>674114510</v>
      </c>
      <c r="M481" s="85">
        <f>+F481+I481+L481</f>
        <v>2475108529.1999998</v>
      </c>
      <c r="N481" s="429"/>
    </row>
    <row r="482" spans="1:14">
      <c r="D482" s="88"/>
      <c r="E482" s="86"/>
      <c r="F482" s="89"/>
      <c r="G482" s="88"/>
      <c r="H482" s="86"/>
      <c r="I482" s="89"/>
      <c r="J482" s="89"/>
      <c r="K482" s="86"/>
      <c r="L482" s="89"/>
      <c r="M482" s="91"/>
      <c r="N482" s="92"/>
    </row>
    <row r="483" spans="1:14" ht="15.75" thickBot="1">
      <c r="A483" s="427" t="s">
        <v>91</v>
      </c>
      <c r="B483" s="428" t="s">
        <v>77</v>
      </c>
      <c r="C483" s="93" t="s">
        <v>87</v>
      </c>
      <c r="D483" s="85">
        <f>+D480</f>
        <v>684699516</v>
      </c>
      <c r="E483" s="86">
        <f>+E481</f>
        <v>0.4</v>
      </c>
      <c r="F483" s="85">
        <f>+D483*E483</f>
        <v>273879806.40000004</v>
      </c>
      <c r="G483" s="85">
        <f>+G480</f>
        <v>836974701</v>
      </c>
      <c r="H483" s="86">
        <f>+H481</f>
        <v>0.2</v>
      </c>
      <c r="I483" s="85">
        <f>+G483*H483</f>
        <v>167394940.20000002</v>
      </c>
      <c r="J483" s="85">
        <f>+J480</f>
        <v>357325609</v>
      </c>
      <c r="K483" s="86">
        <f>+K481</f>
        <v>0.4</v>
      </c>
      <c r="L483" s="85">
        <f>+J483*K483</f>
        <v>142930243.59999999</v>
      </c>
      <c r="M483" s="85">
        <f>+F483+I483+L483</f>
        <v>584204990.20000005</v>
      </c>
      <c r="N483" s="429">
        <f>+M483/M484</f>
        <v>0.21173170299789545</v>
      </c>
    </row>
    <row r="484" spans="1:14" ht="15.75" thickTop="1">
      <c r="A484" s="427"/>
      <c r="B484" s="428"/>
      <c r="C484" s="94" t="s">
        <v>92</v>
      </c>
      <c r="D484" s="85">
        <f>+D473</f>
        <v>4234718880</v>
      </c>
      <c r="E484" s="86">
        <f>+E483</f>
        <v>0.4</v>
      </c>
      <c r="F484" s="85">
        <f>+D484*E484</f>
        <v>1693887552</v>
      </c>
      <c r="G484" s="85">
        <f>+G473</f>
        <v>1930009871</v>
      </c>
      <c r="H484" s="86">
        <f>+H483</f>
        <v>0.2</v>
      </c>
      <c r="I484" s="85">
        <f>+G484*H484</f>
        <v>386001974.20000005</v>
      </c>
      <c r="J484" s="85">
        <f>+J473</f>
        <v>1698215675</v>
      </c>
      <c r="K484" s="86">
        <f>+K483</f>
        <v>0.4</v>
      </c>
      <c r="L484" s="85">
        <f>+J484*K484</f>
        <v>679286270</v>
      </c>
      <c r="M484" s="85">
        <f>+F484+I484+L484</f>
        <v>2759175796.1999998</v>
      </c>
      <c r="N484" s="429"/>
    </row>
    <row r="486" spans="1:14">
      <c r="D486" s="441" t="str">
        <f>+[2]INDICADORES!N67</f>
        <v>CONSORCIO JUSTICIA Y PROGRESO</v>
      </c>
      <c r="E486" s="442"/>
      <c r="F486" s="442"/>
      <c r="G486" s="442"/>
      <c r="H486" s="442"/>
      <c r="I486" s="442"/>
      <c r="J486" s="442"/>
      <c r="K486" s="433" t="s">
        <v>133</v>
      </c>
    </row>
    <row r="487" spans="1:14">
      <c r="D487" s="434" t="s">
        <v>192</v>
      </c>
      <c r="E487" s="434"/>
      <c r="F487" s="434"/>
      <c r="G487" s="434" t="s">
        <v>193</v>
      </c>
      <c r="H487" s="434"/>
      <c r="I487" s="434"/>
      <c r="J487" s="435" t="s">
        <v>132</v>
      </c>
      <c r="K487" s="433"/>
    </row>
    <row r="488" spans="1:14">
      <c r="D488" s="434"/>
      <c r="E488" s="434"/>
      <c r="F488" s="434"/>
      <c r="G488" s="434"/>
      <c r="H488" s="434"/>
      <c r="I488" s="434"/>
      <c r="J488" s="436"/>
      <c r="K488" s="433"/>
    </row>
    <row r="489" spans="1:14">
      <c r="C489" s="79" t="s">
        <v>135</v>
      </c>
      <c r="D489" s="438" t="s">
        <v>142</v>
      </c>
      <c r="E489" s="439"/>
      <c r="F489" s="440"/>
      <c r="G489" s="438" t="s">
        <v>136</v>
      </c>
      <c r="H489" s="439"/>
      <c r="I489" s="440"/>
      <c r="J489" s="436"/>
      <c r="K489" s="433"/>
    </row>
    <row r="490" spans="1:14" ht="34.5">
      <c r="D490" s="269" t="s">
        <v>137</v>
      </c>
      <c r="E490" s="80" t="s">
        <v>138</v>
      </c>
      <c r="F490" s="81" t="s">
        <v>139</v>
      </c>
      <c r="G490" s="81" t="s">
        <v>137</v>
      </c>
      <c r="H490" s="80" t="s">
        <v>138</v>
      </c>
      <c r="I490" s="81" t="s">
        <v>139</v>
      </c>
      <c r="J490" s="437"/>
      <c r="K490" s="433"/>
    </row>
    <row r="491" spans="1:14" ht="15.75" thickBot="1">
      <c r="A491" s="427" t="s">
        <v>76</v>
      </c>
      <c r="B491" s="428" t="s">
        <v>77</v>
      </c>
      <c r="C491" s="84" t="s">
        <v>78</v>
      </c>
      <c r="D491" s="85">
        <v>12851688630</v>
      </c>
      <c r="E491" s="86">
        <v>0.9</v>
      </c>
      <c r="F491" s="85">
        <f>+D491*E491</f>
        <v>11566519767</v>
      </c>
      <c r="G491" s="85">
        <v>1185994935</v>
      </c>
      <c r="H491" s="86">
        <v>0.1</v>
      </c>
      <c r="I491" s="85">
        <f>+G491*H491</f>
        <v>118599493.5</v>
      </c>
      <c r="J491" s="85">
        <f>+F491+I491</f>
        <v>11685119260.5</v>
      </c>
      <c r="K491" s="430">
        <f>+J491/J492</f>
        <v>7.1531194070723876</v>
      </c>
    </row>
    <row r="492" spans="1:14" ht="15.75" thickTop="1">
      <c r="A492" s="427"/>
      <c r="B492" s="428"/>
      <c r="C492" s="76" t="s">
        <v>80</v>
      </c>
      <c r="D492" s="85">
        <v>1800745878</v>
      </c>
      <c r="E492" s="86">
        <f>+E491</f>
        <v>0.9</v>
      </c>
      <c r="F492" s="85">
        <f>+D492*E492</f>
        <v>1620671290.2</v>
      </c>
      <c r="G492" s="85">
        <v>128984289</v>
      </c>
      <c r="H492" s="86">
        <f>+H491</f>
        <v>0.1</v>
      </c>
      <c r="I492" s="85">
        <f>+G492*H492</f>
        <v>12898428.9</v>
      </c>
      <c r="J492" s="85">
        <f>+F492+I492</f>
        <v>1633569719.1000001</v>
      </c>
      <c r="K492" s="430"/>
    </row>
    <row r="493" spans="1:14">
      <c r="D493" s="88"/>
      <c r="E493" s="89"/>
      <c r="F493" s="89"/>
      <c r="G493" s="89"/>
      <c r="H493" s="89"/>
      <c r="I493" s="89"/>
      <c r="J493" s="91"/>
      <c r="K493" s="92"/>
    </row>
    <row r="494" spans="1:14" ht="15.75" thickBot="1">
      <c r="A494" s="427" t="s">
        <v>81</v>
      </c>
      <c r="B494" s="428" t="s">
        <v>77</v>
      </c>
      <c r="C494" s="93" t="s">
        <v>82</v>
      </c>
      <c r="D494" s="85">
        <v>4349542178</v>
      </c>
      <c r="E494" s="86">
        <f>+E492</f>
        <v>0.9</v>
      </c>
      <c r="F494" s="85">
        <f>+D494*E494</f>
        <v>3914587960.2000003</v>
      </c>
      <c r="G494" s="85">
        <v>474677604</v>
      </c>
      <c r="H494" s="86">
        <f>+H492</f>
        <v>0.1</v>
      </c>
      <c r="I494" s="85">
        <f>+G494*H494</f>
        <v>47467760.400000006</v>
      </c>
      <c r="J494" s="85">
        <f>+F494+I494</f>
        <v>3962055720.6000004</v>
      </c>
      <c r="K494" s="429">
        <f>+J494/J495</f>
        <v>0.25150890752674676</v>
      </c>
    </row>
    <row r="495" spans="1:14" ht="15.75" thickTop="1">
      <c r="A495" s="427"/>
      <c r="B495" s="428"/>
      <c r="C495" s="94" t="s">
        <v>83</v>
      </c>
      <c r="D495" s="85">
        <v>17342151571</v>
      </c>
      <c r="E495" s="86">
        <f>+E494</f>
        <v>0.9</v>
      </c>
      <c r="F495" s="85">
        <f>+D495*E495</f>
        <v>15607936413.9</v>
      </c>
      <c r="G495" s="85">
        <v>1452063259</v>
      </c>
      <c r="H495" s="86">
        <f>+H494</f>
        <v>0.1</v>
      </c>
      <c r="I495" s="85">
        <f>+G495*H495</f>
        <v>145206325.90000001</v>
      </c>
      <c r="J495" s="85">
        <f>+F495+I495</f>
        <v>15753142739.799999</v>
      </c>
      <c r="K495" s="429"/>
    </row>
    <row r="496" spans="1:14">
      <c r="D496" s="88"/>
      <c r="E496" s="86"/>
      <c r="F496" s="89"/>
      <c r="G496" s="89"/>
      <c r="H496" s="86"/>
      <c r="I496" s="89"/>
      <c r="J496" s="91"/>
      <c r="K496" s="92"/>
    </row>
    <row r="497" spans="1:14" ht="19.5">
      <c r="A497" s="76" t="s">
        <v>84</v>
      </c>
      <c r="B497" s="76" t="s">
        <v>140</v>
      </c>
      <c r="C497" s="95" t="s">
        <v>85</v>
      </c>
      <c r="D497" s="85"/>
      <c r="E497" s="85"/>
      <c r="F497" s="85">
        <f>+D491-D492</f>
        <v>11050942752</v>
      </c>
      <c r="G497" s="85"/>
      <c r="H497" s="86"/>
      <c r="I497" s="85">
        <f>+G491-G492</f>
        <v>1057010646</v>
      </c>
      <c r="J497" s="85">
        <f>+F497+I497</f>
        <v>12107953398</v>
      </c>
      <c r="K497" s="97">
        <f>+F497+I497</f>
        <v>12107953398</v>
      </c>
    </row>
    <row r="498" spans="1:14">
      <c r="D498" s="88"/>
      <c r="E498" s="86"/>
      <c r="F498" s="89"/>
      <c r="G498" s="89"/>
      <c r="H498" s="86"/>
      <c r="I498" s="89"/>
      <c r="J498" s="91"/>
      <c r="K498" s="92"/>
    </row>
    <row r="499" spans="1:14" ht="15.75" thickBot="1">
      <c r="A499" s="427" t="s">
        <v>86</v>
      </c>
      <c r="B499" s="428" t="s">
        <v>77</v>
      </c>
      <c r="C499" s="84" t="s">
        <v>87</v>
      </c>
      <c r="D499" s="85">
        <v>5089084096</v>
      </c>
      <c r="E499" s="86">
        <f>+E495</f>
        <v>0.9</v>
      </c>
      <c r="F499" s="85">
        <f>+D499*E499</f>
        <v>4580175686.4000006</v>
      </c>
      <c r="G499" s="85">
        <v>409507144</v>
      </c>
      <c r="H499" s="86">
        <f>+H495</f>
        <v>0.1</v>
      </c>
      <c r="I499" s="85">
        <f>+G499*H499</f>
        <v>40950714.400000006</v>
      </c>
      <c r="J499" s="85">
        <f>+F499+I499</f>
        <v>4621126400.8000002</v>
      </c>
      <c r="K499" s="429">
        <f>+J499/J500</f>
        <v>58.81633736973432</v>
      </c>
    </row>
    <row r="500" spans="1:14" ht="15.75" thickTop="1">
      <c r="A500" s="427"/>
      <c r="B500" s="428"/>
      <c r="C500" s="76" t="s">
        <v>88</v>
      </c>
      <c r="D500" s="85">
        <v>85796230</v>
      </c>
      <c r="E500" s="86">
        <f>+E495</f>
        <v>0.9</v>
      </c>
      <c r="F500" s="85">
        <f>+D500*E500</f>
        <v>77216607</v>
      </c>
      <c r="G500" s="85">
        <v>13521480</v>
      </c>
      <c r="H500" s="86">
        <f>+H495</f>
        <v>0.1</v>
      </c>
      <c r="I500" s="85">
        <f>+G500*H500</f>
        <v>1352148</v>
      </c>
      <c r="J500" s="85">
        <f>+F500+I500</f>
        <v>78568755</v>
      </c>
      <c r="K500" s="429"/>
    </row>
    <row r="501" spans="1:14">
      <c r="D501" s="88"/>
      <c r="E501" s="86"/>
      <c r="F501" s="89"/>
      <c r="G501" s="89"/>
      <c r="H501" s="86"/>
      <c r="I501" s="89"/>
      <c r="J501" s="91"/>
      <c r="K501" s="92"/>
    </row>
    <row r="502" spans="1:14" ht="15.75" thickBot="1">
      <c r="A502" s="427" t="s">
        <v>89</v>
      </c>
      <c r="B502" s="428" t="s">
        <v>77</v>
      </c>
      <c r="C502" s="93" t="s">
        <v>87</v>
      </c>
      <c r="D502" s="85">
        <f>+D499</f>
        <v>5089084096</v>
      </c>
      <c r="E502" s="86">
        <f>+E500</f>
        <v>0.9</v>
      </c>
      <c r="F502" s="85">
        <f>+D502*E502</f>
        <v>4580175686.4000006</v>
      </c>
      <c r="G502" s="85">
        <f>+G499</f>
        <v>409507144</v>
      </c>
      <c r="H502" s="86">
        <f>+H500</f>
        <v>0.1</v>
      </c>
      <c r="I502" s="85">
        <f>+G502*H502</f>
        <v>40950714.400000006</v>
      </c>
      <c r="J502" s="85">
        <f>+F502+I502</f>
        <v>4621126400.8000002</v>
      </c>
      <c r="K502" s="429">
        <f>+J502/J503</f>
        <v>0.3919169109069584</v>
      </c>
    </row>
    <row r="503" spans="1:14" ht="15.75" thickTop="1">
      <c r="A503" s="427"/>
      <c r="B503" s="428"/>
      <c r="C503" s="94" t="s">
        <v>90</v>
      </c>
      <c r="D503" s="85">
        <f>+D495-D494</f>
        <v>12992609393</v>
      </c>
      <c r="E503" s="86">
        <f>+E502</f>
        <v>0.9</v>
      </c>
      <c r="F503" s="85">
        <f>+D503*E503</f>
        <v>11693348453.700001</v>
      </c>
      <c r="G503" s="85">
        <f>+G495-G494</f>
        <v>977385655</v>
      </c>
      <c r="H503" s="86">
        <f>+H502</f>
        <v>0.1</v>
      </c>
      <c r="I503" s="85">
        <f>+G503*H503</f>
        <v>97738565.5</v>
      </c>
      <c r="J503" s="85">
        <f>+F503+I503</f>
        <v>11791087019.200001</v>
      </c>
      <c r="K503" s="429"/>
    </row>
    <row r="504" spans="1:14">
      <c r="D504" s="88"/>
      <c r="E504" s="86"/>
      <c r="F504" s="89"/>
      <c r="G504" s="89"/>
      <c r="H504" s="86"/>
      <c r="I504" s="89"/>
      <c r="J504" s="91"/>
      <c r="K504" s="92"/>
    </row>
    <row r="505" spans="1:14" ht="15.75" thickBot="1">
      <c r="A505" s="427" t="s">
        <v>91</v>
      </c>
      <c r="B505" s="428" t="s">
        <v>77</v>
      </c>
      <c r="C505" s="93" t="s">
        <v>87</v>
      </c>
      <c r="D505" s="85">
        <f>+D502</f>
        <v>5089084096</v>
      </c>
      <c r="E505" s="86">
        <f>+E503</f>
        <v>0.9</v>
      </c>
      <c r="F505" s="85">
        <f>+D505*E505</f>
        <v>4580175686.4000006</v>
      </c>
      <c r="G505" s="85">
        <f>+G502</f>
        <v>409507144</v>
      </c>
      <c r="H505" s="86">
        <f>+H503</f>
        <v>0.1</v>
      </c>
      <c r="I505" s="85">
        <f>+G505*H505</f>
        <v>40950714.400000006</v>
      </c>
      <c r="J505" s="85">
        <f>+F505+I505</f>
        <v>4621126400.8000002</v>
      </c>
      <c r="K505" s="429">
        <f>+J505/J506</f>
        <v>0.29334631680349199</v>
      </c>
    </row>
    <row r="506" spans="1:14" ht="15.75" thickTop="1">
      <c r="A506" s="427"/>
      <c r="B506" s="428"/>
      <c r="C506" s="94" t="s">
        <v>92</v>
      </c>
      <c r="D506" s="85">
        <f>+D495</f>
        <v>17342151571</v>
      </c>
      <c r="E506" s="86">
        <f>+E505</f>
        <v>0.9</v>
      </c>
      <c r="F506" s="85">
        <f>+D506*E506</f>
        <v>15607936413.9</v>
      </c>
      <c r="G506" s="85">
        <f>+G495</f>
        <v>1452063259</v>
      </c>
      <c r="H506" s="86">
        <f>+H505</f>
        <v>0.1</v>
      </c>
      <c r="I506" s="85">
        <f>+G506*H506</f>
        <v>145206325.90000001</v>
      </c>
      <c r="J506" s="85">
        <f>+F506+I506</f>
        <v>15753142739.799999</v>
      </c>
      <c r="K506" s="429"/>
    </row>
    <row r="509" spans="1:14">
      <c r="D509" s="446" t="str">
        <f>+[2]INDICADORES!Q67</f>
        <v>CONSORCIO CONSTRUPALACIO SEV.</v>
      </c>
      <c r="E509" s="447"/>
      <c r="F509" s="447"/>
      <c r="G509" s="447"/>
      <c r="H509" s="447"/>
      <c r="I509" s="447"/>
      <c r="J509" s="447"/>
      <c r="K509" s="447"/>
      <c r="L509" s="448"/>
      <c r="M509" s="435" t="s">
        <v>132</v>
      </c>
      <c r="N509" s="433" t="s">
        <v>133</v>
      </c>
    </row>
    <row r="510" spans="1:14">
      <c r="D510" s="434" t="s">
        <v>194</v>
      </c>
      <c r="E510" s="434"/>
      <c r="F510" s="434"/>
      <c r="G510" s="434" t="s">
        <v>656</v>
      </c>
      <c r="H510" s="434"/>
      <c r="I510" s="434"/>
      <c r="J510" s="434" t="s">
        <v>657</v>
      </c>
      <c r="K510" s="434"/>
      <c r="L510" s="434"/>
      <c r="M510" s="436"/>
      <c r="N510" s="433"/>
    </row>
    <row r="511" spans="1:14">
      <c r="D511" s="434"/>
      <c r="E511" s="434"/>
      <c r="F511" s="434"/>
      <c r="G511" s="434"/>
      <c r="H511" s="434"/>
      <c r="I511" s="434"/>
      <c r="J511" s="434"/>
      <c r="K511" s="434"/>
      <c r="L511" s="434"/>
      <c r="M511" s="436"/>
      <c r="N511" s="433"/>
    </row>
    <row r="512" spans="1:14">
      <c r="C512" s="79" t="s">
        <v>135</v>
      </c>
      <c r="D512" s="438" t="s">
        <v>150</v>
      </c>
      <c r="E512" s="439"/>
      <c r="F512" s="440"/>
      <c r="G512" s="438" t="s">
        <v>167</v>
      </c>
      <c r="H512" s="439"/>
      <c r="I512" s="440"/>
      <c r="J512" s="438" t="s">
        <v>143</v>
      </c>
      <c r="K512" s="439"/>
      <c r="L512" s="440"/>
      <c r="M512" s="436"/>
      <c r="N512" s="433"/>
    </row>
    <row r="513" spans="1:14" ht="34.5">
      <c r="D513" s="269" t="s">
        <v>137</v>
      </c>
      <c r="E513" s="80" t="s">
        <v>138</v>
      </c>
      <c r="F513" s="81" t="s">
        <v>139</v>
      </c>
      <c r="G513" s="81" t="s">
        <v>137</v>
      </c>
      <c r="H513" s="80" t="s">
        <v>138</v>
      </c>
      <c r="I513" s="81" t="s">
        <v>139</v>
      </c>
      <c r="J513" s="81" t="s">
        <v>137</v>
      </c>
      <c r="K513" s="82" t="s">
        <v>138</v>
      </c>
      <c r="L513" s="81" t="s">
        <v>139</v>
      </c>
      <c r="M513" s="437"/>
      <c r="N513" s="433"/>
    </row>
    <row r="514" spans="1:14" ht="15.75" thickBot="1">
      <c r="A514" s="427" t="s">
        <v>76</v>
      </c>
      <c r="B514" s="428" t="s">
        <v>77</v>
      </c>
      <c r="C514" s="84" t="s">
        <v>78</v>
      </c>
      <c r="D514" s="85">
        <v>200000000</v>
      </c>
      <c r="E514" s="86">
        <v>0.5</v>
      </c>
      <c r="F514" s="85">
        <f>+D514*E514</f>
        <v>100000000</v>
      </c>
      <c r="G514" s="85">
        <v>3366922148</v>
      </c>
      <c r="H514" s="86">
        <v>0.1</v>
      </c>
      <c r="I514" s="85">
        <f>+G514*H514</f>
        <v>336692214.80000001</v>
      </c>
      <c r="J514" s="85">
        <v>4452787813</v>
      </c>
      <c r="K514" s="86">
        <v>0.4</v>
      </c>
      <c r="L514" s="85">
        <f>+J514*K514</f>
        <v>1781115125.2</v>
      </c>
      <c r="M514" s="85">
        <f>+F514+I514+L514</f>
        <v>2217807340</v>
      </c>
      <c r="N514" s="430">
        <f>+M514/M515</f>
        <v>9.8466112426382786</v>
      </c>
    </row>
    <row r="515" spans="1:14" ht="15.75" thickTop="1">
      <c r="A515" s="427"/>
      <c r="B515" s="428"/>
      <c r="C515" s="76" t="s">
        <v>80</v>
      </c>
      <c r="D515" s="85">
        <v>0</v>
      </c>
      <c r="E515" s="86">
        <f>+E514</f>
        <v>0.5</v>
      </c>
      <c r="F515" s="85">
        <f>+D515*E515</f>
        <v>0</v>
      </c>
      <c r="G515" s="85">
        <v>98621072</v>
      </c>
      <c r="H515" s="86">
        <f>+H514</f>
        <v>0.1</v>
      </c>
      <c r="I515" s="85">
        <f>+G515*H515</f>
        <v>9862107.2000000011</v>
      </c>
      <c r="J515" s="85">
        <v>538433719</v>
      </c>
      <c r="K515" s="86">
        <f>+K514</f>
        <v>0.4</v>
      </c>
      <c r="L515" s="85">
        <f>+J515*K515</f>
        <v>215373487.60000002</v>
      </c>
      <c r="M515" s="85">
        <f>+F515+I515+L515</f>
        <v>225235594.80000001</v>
      </c>
      <c r="N515" s="430"/>
    </row>
    <row r="516" spans="1:14">
      <c r="D516" s="88"/>
      <c r="E516" s="89"/>
      <c r="F516" s="89"/>
      <c r="G516" s="88"/>
      <c r="H516" s="89"/>
      <c r="I516" s="89"/>
      <c r="J516" s="89"/>
      <c r="K516" s="98"/>
      <c r="L516" s="89"/>
      <c r="M516" s="91"/>
      <c r="N516" s="92"/>
    </row>
    <row r="517" spans="1:14" ht="15.75" thickBot="1">
      <c r="A517" s="427" t="s">
        <v>81</v>
      </c>
      <c r="B517" s="428" t="s">
        <v>77</v>
      </c>
      <c r="C517" s="93" t="s">
        <v>82</v>
      </c>
      <c r="D517" s="85">
        <v>0</v>
      </c>
      <c r="E517" s="86">
        <f>+E515</f>
        <v>0.5</v>
      </c>
      <c r="F517" s="85">
        <f>+D517*E517</f>
        <v>0</v>
      </c>
      <c r="G517" s="85">
        <v>98621072</v>
      </c>
      <c r="H517" s="86">
        <f>+H515</f>
        <v>0.1</v>
      </c>
      <c r="I517" s="85">
        <f>+G517*H517</f>
        <v>9862107.2000000011</v>
      </c>
      <c r="J517" s="85">
        <v>1261684041</v>
      </c>
      <c r="K517" s="86">
        <f>+K515</f>
        <v>0.4</v>
      </c>
      <c r="L517" s="85">
        <f>+J517*K517</f>
        <v>504673616.40000004</v>
      </c>
      <c r="M517" s="85">
        <f>+F517+I517+L517</f>
        <v>514535723.60000002</v>
      </c>
      <c r="N517" s="429">
        <f>+M517/M518</f>
        <v>0.16410964418439952</v>
      </c>
    </row>
    <row r="518" spans="1:14" ht="15.75" thickTop="1">
      <c r="A518" s="427"/>
      <c r="B518" s="428"/>
      <c r="C518" s="94" t="s">
        <v>83</v>
      </c>
      <c r="D518" s="85">
        <f>+D514</f>
        <v>200000000</v>
      </c>
      <c r="E518" s="86">
        <f>+E517</f>
        <v>0.5</v>
      </c>
      <c r="F518" s="85">
        <f>+D518*E518</f>
        <v>100000000</v>
      </c>
      <c r="G518" s="85">
        <v>3888939276</v>
      </c>
      <c r="H518" s="86">
        <f>+H517</f>
        <v>0.1</v>
      </c>
      <c r="I518" s="85">
        <f>+G518*H518</f>
        <v>388893927.60000002</v>
      </c>
      <c r="J518" s="85">
        <v>6616057168</v>
      </c>
      <c r="K518" s="86">
        <f>+K517</f>
        <v>0.4</v>
      </c>
      <c r="L518" s="85">
        <f>+J518*K518</f>
        <v>2646422867.2000003</v>
      </c>
      <c r="M518" s="85">
        <f>+F518+I518+L518</f>
        <v>3135316794.8000002</v>
      </c>
      <c r="N518" s="429"/>
    </row>
    <row r="519" spans="1:14">
      <c r="D519" s="88"/>
      <c r="E519" s="86"/>
      <c r="F519" s="89"/>
      <c r="G519" s="88"/>
      <c r="H519" s="86"/>
      <c r="I519" s="89"/>
      <c r="J519" s="89"/>
      <c r="K519" s="86"/>
      <c r="L519" s="89"/>
      <c r="M519" s="91"/>
      <c r="N519" s="92"/>
    </row>
    <row r="520" spans="1:14" ht="19.5">
      <c r="A520" s="76" t="s">
        <v>84</v>
      </c>
      <c r="B520" s="76" t="s">
        <v>140</v>
      </c>
      <c r="C520" s="95" t="s">
        <v>85</v>
      </c>
      <c r="D520" s="85"/>
      <c r="E520" s="85"/>
      <c r="F520" s="85">
        <f>+D514-D515</f>
        <v>200000000</v>
      </c>
      <c r="G520" s="85"/>
      <c r="H520" s="86"/>
      <c r="I520" s="85">
        <f>+G514-G515</f>
        <v>3268301076</v>
      </c>
      <c r="J520" s="85"/>
      <c r="K520" s="86"/>
      <c r="L520" s="85">
        <f>+J514-J515</f>
        <v>3914354094</v>
      </c>
      <c r="M520" s="85">
        <f>+F520+I520+L520</f>
        <v>7382655170</v>
      </c>
      <c r="N520" s="92">
        <f>+M520</f>
        <v>7382655170</v>
      </c>
    </row>
    <row r="521" spans="1:14">
      <c r="D521" s="88"/>
      <c r="E521" s="86"/>
      <c r="F521" s="89"/>
      <c r="G521" s="88"/>
      <c r="H521" s="86"/>
      <c r="I521" s="89"/>
      <c r="J521" s="89"/>
      <c r="K521" s="86"/>
      <c r="L521" s="89"/>
      <c r="M521" s="91"/>
      <c r="N521" s="92"/>
    </row>
    <row r="522" spans="1:14" ht="15.75" thickBot="1">
      <c r="A522" s="427" t="s">
        <v>86</v>
      </c>
      <c r="B522" s="428" t="s">
        <v>77</v>
      </c>
      <c r="C522" s="84" t="s">
        <v>87</v>
      </c>
      <c r="D522" s="85">
        <v>0</v>
      </c>
      <c r="E522" s="86">
        <f>+E518</f>
        <v>0.5</v>
      </c>
      <c r="F522" s="85">
        <f>+D522*E522</f>
        <v>0</v>
      </c>
      <c r="G522" s="85">
        <v>285746940</v>
      </c>
      <c r="H522" s="86">
        <f>+H518</f>
        <v>0.1</v>
      </c>
      <c r="I522" s="85">
        <f>+G522*H522</f>
        <v>28574694</v>
      </c>
      <c r="J522" s="85">
        <v>606801716</v>
      </c>
      <c r="K522" s="86">
        <f>+K518</f>
        <v>0.4</v>
      </c>
      <c r="L522" s="85">
        <f>+J522*K522</f>
        <v>242720686.40000001</v>
      </c>
      <c r="M522" s="85">
        <f>+F522+I522+L522</f>
        <v>271295380.39999998</v>
      </c>
      <c r="N522" s="430">
        <f>+M522/M523</f>
        <v>3.7075386989174874</v>
      </c>
    </row>
    <row r="523" spans="1:14" ht="15.75" thickTop="1">
      <c r="A523" s="427"/>
      <c r="B523" s="428"/>
      <c r="C523" s="76" t="s">
        <v>88</v>
      </c>
      <c r="D523" s="85">
        <v>0</v>
      </c>
      <c r="E523" s="86">
        <f>+E518</f>
        <v>0.5</v>
      </c>
      <c r="F523" s="85">
        <f>+D523*E523</f>
        <v>0</v>
      </c>
      <c r="G523" s="85"/>
      <c r="H523" s="86">
        <f>+H518</f>
        <v>0.1</v>
      </c>
      <c r="I523" s="85">
        <f>+G523*H523</f>
        <v>0</v>
      </c>
      <c r="J523" s="85">
        <v>182934962</v>
      </c>
      <c r="K523" s="86">
        <f>+K518</f>
        <v>0.4</v>
      </c>
      <c r="L523" s="85">
        <f>+J523*K523</f>
        <v>73173984.799999997</v>
      </c>
      <c r="M523" s="85">
        <f>+F523+I523+L523</f>
        <v>73173984.799999997</v>
      </c>
      <c r="N523" s="430"/>
    </row>
    <row r="524" spans="1:14">
      <c r="D524" s="88"/>
      <c r="E524" s="86"/>
      <c r="F524" s="89"/>
      <c r="G524" s="88"/>
      <c r="H524" s="86"/>
      <c r="I524" s="89"/>
      <c r="J524" s="89"/>
      <c r="K524" s="86"/>
      <c r="L524" s="89"/>
      <c r="M524" s="91"/>
      <c r="N524" s="92"/>
    </row>
    <row r="525" spans="1:14" ht="15.75" thickBot="1">
      <c r="A525" s="427" t="s">
        <v>89</v>
      </c>
      <c r="B525" s="428" t="s">
        <v>77</v>
      </c>
      <c r="C525" s="93" t="s">
        <v>87</v>
      </c>
      <c r="D525" s="85">
        <f>+D522</f>
        <v>0</v>
      </c>
      <c r="E525" s="86">
        <f>+E523</f>
        <v>0.5</v>
      </c>
      <c r="F525" s="85">
        <f>+D525*E525</f>
        <v>0</v>
      </c>
      <c r="G525" s="85">
        <f>+G522</f>
        <v>285746940</v>
      </c>
      <c r="H525" s="86">
        <f>+H523</f>
        <v>0.1</v>
      </c>
      <c r="I525" s="85">
        <f>+G525*H525</f>
        <v>28574694</v>
      </c>
      <c r="J525" s="85">
        <f>+J522</f>
        <v>606801716</v>
      </c>
      <c r="K525" s="86">
        <f>+K523</f>
        <v>0.4</v>
      </c>
      <c r="L525" s="85">
        <f>+J525*K525</f>
        <v>242720686.40000001</v>
      </c>
      <c r="M525" s="85">
        <f>+F525+I525+L525</f>
        <v>271295380.39999998</v>
      </c>
      <c r="N525" s="429">
        <f>+M525/M526</f>
        <v>0.10351699475446056</v>
      </c>
    </row>
    <row r="526" spans="1:14" ht="15.75" thickTop="1">
      <c r="A526" s="427"/>
      <c r="B526" s="428"/>
      <c r="C526" s="94" t="s">
        <v>90</v>
      </c>
      <c r="D526" s="85">
        <f>+D518-D517</f>
        <v>200000000</v>
      </c>
      <c r="E526" s="86">
        <f>+E525</f>
        <v>0.5</v>
      </c>
      <c r="F526" s="85">
        <f>+D526*E526</f>
        <v>100000000</v>
      </c>
      <c r="G526" s="85">
        <f>+G518-G517</f>
        <v>3790318204</v>
      </c>
      <c r="H526" s="86">
        <f>+H525</f>
        <v>0.1</v>
      </c>
      <c r="I526" s="85">
        <f>+G526*H526</f>
        <v>379031820.40000004</v>
      </c>
      <c r="J526" s="85">
        <f>+J518-J517</f>
        <v>5354373127</v>
      </c>
      <c r="K526" s="86">
        <f>+K525</f>
        <v>0.4</v>
      </c>
      <c r="L526" s="85">
        <f>+J526*K526</f>
        <v>2141749250.8000002</v>
      </c>
      <c r="M526" s="85">
        <f>+F526+I526+L526</f>
        <v>2620781071.2000003</v>
      </c>
      <c r="N526" s="429"/>
    </row>
    <row r="527" spans="1:14">
      <c r="D527" s="88"/>
      <c r="E527" s="86"/>
      <c r="F527" s="89"/>
      <c r="G527" s="88"/>
      <c r="H527" s="86"/>
      <c r="I527" s="89"/>
      <c r="J527" s="89"/>
      <c r="K527" s="86"/>
      <c r="L527" s="89"/>
      <c r="M527" s="91"/>
      <c r="N527" s="92"/>
    </row>
    <row r="528" spans="1:14" ht="15.75" thickBot="1">
      <c r="A528" s="427" t="s">
        <v>91</v>
      </c>
      <c r="B528" s="428" t="s">
        <v>77</v>
      </c>
      <c r="C528" s="93" t="s">
        <v>87</v>
      </c>
      <c r="D528" s="85">
        <f>+D525</f>
        <v>0</v>
      </c>
      <c r="E528" s="86">
        <f>+E526</f>
        <v>0.5</v>
      </c>
      <c r="F528" s="85">
        <f>+D528*E528</f>
        <v>0</v>
      </c>
      <c r="G528" s="85">
        <f>+G525</f>
        <v>285746940</v>
      </c>
      <c r="H528" s="86">
        <f>+H526</f>
        <v>0.1</v>
      </c>
      <c r="I528" s="85">
        <f>+G528*H528</f>
        <v>28574694</v>
      </c>
      <c r="J528" s="85">
        <f>+J525</f>
        <v>606801716</v>
      </c>
      <c r="K528" s="86">
        <f>+K526</f>
        <v>0.4</v>
      </c>
      <c r="L528" s="85">
        <f>+J528*K528</f>
        <v>242720686.40000001</v>
      </c>
      <c r="M528" s="85">
        <f>+F528+I528+L528</f>
        <v>271295380.39999998</v>
      </c>
      <c r="N528" s="429">
        <f>+M528/M529</f>
        <v>8.6528857578267698E-2</v>
      </c>
    </row>
    <row r="529" spans="1:14" ht="15.75" thickTop="1">
      <c r="A529" s="427"/>
      <c r="B529" s="428"/>
      <c r="C529" s="94" t="s">
        <v>92</v>
      </c>
      <c r="D529" s="85">
        <f>+D518</f>
        <v>200000000</v>
      </c>
      <c r="E529" s="86">
        <f>+E528</f>
        <v>0.5</v>
      </c>
      <c r="F529" s="85">
        <f>+D529*E529</f>
        <v>100000000</v>
      </c>
      <c r="G529" s="85">
        <f>+G518</f>
        <v>3888939276</v>
      </c>
      <c r="H529" s="86">
        <f>+H528</f>
        <v>0.1</v>
      </c>
      <c r="I529" s="85">
        <f>+G529*H529</f>
        <v>388893927.60000002</v>
      </c>
      <c r="J529" s="85">
        <f>+J518</f>
        <v>6616057168</v>
      </c>
      <c r="K529" s="86">
        <f>+K528</f>
        <v>0.4</v>
      </c>
      <c r="L529" s="85">
        <f>+J529*K529</f>
        <v>2646422867.2000003</v>
      </c>
      <c r="M529" s="85">
        <f>+F529+I529+L529</f>
        <v>3135316794.8000002</v>
      </c>
      <c r="N529" s="429"/>
    </row>
    <row r="531" spans="1:14">
      <c r="D531" s="441" t="str">
        <f>+[2]INDICADORES!T67</f>
        <v>CONSORCIO OBRAS JUDICIALES</v>
      </c>
      <c r="E531" s="442"/>
      <c r="F531" s="442"/>
      <c r="G531" s="442"/>
      <c r="H531" s="442"/>
      <c r="I531" s="442"/>
      <c r="J531" s="442"/>
      <c r="K531" s="433" t="s">
        <v>133</v>
      </c>
    </row>
    <row r="532" spans="1:14">
      <c r="D532" s="434" t="s">
        <v>195</v>
      </c>
      <c r="E532" s="434"/>
      <c r="F532" s="434"/>
      <c r="G532" s="434" t="s">
        <v>196</v>
      </c>
      <c r="H532" s="434"/>
      <c r="I532" s="434"/>
      <c r="J532" s="435" t="s">
        <v>132</v>
      </c>
      <c r="K532" s="433"/>
    </row>
    <row r="533" spans="1:14">
      <c r="D533" s="434"/>
      <c r="E533" s="434"/>
      <c r="F533" s="434"/>
      <c r="G533" s="434"/>
      <c r="H533" s="434"/>
      <c r="I533" s="434"/>
      <c r="J533" s="436"/>
      <c r="K533" s="433"/>
    </row>
    <row r="534" spans="1:14">
      <c r="C534" s="79" t="s">
        <v>135</v>
      </c>
      <c r="D534" s="438" t="s">
        <v>143</v>
      </c>
      <c r="E534" s="439"/>
      <c r="F534" s="440"/>
      <c r="G534" s="438" t="s">
        <v>150</v>
      </c>
      <c r="H534" s="439"/>
      <c r="I534" s="440"/>
      <c r="J534" s="436"/>
      <c r="K534" s="433"/>
    </row>
    <row r="535" spans="1:14" ht="34.5">
      <c r="D535" s="269" t="s">
        <v>137</v>
      </c>
      <c r="E535" s="80" t="s">
        <v>138</v>
      </c>
      <c r="F535" s="81" t="s">
        <v>139</v>
      </c>
      <c r="G535" s="81" t="s">
        <v>137</v>
      </c>
      <c r="H535" s="80" t="s">
        <v>138</v>
      </c>
      <c r="I535" s="81" t="s">
        <v>139</v>
      </c>
      <c r="J535" s="437"/>
      <c r="K535" s="433"/>
    </row>
    <row r="536" spans="1:14" ht="15.75" thickBot="1">
      <c r="A536" s="427" t="s">
        <v>76</v>
      </c>
      <c r="B536" s="428" t="s">
        <v>77</v>
      </c>
      <c r="C536" s="84" t="s">
        <v>78</v>
      </c>
      <c r="D536" s="85">
        <v>11079225000</v>
      </c>
      <c r="E536" s="86">
        <v>0.9</v>
      </c>
      <c r="F536" s="85">
        <f>+D536*E536</f>
        <v>9971302500</v>
      </c>
      <c r="G536" s="85">
        <v>836005000</v>
      </c>
      <c r="H536" s="86">
        <v>0.1</v>
      </c>
      <c r="I536" s="85">
        <f>+G536*H536</f>
        <v>83600500</v>
      </c>
      <c r="J536" s="85">
        <f>+F536+I536</f>
        <v>10054903000</v>
      </c>
      <c r="K536" s="430">
        <f>+J536/J537</f>
        <v>27.490642018628201</v>
      </c>
    </row>
    <row r="537" spans="1:14" ht="15.75" thickTop="1">
      <c r="A537" s="427"/>
      <c r="B537" s="428"/>
      <c r="C537" s="76" t="s">
        <v>80</v>
      </c>
      <c r="D537" s="85">
        <v>386635000</v>
      </c>
      <c r="E537" s="86">
        <f>+E536</f>
        <v>0.9</v>
      </c>
      <c r="F537" s="85">
        <f>+D537*E537</f>
        <v>347971500</v>
      </c>
      <c r="G537" s="85">
        <v>177858000</v>
      </c>
      <c r="H537" s="86">
        <f>+H536</f>
        <v>0.1</v>
      </c>
      <c r="I537" s="85">
        <f>+G537*H537</f>
        <v>17785800</v>
      </c>
      <c r="J537" s="85">
        <f>+F537+I537</f>
        <v>365757300</v>
      </c>
      <c r="K537" s="430"/>
    </row>
    <row r="538" spans="1:14">
      <c r="D538" s="88"/>
      <c r="E538" s="89"/>
      <c r="F538" s="89"/>
      <c r="G538" s="89"/>
      <c r="H538" s="89"/>
      <c r="I538" s="89"/>
      <c r="J538" s="91"/>
      <c r="K538" s="92"/>
    </row>
    <row r="539" spans="1:14" ht="15.75" thickBot="1">
      <c r="A539" s="427" t="s">
        <v>81</v>
      </c>
      <c r="B539" s="428" t="s">
        <v>77</v>
      </c>
      <c r="C539" s="93" t="s">
        <v>82</v>
      </c>
      <c r="D539" s="85">
        <v>6392099000</v>
      </c>
      <c r="E539" s="86">
        <f>+E537</f>
        <v>0.9</v>
      </c>
      <c r="F539" s="85">
        <f>+D539*E539</f>
        <v>5752889100</v>
      </c>
      <c r="G539" s="85">
        <v>578898000</v>
      </c>
      <c r="H539" s="86">
        <f>+H537</f>
        <v>0.1</v>
      </c>
      <c r="I539" s="85">
        <f>+G539*H539</f>
        <v>57889800</v>
      </c>
      <c r="J539" s="85">
        <f>+F539+I539</f>
        <v>5810778900</v>
      </c>
      <c r="K539" s="429">
        <f>+J539/J540</f>
        <v>0.55879031477891694</v>
      </c>
    </row>
    <row r="540" spans="1:14" ht="15.75" thickTop="1">
      <c r="A540" s="427"/>
      <c r="B540" s="428"/>
      <c r="C540" s="94" t="s">
        <v>83</v>
      </c>
      <c r="D540" s="85">
        <v>11460875000</v>
      </c>
      <c r="E540" s="86">
        <f>+E539</f>
        <v>0.9</v>
      </c>
      <c r="F540" s="85">
        <f>+D540*E540</f>
        <v>10314787500</v>
      </c>
      <c r="G540" s="85">
        <v>840665000</v>
      </c>
      <c r="H540" s="86">
        <f>+H539</f>
        <v>0.1</v>
      </c>
      <c r="I540" s="85">
        <f>+G540*H540</f>
        <v>84066500</v>
      </c>
      <c r="J540" s="85">
        <f>+F540+I540</f>
        <v>10398854000</v>
      </c>
      <c r="K540" s="429"/>
    </row>
    <row r="541" spans="1:14">
      <c r="D541" s="88"/>
      <c r="E541" s="86"/>
      <c r="F541" s="89"/>
      <c r="G541" s="89"/>
      <c r="H541" s="86"/>
      <c r="I541" s="89"/>
      <c r="J541" s="91"/>
      <c r="K541" s="92"/>
    </row>
    <row r="542" spans="1:14" ht="19.5">
      <c r="A542" s="76" t="s">
        <v>84</v>
      </c>
      <c r="B542" s="76" t="s">
        <v>140</v>
      </c>
      <c r="C542" s="95" t="s">
        <v>85</v>
      </c>
      <c r="D542" s="85"/>
      <c r="E542" s="85"/>
      <c r="F542" s="85">
        <f>+D536-D537</f>
        <v>10692590000</v>
      </c>
      <c r="G542" s="85"/>
      <c r="H542" s="86"/>
      <c r="I542" s="85">
        <f>+G536-G537</f>
        <v>658147000</v>
      </c>
      <c r="J542" s="85">
        <f>+F542+I542</f>
        <v>11350737000</v>
      </c>
      <c r="K542" s="181">
        <f>+F542+I542</f>
        <v>11350737000</v>
      </c>
    </row>
    <row r="543" spans="1:14">
      <c r="D543" s="88"/>
      <c r="E543" s="86"/>
      <c r="F543" s="89"/>
      <c r="G543" s="89"/>
      <c r="H543" s="86"/>
      <c r="I543" s="89"/>
      <c r="J543" s="91"/>
      <c r="K543" s="92"/>
    </row>
    <row r="544" spans="1:14" ht="15.75" thickBot="1">
      <c r="A544" s="427" t="s">
        <v>86</v>
      </c>
      <c r="B544" s="428" t="s">
        <v>77</v>
      </c>
      <c r="C544" s="84" t="s">
        <v>87</v>
      </c>
      <c r="D544" s="85">
        <v>2491826000</v>
      </c>
      <c r="E544" s="86">
        <f>+E540</f>
        <v>0.9</v>
      </c>
      <c r="F544" s="85">
        <f>+D544*E544</f>
        <v>2242643400</v>
      </c>
      <c r="G544" s="85">
        <v>71214000</v>
      </c>
      <c r="H544" s="86">
        <f>+H540</f>
        <v>0.1</v>
      </c>
      <c r="I544" s="85">
        <f>+G544*H544</f>
        <v>7121400</v>
      </c>
      <c r="J544" s="85">
        <f>+F544+I544</f>
        <v>2249764800</v>
      </c>
      <c r="K544" s="429">
        <f>+J544/J545</f>
        <v>193.39839075716938</v>
      </c>
    </row>
    <row r="545" spans="1:11" ht="15.75" thickTop="1">
      <c r="A545" s="427"/>
      <c r="B545" s="428"/>
      <c r="C545" s="76" t="s">
        <v>88</v>
      </c>
      <c r="D545" s="85">
        <v>12878000</v>
      </c>
      <c r="E545" s="86">
        <f>+E540</f>
        <v>0.9</v>
      </c>
      <c r="F545" s="85">
        <f>+D545*E545</f>
        <v>11590200</v>
      </c>
      <c r="G545" s="85">
        <v>426000</v>
      </c>
      <c r="H545" s="86">
        <f>+H540</f>
        <v>0.1</v>
      </c>
      <c r="I545" s="85">
        <f>+G545*H545</f>
        <v>42600</v>
      </c>
      <c r="J545" s="85">
        <f>+F545+I545</f>
        <v>11632800</v>
      </c>
      <c r="K545" s="429"/>
    </row>
    <row r="546" spans="1:11">
      <c r="D546" s="88"/>
      <c r="E546" s="86"/>
      <c r="F546" s="89"/>
      <c r="G546" s="89"/>
      <c r="H546" s="86"/>
      <c r="I546" s="89"/>
      <c r="J546" s="91"/>
      <c r="K546" s="92"/>
    </row>
    <row r="547" spans="1:11" ht="15.75" thickBot="1">
      <c r="A547" s="427" t="s">
        <v>89</v>
      </c>
      <c r="B547" s="428" t="s">
        <v>77</v>
      </c>
      <c r="C547" s="93" t="s">
        <v>87</v>
      </c>
      <c r="D547" s="85">
        <f>+D544</f>
        <v>2491826000</v>
      </c>
      <c r="E547" s="86">
        <f>+E545</f>
        <v>0.9</v>
      </c>
      <c r="F547" s="85">
        <f>+D547*E547</f>
        <v>2242643400</v>
      </c>
      <c r="G547" s="85">
        <f>+G544</f>
        <v>71214000</v>
      </c>
      <c r="H547" s="86">
        <f>+H545</f>
        <v>0.1</v>
      </c>
      <c r="I547" s="85">
        <f>+G547*H547</f>
        <v>7121400</v>
      </c>
      <c r="J547" s="85">
        <f>+F547+I547</f>
        <v>2249764800</v>
      </c>
      <c r="K547" s="429">
        <f>+J547/J548</f>
        <v>0.49035047399289516</v>
      </c>
    </row>
    <row r="548" spans="1:11" ht="15.75" thickTop="1">
      <c r="A548" s="427"/>
      <c r="B548" s="428"/>
      <c r="C548" s="94" t="s">
        <v>90</v>
      </c>
      <c r="D548" s="85">
        <f>+D540-D539</f>
        <v>5068776000</v>
      </c>
      <c r="E548" s="86">
        <f>+E547</f>
        <v>0.9</v>
      </c>
      <c r="F548" s="85">
        <f>+D548*E548</f>
        <v>4561898400</v>
      </c>
      <c r="G548" s="85">
        <f>+G540-G539</f>
        <v>261767000</v>
      </c>
      <c r="H548" s="86">
        <f>+H547</f>
        <v>0.1</v>
      </c>
      <c r="I548" s="85">
        <f>+G548*H548</f>
        <v>26176700</v>
      </c>
      <c r="J548" s="85">
        <f>+F548+I548</f>
        <v>4588075100</v>
      </c>
      <c r="K548" s="429"/>
    </row>
    <row r="549" spans="1:11">
      <c r="D549" s="88"/>
      <c r="E549" s="86"/>
      <c r="F549" s="89"/>
      <c r="G549" s="89"/>
      <c r="H549" s="86"/>
      <c r="I549" s="89"/>
      <c r="J549" s="91"/>
      <c r="K549" s="92"/>
    </row>
    <row r="550" spans="1:11" ht="15.75" thickBot="1">
      <c r="A550" s="427" t="s">
        <v>91</v>
      </c>
      <c r="B550" s="428" t="s">
        <v>77</v>
      </c>
      <c r="C550" s="93" t="s">
        <v>87</v>
      </c>
      <c r="D550" s="85">
        <f>+D547</f>
        <v>2491826000</v>
      </c>
      <c r="E550" s="86">
        <f>+E548</f>
        <v>0.9</v>
      </c>
      <c r="F550" s="85">
        <f>+D550*E550</f>
        <v>2242643400</v>
      </c>
      <c r="G550" s="85">
        <f>+G547</f>
        <v>71214000</v>
      </c>
      <c r="H550" s="86">
        <f>+H548</f>
        <v>0.1</v>
      </c>
      <c r="I550" s="85">
        <f>+G550*H550</f>
        <v>7121400</v>
      </c>
      <c r="J550" s="85">
        <f>+F550+I550</f>
        <v>2249764800</v>
      </c>
      <c r="K550" s="429">
        <f>+J550/J551</f>
        <v>0.21634737827841413</v>
      </c>
    </row>
    <row r="551" spans="1:11" ht="15.75" thickTop="1">
      <c r="A551" s="427"/>
      <c r="B551" s="428"/>
      <c r="C551" s="94" t="s">
        <v>92</v>
      </c>
      <c r="D551" s="85">
        <f>+D540</f>
        <v>11460875000</v>
      </c>
      <c r="E551" s="86">
        <f>+E550</f>
        <v>0.9</v>
      </c>
      <c r="F551" s="85">
        <f>+D551*E551</f>
        <v>10314787500</v>
      </c>
      <c r="G551" s="85">
        <f>+G540</f>
        <v>840665000</v>
      </c>
      <c r="H551" s="86">
        <f>+H550</f>
        <v>0.1</v>
      </c>
      <c r="I551" s="85">
        <f>+G551*H551</f>
        <v>84066500</v>
      </c>
      <c r="J551" s="85">
        <f>+F551+I551</f>
        <v>10398854000</v>
      </c>
      <c r="K551" s="429"/>
    </row>
    <row r="554" spans="1:11">
      <c r="D554" s="431" t="str">
        <f>+[2]INDICADORES!E89</f>
        <v>CONSORCIO PALACIO DE MAGANGUÉ.</v>
      </c>
      <c r="E554" s="432"/>
      <c r="F554" s="432"/>
      <c r="G554" s="432"/>
      <c r="H554" s="432"/>
      <c r="I554" s="432"/>
      <c r="J554" s="432"/>
      <c r="K554" s="433" t="s">
        <v>133</v>
      </c>
    </row>
    <row r="555" spans="1:11">
      <c r="D555" s="434" t="s">
        <v>197</v>
      </c>
      <c r="E555" s="434"/>
      <c r="F555" s="434"/>
      <c r="G555" s="434" t="s">
        <v>198</v>
      </c>
      <c r="H555" s="434"/>
      <c r="I555" s="434"/>
      <c r="J555" s="435" t="s">
        <v>132</v>
      </c>
      <c r="K555" s="433"/>
    </row>
    <row r="556" spans="1:11">
      <c r="D556" s="434"/>
      <c r="E556" s="434"/>
      <c r="F556" s="434"/>
      <c r="G556" s="434"/>
      <c r="H556" s="434"/>
      <c r="I556" s="434"/>
      <c r="J556" s="436"/>
      <c r="K556" s="433"/>
    </row>
    <row r="557" spans="1:11">
      <c r="C557" s="79" t="s">
        <v>135</v>
      </c>
      <c r="D557" s="438" t="s">
        <v>136</v>
      </c>
      <c r="E557" s="439"/>
      <c r="F557" s="440"/>
      <c r="G557" s="438"/>
      <c r="H557" s="439"/>
      <c r="I557" s="440"/>
      <c r="J557" s="436"/>
      <c r="K557" s="433"/>
    </row>
    <row r="558" spans="1:11" ht="34.5">
      <c r="D558" s="269" t="s">
        <v>137</v>
      </c>
      <c r="E558" s="80" t="s">
        <v>138</v>
      </c>
      <c r="F558" s="81" t="s">
        <v>139</v>
      </c>
      <c r="G558" s="81" t="s">
        <v>137</v>
      </c>
      <c r="H558" s="80" t="s">
        <v>138</v>
      </c>
      <c r="I558" s="81" t="s">
        <v>139</v>
      </c>
      <c r="J558" s="437"/>
      <c r="K558" s="433"/>
    </row>
    <row r="559" spans="1:11" ht="15.75" thickBot="1">
      <c r="A559" s="427" t="s">
        <v>76</v>
      </c>
      <c r="B559" s="428" t="s">
        <v>77</v>
      </c>
      <c r="C559" s="84" t="s">
        <v>78</v>
      </c>
      <c r="D559" s="85">
        <v>1319686176</v>
      </c>
      <c r="E559" s="86">
        <v>0.9</v>
      </c>
      <c r="F559" s="85">
        <f>+D559*E559</f>
        <v>1187717558.4000001</v>
      </c>
      <c r="G559" s="85">
        <v>30520349922</v>
      </c>
      <c r="H559" s="86">
        <v>0.1</v>
      </c>
      <c r="I559" s="85">
        <f>+G559*H559</f>
        <v>3052034992.2000003</v>
      </c>
      <c r="J559" s="85">
        <f>+F559+I559</f>
        <v>4239752550.6000004</v>
      </c>
      <c r="K559" s="430">
        <f>+J559/J560</f>
        <v>3.2703670079457536</v>
      </c>
    </row>
    <row r="560" spans="1:11" ht="15.75" thickTop="1">
      <c r="A560" s="427"/>
      <c r="B560" s="428"/>
      <c r="C560" s="76" t="s">
        <v>80</v>
      </c>
      <c r="D560" s="85">
        <v>80620000</v>
      </c>
      <c r="E560" s="86">
        <f>+E559</f>
        <v>0.9</v>
      </c>
      <c r="F560" s="85">
        <f>+D560*E560</f>
        <v>72558000</v>
      </c>
      <c r="G560" s="85">
        <v>12238569101</v>
      </c>
      <c r="H560" s="86">
        <f>+H559</f>
        <v>0.1</v>
      </c>
      <c r="I560" s="85">
        <f>+G560*H560</f>
        <v>1223856910.1000001</v>
      </c>
      <c r="J560" s="85">
        <f>+F560+I560</f>
        <v>1296414910.1000001</v>
      </c>
      <c r="K560" s="430"/>
    </row>
    <row r="561" spans="1:11">
      <c r="D561" s="88"/>
      <c r="E561" s="89"/>
      <c r="F561" s="89"/>
      <c r="G561" s="89"/>
      <c r="H561" s="89"/>
      <c r="I561" s="89"/>
      <c r="J561" s="91"/>
      <c r="K561" s="92"/>
    </row>
    <row r="562" spans="1:11" ht="15.75" thickBot="1">
      <c r="A562" s="427" t="s">
        <v>81</v>
      </c>
      <c r="B562" s="428" t="s">
        <v>77</v>
      </c>
      <c r="C562" s="93" t="s">
        <v>82</v>
      </c>
      <c r="D562" s="85">
        <v>80620000</v>
      </c>
      <c r="E562" s="86">
        <f>+E560</f>
        <v>0.9</v>
      </c>
      <c r="F562" s="85">
        <f>+D562*E562</f>
        <v>72558000</v>
      </c>
      <c r="G562" s="85">
        <v>14436050373</v>
      </c>
      <c r="H562" s="86">
        <f>+H560</f>
        <v>0.1</v>
      </c>
      <c r="I562" s="85">
        <f>+G562*H562</f>
        <v>1443605037.3000002</v>
      </c>
      <c r="J562" s="85">
        <f>+F562+I562</f>
        <v>1516163037.3000002</v>
      </c>
      <c r="K562" s="429">
        <f>+J562/J563</f>
        <v>0.33563840917738852</v>
      </c>
    </row>
    <row r="563" spans="1:11" ht="15.75" thickTop="1">
      <c r="A563" s="427"/>
      <c r="B563" s="428"/>
      <c r="C563" s="94" t="s">
        <v>83</v>
      </c>
      <c r="D563" s="85">
        <v>1609843088</v>
      </c>
      <c r="E563" s="86">
        <f>+E562</f>
        <v>0.9</v>
      </c>
      <c r="F563" s="85">
        <f>+D563*E563</f>
        <v>1448858779.2</v>
      </c>
      <c r="G563" s="85">
        <v>30683925122</v>
      </c>
      <c r="H563" s="86">
        <f>+H562</f>
        <v>0.1</v>
      </c>
      <c r="I563" s="85">
        <f>+G563*H563</f>
        <v>3068392512.2000003</v>
      </c>
      <c r="J563" s="85">
        <f>+F563+I563</f>
        <v>4517251291.4000006</v>
      </c>
      <c r="K563" s="429"/>
    </row>
    <row r="564" spans="1:11">
      <c r="D564" s="88"/>
      <c r="E564" s="86"/>
      <c r="F564" s="89"/>
      <c r="G564" s="89"/>
      <c r="H564" s="86"/>
      <c r="I564" s="89"/>
      <c r="J564" s="91"/>
      <c r="K564" s="92"/>
    </row>
    <row r="565" spans="1:11" ht="19.5">
      <c r="A565" s="76" t="s">
        <v>84</v>
      </c>
      <c r="B565" s="76" t="s">
        <v>140</v>
      </c>
      <c r="C565" s="95" t="s">
        <v>85</v>
      </c>
      <c r="D565" s="85"/>
      <c r="E565" s="85"/>
      <c r="F565" s="85">
        <f>+D559-D560</f>
        <v>1239066176</v>
      </c>
      <c r="G565" s="85"/>
      <c r="H565" s="86"/>
      <c r="I565" s="85">
        <f>+G559-G560</f>
        <v>18281780821</v>
      </c>
      <c r="J565" s="85">
        <f>+F565+I565</f>
        <v>19520846997</v>
      </c>
      <c r="K565" s="97">
        <f>+F565+I565</f>
        <v>19520846997</v>
      </c>
    </row>
    <row r="566" spans="1:11">
      <c r="D566" s="88"/>
      <c r="E566" s="86"/>
      <c r="F566" s="89"/>
      <c r="G566" s="89"/>
      <c r="H566" s="86"/>
      <c r="I566" s="89"/>
      <c r="J566" s="91"/>
      <c r="K566" s="92"/>
    </row>
    <row r="567" spans="1:11" ht="15.75" thickBot="1">
      <c r="A567" s="427" t="s">
        <v>86</v>
      </c>
      <c r="B567" s="428" t="s">
        <v>77</v>
      </c>
      <c r="C567" s="84" t="s">
        <v>87</v>
      </c>
      <c r="D567" s="85">
        <v>29223088</v>
      </c>
      <c r="E567" s="86">
        <f>+E563</f>
        <v>0.9</v>
      </c>
      <c r="F567" s="85">
        <f>+D567*E567</f>
        <v>26300779.199999999</v>
      </c>
      <c r="G567" s="85">
        <v>24861486020</v>
      </c>
      <c r="H567" s="86">
        <f>+H563</f>
        <v>0.1</v>
      </c>
      <c r="I567" s="85">
        <f>+G567*H567</f>
        <v>2486148602</v>
      </c>
      <c r="J567" s="85">
        <f>+F567+I567</f>
        <v>2512449381.1999998</v>
      </c>
      <c r="K567" s="429">
        <f>+J567/J568</f>
        <v>15.192644308363283</v>
      </c>
    </row>
    <row r="568" spans="1:11" ht="15.75" thickTop="1">
      <c r="A568" s="427"/>
      <c r="B568" s="428"/>
      <c r="C568" s="76" t="s">
        <v>88</v>
      </c>
      <c r="D568" s="85">
        <v>179654000</v>
      </c>
      <c r="E568" s="86">
        <f>+E563</f>
        <v>0.9</v>
      </c>
      <c r="F568" s="85">
        <f>+D568*E568</f>
        <v>161688600</v>
      </c>
      <c r="G568" s="85">
        <v>36841508</v>
      </c>
      <c r="H568" s="86">
        <f>+H563</f>
        <v>0.1</v>
      </c>
      <c r="I568" s="85">
        <f>+G568*H568</f>
        <v>3684150.8000000003</v>
      </c>
      <c r="J568" s="85">
        <f>+F568+I568</f>
        <v>165372750.80000001</v>
      </c>
      <c r="K568" s="429"/>
    </row>
    <row r="569" spans="1:11">
      <c r="D569" s="88"/>
      <c r="E569" s="86"/>
      <c r="F569" s="89"/>
      <c r="G569" s="89"/>
      <c r="H569" s="86"/>
      <c r="I569" s="89"/>
      <c r="J569" s="91"/>
      <c r="K569" s="92"/>
    </row>
    <row r="570" spans="1:11" ht="15.75" thickBot="1">
      <c r="A570" s="427" t="s">
        <v>89</v>
      </c>
      <c r="B570" s="428" t="s">
        <v>77</v>
      </c>
      <c r="C570" s="93" t="s">
        <v>87</v>
      </c>
      <c r="D570" s="85">
        <f>+D567</f>
        <v>29223088</v>
      </c>
      <c r="E570" s="86">
        <f>+E568</f>
        <v>0.9</v>
      </c>
      <c r="F570" s="85">
        <f>+D570*E570</f>
        <v>26300779.199999999</v>
      </c>
      <c r="G570" s="85">
        <f>+G567</f>
        <v>24861486020</v>
      </c>
      <c r="H570" s="86">
        <f>+H568</f>
        <v>0.1</v>
      </c>
      <c r="I570" s="85">
        <f>+G570*H570</f>
        <v>2486148602</v>
      </c>
      <c r="J570" s="85">
        <f>+F570+I570</f>
        <v>2512449381.1999998</v>
      </c>
      <c r="K570" s="429">
        <f>+J570/J571</f>
        <v>0.83717943908099468</v>
      </c>
    </row>
    <row r="571" spans="1:11" ht="15.75" thickTop="1">
      <c r="A571" s="427"/>
      <c r="B571" s="428"/>
      <c r="C571" s="94" t="s">
        <v>90</v>
      </c>
      <c r="D571" s="85">
        <f>+D563-D562</f>
        <v>1529223088</v>
      </c>
      <c r="E571" s="86">
        <f>+E570</f>
        <v>0.9</v>
      </c>
      <c r="F571" s="85">
        <f>+D571*E571</f>
        <v>1376300779.2</v>
      </c>
      <c r="G571" s="85">
        <f>+G563-G562</f>
        <v>16247874749</v>
      </c>
      <c r="H571" s="86">
        <f>+H570</f>
        <v>0.1</v>
      </c>
      <c r="I571" s="85">
        <f>+G571*H571</f>
        <v>1624787474.9000001</v>
      </c>
      <c r="J571" s="85">
        <f>+F571+I571</f>
        <v>3001088254.1000004</v>
      </c>
      <c r="K571" s="429"/>
    </row>
    <row r="572" spans="1:11">
      <c r="D572" s="88"/>
      <c r="E572" s="86"/>
      <c r="F572" s="89"/>
      <c r="G572" s="89"/>
      <c r="H572" s="86"/>
      <c r="I572" s="89"/>
      <c r="J572" s="91"/>
      <c r="K572" s="92"/>
    </row>
    <row r="573" spans="1:11" ht="15.75" thickBot="1">
      <c r="A573" s="427" t="s">
        <v>91</v>
      </c>
      <c r="B573" s="428" t="s">
        <v>77</v>
      </c>
      <c r="C573" s="93" t="s">
        <v>87</v>
      </c>
      <c r="D573" s="85">
        <f>+D570</f>
        <v>29223088</v>
      </c>
      <c r="E573" s="86">
        <f>+E571</f>
        <v>0.9</v>
      </c>
      <c r="F573" s="85">
        <f>+D573*E573</f>
        <v>26300779.199999999</v>
      </c>
      <c r="G573" s="85">
        <f>+G570</f>
        <v>24861486020</v>
      </c>
      <c r="H573" s="86">
        <f>+H571</f>
        <v>0.1</v>
      </c>
      <c r="I573" s="85">
        <f>+G573*H573</f>
        <v>2486148602</v>
      </c>
      <c r="J573" s="85">
        <f>+F573+I573</f>
        <v>2512449381.1999998</v>
      </c>
      <c r="K573" s="429">
        <f>+J573/J574</f>
        <v>0.55618986395183112</v>
      </c>
    </row>
    <row r="574" spans="1:11" ht="15.75" thickTop="1">
      <c r="A574" s="427"/>
      <c r="B574" s="428"/>
      <c r="C574" s="94" t="s">
        <v>92</v>
      </c>
      <c r="D574" s="85">
        <f>+D563</f>
        <v>1609843088</v>
      </c>
      <c r="E574" s="86">
        <f>+E573</f>
        <v>0.9</v>
      </c>
      <c r="F574" s="85">
        <f>+D574*E574</f>
        <v>1448858779.2</v>
      </c>
      <c r="G574" s="85">
        <f>+G563</f>
        <v>30683925122</v>
      </c>
      <c r="H574" s="86">
        <f>+H573</f>
        <v>0.1</v>
      </c>
      <c r="I574" s="85">
        <f>+G574*H574</f>
        <v>3068392512.2000003</v>
      </c>
      <c r="J574" s="85">
        <f>+F574+I574</f>
        <v>4517251291.4000006</v>
      </c>
      <c r="K574" s="429"/>
    </row>
    <row r="577" spans="1:11">
      <c r="D577" s="431" t="str">
        <f>+[2]INDICADORES!H89</f>
        <v>CONSORCIO SOCISER MAGANGUE</v>
      </c>
      <c r="E577" s="432"/>
      <c r="F577" s="432"/>
      <c r="G577" s="432"/>
      <c r="H577" s="432"/>
      <c r="I577" s="432"/>
      <c r="J577" s="432"/>
      <c r="K577" s="433" t="s">
        <v>133</v>
      </c>
    </row>
    <row r="578" spans="1:11">
      <c r="D578" s="434" t="s">
        <v>199</v>
      </c>
      <c r="E578" s="434"/>
      <c r="F578" s="434"/>
      <c r="G578" s="434" t="s">
        <v>200</v>
      </c>
      <c r="H578" s="434"/>
      <c r="I578" s="434"/>
      <c r="J578" s="435" t="s">
        <v>132</v>
      </c>
      <c r="K578" s="433"/>
    </row>
    <row r="579" spans="1:11">
      <c r="D579" s="434"/>
      <c r="E579" s="434"/>
      <c r="F579" s="434"/>
      <c r="G579" s="434"/>
      <c r="H579" s="434"/>
      <c r="I579" s="434"/>
      <c r="J579" s="436"/>
      <c r="K579" s="433"/>
    </row>
    <row r="580" spans="1:11">
      <c r="C580" s="79" t="s">
        <v>135</v>
      </c>
      <c r="D580" s="438" t="s">
        <v>136</v>
      </c>
      <c r="E580" s="439"/>
      <c r="F580" s="440"/>
      <c r="G580" s="438" t="s">
        <v>142</v>
      </c>
      <c r="H580" s="439"/>
      <c r="I580" s="440"/>
      <c r="J580" s="436"/>
      <c r="K580" s="433"/>
    </row>
    <row r="581" spans="1:11" ht="34.5">
      <c r="D581" s="269" t="s">
        <v>137</v>
      </c>
      <c r="E581" s="80" t="s">
        <v>138</v>
      </c>
      <c r="F581" s="81" t="s">
        <v>139</v>
      </c>
      <c r="G581" s="81" t="s">
        <v>137</v>
      </c>
      <c r="H581" s="80" t="s">
        <v>138</v>
      </c>
      <c r="I581" s="81" t="s">
        <v>139</v>
      </c>
      <c r="J581" s="437"/>
      <c r="K581" s="433"/>
    </row>
    <row r="582" spans="1:11" ht="15.75" thickBot="1">
      <c r="A582" s="427" t="s">
        <v>76</v>
      </c>
      <c r="B582" s="428" t="s">
        <v>77</v>
      </c>
      <c r="C582" s="84" t="s">
        <v>78</v>
      </c>
      <c r="D582" s="85">
        <v>1443652896</v>
      </c>
      <c r="E582" s="86">
        <v>0.49</v>
      </c>
      <c r="F582" s="85">
        <f>+D582*E582</f>
        <v>707389919.03999996</v>
      </c>
      <c r="G582" s="85">
        <v>28152620014</v>
      </c>
      <c r="H582" s="86">
        <v>0.51</v>
      </c>
      <c r="I582" s="85">
        <f>+G582*H582</f>
        <v>14357836207.139999</v>
      </c>
      <c r="J582" s="85">
        <f>+F582+I582</f>
        <v>15065226126.18</v>
      </c>
      <c r="K582" s="430">
        <f>+J582/J583</f>
        <v>9.5625923909165884</v>
      </c>
    </row>
    <row r="583" spans="1:11" ht="15.75" thickTop="1">
      <c r="A583" s="427"/>
      <c r="B583" s="428"/>
      <c r="C583" s="76" t="s">
        <v>80</v>
      </c>
      <c r="D583" s="85">
        <v>293273741</v>
      </c>
      <c r="E583" s="86">
        <f>+E582</f>
        <v>0.49</v>
      </c>
      <c r="F583" s="85">
        <f>+D583*E583</f>
        <v>143704133.09</v>
      </c>
      <c r="G583" s="85">
        <v>2807312018</v>
      </c>
      <c r="H583" s="86">
        <f>+H582</f>
        <v>0.51</v>
      </c>
      <c r="I583" s="85">
        <f>+G583*H583</f>
        <v>1431729129.1800001</v>
      </c>
      <c r="J583" s="85">
        <f>+F583+I583</f>
        <v>1575433262.27</v>
      </c>
      <c r="K583" s="430"/>
    </row>
    <row r="584" spans="1:11">
      <c r="D584" s="88"/>
      <c r="E584" s="89"/>
      <c r="F584" s="89"/>
      <c r="G584" s="89"/>
      <c r="H584" s="89"/>
      <c r="I584" s="89"/>
      <c r="J584" s="91"/>
      <c r="K584" s="92"/>
    </row>
    <row r="585" spans="1:11" ht="15.75" thickBot="1">
      <c r="A585" s="427" t="s">
        <v>81</v>
      </c>
      <c r="B585" s="428" t="s">
        <v>77</v>
      </c>
      <c r="C585" s="93" t="s">
        <v>82</v>
      </c>
      <c r="D585" s="85">
        <v>293273741</v>
      </c>
      <c r="E585" s="86">
        <f>+E583</f>
        <v>0.49</v>
      </c>
      <c r="F585" s="85">
        <f>+D585*E585</f>
        <v>143704133.09</v>
      </c>
      <c r="G585" s="85">
        <v>2948867955</v>
      </c>
      <c r="H585" s="86">
        <f>+H583</f>
        <v>0.51</v>
      </c>
      <c r="I585" s="85">
        <f>+G585*H585</f>
        <v>1503922657.05</v>
      </c>
      <c r="J585" s="85">
        <f>+F585+I585</f>
        <v>1647626790.1399999</v>
      </c>
      <c r="K585" s="429">
        <f>+J585/J586</f>
        <v>9.6422625675220322E-2</v>
      </c>
    </row>
    <row r="586" spans="1:11" ht="15.75" thickTop="1">
      <c r="A586" s="427"/>
      <c r="B586" s="428"/>
      <c r="C586" s="94" t="s">
        <v>83</v>
      </c>
      <c r="D586" s="85">
        <v>5570851942</v>
      </c>
      <c r="E586" s="86">
        <f>+E585</f>
        <v>0.49</v>
      </c>
      <c r="F586" s="85">
        <f>+D586*E586</f>
        <v>2729717451.5799999</v>
      </c>
      <c r="G586" s="85">
        <f>+G582</f>
        <v>28152620014</v>
      </c>
      <c r="H586" s="86">
        <f>+H585</f>
        <v>0.51</v>
      </c>
      <c r="I586" s="85">
        <f>+G586*H586</f>
        <v>14357836207.139999</v>
      </c>
      <c r="J586" s="85">
        <f>+F586+I586</f>
        <v>17087553658.719999</v>
      </c>
      <c r="K586" s="429"/>
    </row>
    <row r="587" spans="1:11">
      <c r="D587" s="88"/>
      <c r="E587" s="86"/>
      <c r="F587" s="89"/>
      <c r="G587" s="89"/>
      <c r="H587" s="86"/>
      <c r="I587" s="89"/>
      <c r="J587" s="91"/>
      <c r="K587" s="92"/>
    </row>
    <row r="588" spans="1:11" ht="19.5">
      <c r="A588" s="76" t="s">
        <v>84</v>
      </c>
      <c r="B588" s="76" t="s">
        <v>140</v>
      </c>
      <c r="C588" s="95" t="s">
        <v>85</v>
      </c>
      <c r="D588" s="85"/>
      <c r="E588" s="85"/>
      <c r="F588" s="85">
        <f>+D582-D583</f>
        <v>1150379155</v>
      </c>
      <c r="G588" s="85"/>
      <c r="H588" s="86"/>
      <c r="I588" s="85">
        <f>+G582-G583</f>
        <v>25345307996</v>
      </c>
      <c r="J588" s="85">
        <f>+F588+I588</f>
        <v>26495687151</v>
      </c>
      <c r="K588" s="97">
        <f>+F588+I588</f>
        <v>26495687151</v>
      </c>
    </row>
    <row r="589" spans="1:11">
      <c r="D589" s="88"/>
      <c r="E589" s="86"/>
      <c r="F589" s="89"/>
      <c r="G589" s="89"/>
      <c r="H589" s="86"/>
      <c r="I589" s="89"/>
      <c r="J589" s="91"/>
      <c r="K589" s="92"/>
    </row>
    <row r="590" spans="1:11" ht="15.75" thickBot="1">
      <c r="A590" s="427" t="s">
        <v>86</v>
      </c>
      <c r="B590" s="428" t="s">
        <v>77</v>
      </c>
      <c r="C590" s="84" t="s">
        <v>87</v>
      </c>
      <c r="D590" s="85">
        <v>333464661</v>
      </c>
      <c r="E590" s="86">
        <f>+E586</f>
        <v>0.49</v>
      </c>
      <c r="F590" s="85">
        <f>+D590*E590</f>
        <v>163397683.88999999</v>
      </c>
      <c r="G590" s="85">
        <v>2921714458</v>
      </c>
      <c r="H590" s="86">
        <f>+H586</f>
        <v>0.51</v>
      </c>
      <c r="I590" s="85">
        <f>+G590*H590</f>
        <v>1490074373.5799999</v>
      </c>
      <c r="J590" s="85">
        <f>+F590+I590</f>
        <v>1653472057.4699998</v>
      </c>
      <c r="K590" s="429">
        <f>+J590/J591</f>
        <v>57.527837973608719</v>
      </c>
    </row>
    <row r="591" spans="1:11" ht="15.75" thickTop="1">
      <c r="A591" s="427"/>
      <c r="B591" s="428"/>
      <c r="C591" s="76" t="s">
        <v>88</v>
      </c>
      <c r="D591" s="85">
        <v>58657389</v>
      </c>
      <c r="E591" s="86">
        <f>+E586</f>
        <v>0.49</v>
      </c>
      <c r="F591" s="85">
        <f>+D591*E591</f>
        <v>28742120.609999999</v>
      </c>
      <c r="G591" s="85">
        <v>0</v>
      </c>
      <c r="H591" s="86">
        <f>+H586</f>
        <v>0.51</v>
      </c>
      <c r="I591" s="85">
        <f>+G591*H591</f>
        <v>0</v>
      </c>
      <c r="J591" s="85">
        <f>+F591+I591</f>
        <v>28742120.609999999</v>
      </c>
      <c r="K591" s="429"/>
    </row>
    <row r="592" spans="1:11">
      <c r="D592" s="88"/>
      <c r="E592" s="86"/>
      <c r="F592" s="89"/>
      <c r="G592" s="89"/>
      <c r="H592" s="86"/>
      <c r="I592" s="89"/>
      <c r="J592" s="91"/>
      <c r="K592" s="92"/>
    </row>
    <row r="593" spans="1:11" ht="15.75" thickBot="1">
      <c r="A593" s="427" t="s">
        <v>89</v>
      </c>
      <c r="B593" s="428" t="s">
        <v>77</v>
      </c>
      <c r="C593" s="93" t="s">
        <v>87</v>
      </c>
      <c r="D593" s="85">
        <f>+D590</f>
        <v>333464661</v>
      </c>
      <c r="E593" s="86">
        <f>+E591</f>
        <v>0.49</v>
      </c>
      <c r="F593" s="85">
        <f>+D593*E593</f>
        <v>163397683.88999999</v>
      </c>
      <c r="G593" s="85">
        <f>+G590</f>
        <v>2921714458</v>
      </c>
      <c r="H593" s="86">
        <f>+H591</f>
        <v>0.51</v>
      </c>
      <c r="I593" s="85">
        <f>+G593*H593</f>
        <v>1490074373.5799999</v>
      </c>
      <c r="J593" s="85">
        <f>+F593+I593</f>
        <v>1653472057.4699998</v>
      </c>
      <c r="K593" s="429">
        <f>+J593/J594</f>
        <v>0.10709066639653511</v>
      </c>
    </row>
    <row r="594" spans="1:11" ht="15.75" thickTop="1">
      <c r="A594" s="427"/>
      <c r="B594" s="428"/>
      <c r="C594" s="94" t="s">
        <v>90</v>
      </c>
      <c r="D594" s="85">
        <f>+D586-D585</f>
        <v>5277578201</v>
      </c>
      <c r="E594" s="86">
        <f>+E593</f>
        <v>0.49</v>
      </c>
      <c r="F594" s="85">
        <f>+D594*E594</f>
        <v>2586013318.4899998</v>
      </c>
      <c r="G594" s="85">
        <f>+G586-G585</f>
        <v>25203752059</v>
      </c>
      <c r="H594" s="86">
        <f>+H593</f>
        <v>0.51</v>
      </c>
      <c r="I594" s="85">
        <f>+G594*H594</f>
        <v>12853913550.09</v>
      </c>
      <c r="J594" s="85">
        <f>+F594+I594</f>
        <v>15439926868.58</v>
      </c>
      <c r="K594" s="429"/>
    </row>
    <row r="595" spans="1:11">
      <c r="D595" s="88"/>
      <c r="E595" s="86"/>
      <c r="F595" s="89"/>
      <c r="G595" s="89"/>
      <c r="H595" s="86"/>
      <c r="I595" s="89"/>
      <c r="J595" s="91"/>
      <c r="K595" s="92"/>
    </row>
    <row r="596" spans="1:11" ht="15.75" thickBot="1">
      <c r="A596" s="427" t="s">
        <v>91</v>
      </c>
      <c r="B596" s="428" t="s">
        <v>77</v>
      </c>
      <c r="C596" s="93" t="s">
        <v>87</v>
      </c>
      <c r="D596" s="85">
        <f>+D593</f>
        <v>333464661</v>
      </c>
      <c r="E596" s="86">
        <f>+E594</f>
        <v>0.49</v>
      </c>
      <c r="F596" s="85">
        <f>+D596*E596</f>
        <v>163397683.88999999</v>
      </c>
      <c r="G596" s="85">
        <f>+G593</f>
        <v>2921714458</v>
      </c>
      <c r="H596" s="86">
        <f>+H594</f>
        <v>0.51</v>
      </c>
      <c r="I596" s="85">
        <f>+G596*H596</f>
        <v>1490074373.5799999</v>
      </c>
      <c r="J596" s="85">
        <f>+F596+I596</f>
        <v>1653472057.4699998</v>
      </c>
      <c r="K596" s="429">
        <f>+J596/J597</f>
        <v>9.6764703157272119E-2</v>
      </c>
    </row>
    <row r="597" spans="1:11" ht="15.75" thickTop="1">
      <c r="A597" s="427"/>
      <c r="B597" s="428"/>
      <c r="C597" s="94" t="s">
        <v>92</v>
      </c>
      <c r="D597" s="85">
        <f>+D586</f>
        <v>5570851942</v>
      </c>
      <c r="E597" s="86">
        <f>+E596</f>
        <v>0.49</v>
      </c>
      <c r="F597" s="85">
        <f>+D597*E597</f>
        <v>2729717451.5799999</v>
      </c>
      <c r="G597" s="85">
        <f>+G586</f>
        <v>28152620014</v>
      </c>
      <c r="H597" s="86">
        <f>+H596</f>
        <v>0.51</v>
      </c>
      <c r="I597" s="85">
        <f>+G597*H597</f>
        <v>14357836207.139999</v>
      </c>
      <c r="J597" s="85">
        <f>+F597+I597</f>
        <v>17087553658.719999</v>
      </c>
      <c r="K597" s="429"/>
    </row>
    <row r="600" spans="1:11">
      <c r="D600" s="431" t="str">
        <f>+[2]INDICADORES!K89</f>
        <v>CONSORCIO PALACIO XP</v>
      </c>
      <c r="E600" s="432"/>
      <c r="F600" s="432"/>
      <c r="G600" s="432"/>
      <c r="H600" s="432"/>
      <c r="I600" s="432"/>
      <c r="J600" s="432"/>
      <c r="K600" s="433" t="s">
        <v>133</v>
      </c>
    </row>
    <row r="601" spans="1:11">
      <c r="D601" s="434" t="s">
        <v>201</v>
      </c>
      <c r="E601" s="434"/>
      <c r="F601" s="434"/>
      <c r="G601" s="434" t="s">
        <v>202</v>
      </c>
      <c r="H601" s="434"/>
      <c r="I601" s="434"/>
      <c r="J601" s="435" t="s">
        <v>132</v>
      </c>
      <c r="K601" s="433"/>
    </row>
    <row r="602" spans="1:11">
      <c r="D602" s="434"/>
      <c r="E602" s="434"/>
      <c r="F602" s="434"/>
      <c r="G602" s="434"/>
      <c r="H602" s="434"/>
      <c r="I602" s="434"/>
      <c r="J602" s="436"/>
      <c r="K602" s="433"/>
    </row>
    <row r="603" spans="1:11">
      <c r="C603" s="79" t="s">
        <v>135</v>
      </c>
      <c r="D603" s="438" t="s">
        <v>143</v>
      </c>
      <c r="E603" s="439"/>
      <c r="F603" s="440"/>
      <c r="G603" s="438" t="s">
        <v>143</v>
      </c>
      <c r="H603" s="439"/>
      <c r="I603" s="440"/>
      <c r="J603" s="436"/>
      <c r="K603" s="433"/>
    </row>
    <row r="604" spans="1:11" ht="34.5">
      <c r="D604" s="269" t="s">
        <v>137</v>
      </c>
      <c r="E604" s="80" t="s">
        <v>138</v>
      </c>
      <c r="F604" s="81" t="s">
        <v>139</v>
      </c>
      <c r="G604" s="81" t="s">
        <v>137</v>
      </c>
      <c r="H604" s="80" t="s">
        <v>138</v>
      </c>
      <c r="I604" s="81" t="s">
        <v>139</v>
      </c>
      <c r="J604" s="437"/>
      <c r="K604" s="433"/>
    </row>
    <row r="605" spans="1:11" ht="15.75" thickBot="1">
      <c r="A605" s="427" t="s">
        <v>76</v>
      </c>
      <c r="B605" s="428" t="s">
        <v>77</v>
      </c>
      <c r="C605" s="84" t="s">
        <v>78</v>
      </c>
      <c r="D605" s="85">
        <v>14125855811</v>
      </c>
      <c r="E605" s="86">
        <v>0.6</v>
      </c>
      <c r="F605" s="85">
        <f>+D605*E605</f>
        <v>8475513486.5999994</v>
      </c>
      <c r="G605" s="85">
        <v>11700918777</v>
      </c>
      <c r="H605" s="86">
        <v>0.4</v>
      </c>
      <c r="I605" s="85">
        <f>+G605*H605</f>
        <v>4680367510.8000002</v>
      </c>
      <c r="J605" s="85">
        <f>+F605+I605</f>
        <v>13155880997.4</v>
      </c>
      <c r="K605" s="430">
        <f>+J605/J606</f>
        <v>17.478430551258857</v>
      </c>
    </row>
    <row r="606" spans="1:11" ht="15.75" thickTop="1">
      <c r="A606" s="427"/>
      <c r="B606" s="428"/>
      <c r="C606" s="76" t="s">
        <v>80</v>
      </c>
      <c r="D606" s="85">
        <v>201714511</v>
      </c>
      <c r="E606" s="86">
        <f>+E605</f>
        <v>0.6</v>
      </c>
      <c r="F606" s="85">
        <f>+D606*E606</f>
        <v>121028706.59999999</v>
      </c>
      <c r="G606" s="85">
        <v>1579159113</v>
      </c>
      <c r="H606" s="86">
        <f>+H605</f>
        <v>0.4</v>
      </c>
      <c r="I606" s="85">
        <f>+G606*H606</f>
        <v>631663645.20000005</v>
      </c>
      <c r="J606" s="85">
        <f>+F606+I606</f>
        <v>752692351.80000007</v>
      </c>
      <c r="K606" s="430"/>
    </row>
    <row r="607" spans="1:11">
      <c r="D607" s="88"/>
      <c r="E607" s="89"/>
      <c r="F607" s="89"/>
      <c r="G607" s="89"/>
      <c r="H607" s="89"/>
      <c r="I607" s="89"/>
      <c r="J607" s="91"/>
      <c r="K607" s="92"/>
    </row>
    <row r="608" spans="1:11" ht="15.75" thickBot="1">
      <c r="A608" s="427" t="s">
        <v>81</v>
      </c>
      <c r="B608" s="428" t="s">
        <v>77</v>
      </c>
      <c r="C608" s="93" t="s">
        <v>82</v>
      </c>
      <c r="D608" s="85">
        <v>7107081506</v>
      </c>
      <c r="E608" s="86">
        <f>+E606</f>
        <v>0.6</v>
      </c>
      <c r="F608" s="85">
        <f>+D608*E608</f>
        <v>4264248903.5999999</v>
      </c>
      <c r="G608" s="85">
        <v>1802940363</v>
      </c>
      <c r="H608" s="86">
        <f>+H606</f>
        <v>0.4</v>
      </c>
      <c r="I608" s="85">
        <f>+G608*H608</f>
        <v>721176145.20000005</v>
      </c>
      <c r="J608" s="85">
        <f>+F608+I608</f>
        <v>4985425048.8000002</v>
      </c>
      <c r="K608" s="429">
        <f>+J608/J609</f>
        <v>0.33224011025398997</v>
      </c>
    </row>
    <row r="609" spans="1:11" ht="15.75" thickTop="1">
      <c r="A609" s="427"/>
      <c r="B609" s="428"/>
      <c r="C609" s="94" t="s">
        <v>83</v>
      </c>
      <c r="D609" s="85">
        <v>16151570906</v>
      </c>
      <c r="E609" s="86">
        <f>+E608</f>
        <v>0.6</v>
      </c>
      <c r="F609" s="85">
        <f>+D609*E609</f>
        <v>9690942543.6000004</v>
      </c>
      <c r="G609" s="85">
        <v>13286364102</v>
      </c>
      <c r="H609" s="86">
        <f>+H608</f>
        <v>0.4</v>
      </c>
      <c r="I609" s="85">
        <f>+G609*H609</f>
        <v>5314545640.8000002</v>
      </c>
      <c r="J609" s="85">
        <f>+F609+I609</f>
        <v>15005488184.400002</v>
      </c>
      <c r="K609" s="429"/>
    </row>
    <row r="610" spans="1:11">
      <c r="D610" s="88"/>
      <c r="E610" s="86"/>
      <c r="F610" s="89"/>
      <c r="G610" s="89"/>
      <c r="H610" s="86"/>
      <c r="I610" s="89"/>
      <c r="J610" s="91"/>
      <c r="K610" s="92"/>
    </row>
    <row r="611" spans="1:11" ht="19.5">
      <c r="A611" s="76" t="s">
        <v>84</v>
      </c>
      <c r="B611" s="76" t="s">
        <v>140</v>
      </c>
      <c r="C611" s="95" t="s">
        <v>85</v>
      </c>
      <c r="D611" s="85"/>
      <c r="E611" s="85"/>
      <c r="F611" s="85">
        <f>+D605-D606</f>
        <v>13924141300</v>
      </c>
      <c r="G611" s="85"/>
      <c r="H611" s="86"/>
      <c r="I611" s="85">
        <f>+G605-G606</f>
        <v>10121759664</v>
      </c>
      <c r="J611" s="85">
        <f>+F611+I611</f>
        <v>24045900964</v>
      </c>
      <c r="K611" s="97">
        <f>+F611+I611</f>
        <v>24045900964</v>
      </c>
    </row>
    <row r="612" spans="1:11">
      <c r="D612" s="88"/>
      <c r="E612" s="86"/>
      <c r="F612" s="89"/>
      <c r="G612" s="89"/>
      <c r="H612" s="86"/>
      <c r="I612" s="89"/>
      <c r="J612" s="91"/>
      <c r="K612" s="92"/>
    </row>
    <row r="613" spans="1:11" ht="15.75" thickBot="1">
      <c r="A613" s="427" t="s">
        <v>86</v>
      </c>
      <c r="B613" s="428" t="s">
        <v>77</v>
      </c>
      <c r="C613" s="84" t="s">
        <v>87</v>
      </c>
      <c r="D613" s="85">
        <v>2237239812</v>
      </c>
      <c r="E613" s="86">
        <f>+E609</f>
        <v>0.6</v>
      </c>
      <c r="F613" s="85">
        <f>+D613*E613</f>
        <v>1342343887.2</v>
      </c>
      <c r="G613" s="85">
        <v>715409510</v>
      </c>
      <c r="H613" s="86">
        <f>+H609</f>
        <v>0.4</v>
      </c>
      <c r="I613" s="85">
        <f>+G613*H613</f>
        <v>286163804</v>
      </c>
      <c r="J613" s="85">
        <f>+F613+I613</f>
        <v>1628507691.2</v>
      </c>
      <c r="K613" s="429">
        <f>+J613/J614</f>
        <v>19.51760549093699</v>
      </c>
    </row>
    <row r="614" spans="1:11" ht="15.75" thickTop="1">
      <c r="A614" s="427"/>
      <c r="B614" s="428"/>
      <c r="C614" s="76" t="s">
        <v>88</v>
      </c>
      <c r="D614" s="85">
        <v>139063139</v>
      </c>
      <c r="E614" s="86">
        <f>+E609</f>
        <v>0.6</v>
      </c>
      <c r="F614" s="85">
        <f>+D614*E614</f>
        <v>83437883.399999991</v>
      </c>
      <c r="G614" s="85">
        <v>0</v>
      </c>
      <c r="H614" s="86">
        <f>+H609</f>
        <v>0.4</v>
      </c>
      <c r="I614" s="85">
        <f>+G614*H614</f>
        <v>0</v>
      </c>
      <c r="J614" s="85">
        <f>+F614+I614</f>
        <v>83437883.399999991</v>
      </c>
      <c r="K614" s="429"/>
    </row>
    <row r="615" spans="1:11">
      <c r="D615" s="88"/>
      <c r="E615" s="86"/>
      <c r="F615" s="89"/>
      <c r="G615" s="89"/>
      <c r="H615" s="86"/>
      <c r="I615" s="89"/>
      <c r="J615" s="91"/>
      <c r="K615" s="92"/>
    </row>
    <row r="616" spans="1:11" ht="15.75" thickBot="1">
      <c r="A616" s="427" t="s">
        <v>89</v>
      </c>
      <c r="B616" s="428" t="s">
        <v>77</v>
      </c>
      <c r="C616" s="93" t="s">
        <v>87</v>
      </c>
      <c r="D616" s="85">
        <f>+D613</f>
        <v>2237239812</v>
      </c>
      <c r="E616" s="86">
        <f>+E614</f>
        <v>0.6</v>
      </c>
      <c r="F616" s="85">
        <f>+D616*E616</f>
        <v>1342343887.2</v>
      </c>
      <c r="G616" s="85">
        <f>+G613</f>
        <v>715409510</v>
      </c>
      <c r="H616" s="86">
        <f>+H614</f>
        <v>0.4</v>
      </c>
      <c r="I616" s="85">
        <f>+G616*H616</f>
        <v>286163804</v>
      </c>
      <c r="J616" s="85">
        <f>+F616+I616</f>
        <v>1628507691.2</v>
      </c>
      <c r="K616" s="429">
        <f>+J616/J617</f>
        <v>0.16252469362334862</v>
      </c>
    </row>
    <row r="617" spans="1:11" ht="15.75" thickTop="1">
      <c r="A617" s="427"/>
      <c r="B617" s="428"/>
      <c r="C617" s="94" t="s">
        <v>90</v>
      </c>
      <c r="D617" s="85">
        <f>+D609-D608</f>
        <v>9044489400</v>
      </c>
      <c r="E617" s="86">
        <f>+E616</f>
        <v>0.6</v>
      </c>
      <c r="F617" s="85">
        <f>+D617*E617</f>
        <v>5426693640</v>
      </c>
      <c r="G617" s="85">
        <f>+G609-G608</f>
        <v>11483423739</v>
      </c>
      <c r="H617" s="86">
        <f>+H616</f>
        <v>0.4</v>
      </c>
      <c r="I617" s="85">
        <f>+G617*H617</f>
        <v>4593369495.6000004</v>
      </c>
      <c r="J617" s="85">
        <f>+F617+I617</f>
        <v>10020063135.6</v>
      </c>
      <c r="K617" s="429"/>
    </row>
    <row r="618" spans="1:11">
      <c r="D618" s="88"/>
      <c r="E618" s="86"/>
      <c r="F618" s="89"/>
      <c r="G618" s="89"/>
      <c r="H618" s="86"/>
      <c r="I618" s="89"/>
      <c r="J618" s="91"/>
      <c r="K618" s="92"/>
    </row>
    <row r="619" spans="1:11" ht="15.75" thickBot="1">
      <c r="A619" s="427" t="s">
        <v>91</v>
      </c>
      <c r="B619" s="428" t="s">
        <v>77</v>
      </c>
      <c r="C619" s="93" t="s">
        <v>87</v>
      </c>
      <c r="D619" s="85">
        <f>+D616</f>
        <v>2237239812</v>
      </c>
      <c r="E619" s="86">
        <f>+E617</f>
        <v>0.6</v>
      </c>
      <c r="F619" s="85">
        <f>+D619*E619</f>
        <v>1342343887.2</v>
      </c>
      <c r="G619" s="85">
        <f>+G616</f>
        <v>715409510</v>
      </c>
      <c r="H619" s="86">
        <f>+H617</f>
        <v>0.4</v>
      </c>
      <c r="I619" s="85">
        <f>+G619*H619</f>
        <v>286163804</v>
      </c>
      <c r="J619" s="85">
        <f>+F619+I619</f>
        <v>1628507691.2</v>
      </c>
      <c r="K619" s="429">
        <f>+J619/J620</f>
        <v>0.10852747149493133</v>
      </c>
    </row>
    <row r="620" spans="1:11" ht="15.75" thickTop="1">
      <c r="A620" s="427"/>
      <c r="B620" s="428"/>
      <c r="C620" s="94" t="s">
        <v>92</v>
      </c>
      <c r="D620" s="85">
        <f>+D609</f>
        <v>16151570906</v>
      </c>
      <c r="E620" s="86">
        <f>+E619</f>
        <v>0.6</v>
      </c>
      <c r="F620" s="85">
        <f>+D620*E620</f>
        <v>9690942543.6000004</v>
      </c>
      <c r="G620" s="85">
        <f>+G609</f>
        <v>13286364102</v>
      </c>
      <c r="H620" s="86">
        <f>+H619</f>
        <v>0.4</v>
      </c>
      <c r="I620" s="85">
        <f>+G620*H620</f>
        <v>5314545640.8000002</v>
      </c>
      <c r="J620" s="85">
        <f>+F620+I620</f>
        <v>15005488184.400002</v>
      </c>
      <c r="K620" s="429"/>
    </row>
    <row r="623" spans="1:11">
      <c r="D623" s="441" t="str">
        <f>+[2]INDICADORES!Q89</f>
        <v>CONSORCIO INFRAESTRUCTURA JUDICIAL</v>
      </c>
      <c r="E623" s="442"/>
      <c r="F623" s="442"/>
      <c r="G623" s="442"/>
      <c r="H623" s="442"/>
      <c r="I623" s="442"/>
      <c r="J623" s="442"/>
      <c r="K623" s="433" t="s">
        <v>133</v>
      </c>
    </row>
    <row r="624" spans="1:11">
      <c r="D624" s="434" t="s">
        <v>203</v>
      </c>
      <c r="E624" s="434"/>
      <c r="F624" s="434"/>
      <c r="G624" s="434" t="s">
        <v>204</v>
      </c>
      <c r="H624" s="434"/>
      <c r="I624" s="434"/>
      <c r="J624" s="435" t="s">
        <v>132</v>
      </c>
      <c r="K624" s="433"/>
    </row>
    <row r="625" spans="1:11">
      <c r="D625" s="434"/>
      <c r="E625" s="434"/>
      <c r="F625" s="434"/>
      <c r="G625" s="434"/>
      <c r="H625" s="434"/>
      <c r="I625" s="434"/>
      <c r="J625" s="436"/>
      <c r="K625" s="433"/>
    </row>
    <row r="626" spans="1:11">
      <c r="C626" s="79" t="s">
        <v>135</v>
      </c>
      <c r="D626" s="438" t="s">
        <v>142</v>
      </c>
      <c r="E626" s="439"/>
      <c r="F626" s="440"/>
      <c r="G626" s="438" t="s">
        <v>136</v>
      </c>
      <c r="H626" s="439"/>
      <c r="I626" s="440"/>
      <c r="J626" s="436"/>
      <c r="K626" s="433"/>
    </row>
    <row r="627" spans="1:11" ht="34.5">
      <c r="D627" s="269" t="s">
        <v>137</v>
      </c>
      <c r="E627" s="80" t="s">
        <v>138</v>
      </c>
      <c r="F627" s="81" t="s">
        <v>139</v>
      </c>
      <c r="G627" s="81" t="s">
        <v>137</v>
      </c>
      <c r="H627" s="80" t="s">
        <v>138</v>
      </c>
      <c r="I627" s="81" t="s">
        <v>139</v>
      </c>
      <c r="J627" s="437"/>
      <c r="K627" s="433"/>
    </row>
    <row r="628" spans="1:11" ht="15.75" thickBot="1">
      <c r="A628" s="427" t="s">
        <v>76</v>
      </c>
      <c r="B628" s="428" t="s">
        <v>77</v>
      </c>
      <c r="C628" s="84" t="s">
        <v>78</v>
      </c>
      <c r="D628" s="85">
        <v>16500259290</v>
      </c>
      <c r="E628" s="86">
        <v>0.9</v>
      </c>
      <c r="F628" s="85">
        <f>+D628*E628</f>
        <v>14850233361</v>
      </c>
      <c r="G628" s="85">
        <v>727548885</v>
      </c>
      <c r="H628" s="86">
        <v>0.1</v>
      </c>
      <c r="I628" s="85">
        <f>+G628*H628</f>
        <v>72754888.5</v>
      </c>
      <c r="J628" s="85">
        <f>+F628+I628</f>
        <v>14922988249.5</v>
      </c>
      <c r="K628" s="430">
        <f>+J628/J629</f>
        <v>5.0016325650902562</v>
      </c>
    </row>
    <row r="629" spans="1:11" ht="15.75" thickTop="1">
      <c r="A629" s="427"/>
      <c r="B629" s="428"/>
      <c r="C629" s="76" t="s">
        <v>80</v>
      </c>
      <c r="D629" s="85">
        <v>3288335437</v>
      </c>
      <c r="E629" s="86">
        <f>+E628</f>
        <v>0.9</v>
      </c>
      <c r="F629" s="85">
        <f>+D629*E629</f>
        <v>2959501893.3000002</v>
      </c>
      <c r="G629" s="85">
        <v>241215647</v>
      </c>
      <c r="H629" s="86">
        <f>+H628</f>
        <v>0.1</v>
      </c>
      <c r="I629" s="85">
        <f>+G629*H629</f>
        <v>24121564.700000003</v>
      </c>
      <c r="J629" s="85">
        <f>+F629+I629</f>
        <v>2983623458</v>
      </c>
      <c r="K629" s="430"/>
    </row>
    <row r="630" spans="1:11">
      <c r="D630" s="88"/>
      <c r="E630" s="89"/>
      <c r="F630" s="89"/>
      <c r="G630" s="89"/>
      <c r="H630" s="89"/>
      <c r="I630" s="89"/>
      <c r="J630" s="91"/>
      <c r="K630" s="92"/>
    </row>
    <row r="631" spans="1:11" ht="15.75" thickBot="1">
      <c r="A631" s="427" t="s">
        <v>81</v>
      </c>
      <c r="B631" s="428" t="s">
        <v>77</v>
      </c>
      <c r="C631" s="93" t="s">
        <v>82</v>
      </c>
      <c r="D631" s="85">
        <v>5597207262</v>
      </c>
      <c r="E631" s="86">
        <f>+E629</f>
        <v>0.9</v>
      </c>
      <c r="F631" s="85">
        <f>+D631*E631</f>
        <v>5037486535.8000002</v>
      </c>
      <c r="G631" s="85">
        <v>347111877</v>
      </c>
      <c r="H631" s="86">
        <f>+H629</f>
        <v>0.1</v>
      </c>
      <c r="I631" s="85">
        <f>+G631*H631</f>
        <v>34711187.700000003</v>
      </c>
      <c r="J631" s="85">
        <f>+F631+I631</f>
        <v>5072197723.5</v>
      </c>
      <c r="K631" s="429">
        <f>+J631/J632</f>
        <v>0.29662181229425288</v>
      </c>
    </row>
    <row r="632" spans="1:11" ht="15.75" thickTop="1">
      <c r="A632" s="427"/>
      <c r="B632" s="428"/>
      <c r="C632" s="94" t="s">
        <v>83</v>
      </c>
      <c r="D632" s="85">
        <v>18900414140</v>
      </c>
      <c r="E632" s="86">
        <f>+E631</f>
        <v>0.9</v>
      </c>
      <c r="F632" s="85">
        <f>+D632*E632</f>
        <v>17010372726</v>
      </c>
      <c r="G632" s="85">
        <v>895083794</v>
      </c>
      <c r="H632" s="86">
        <f>+H631</f>
        <v>0.1</v>
      </c>
      <c r="I632" s="85">
        <f>+G632*H632</f>
        <v>89508379.400000006</v>
      </c>
      <c r="J632" s="85">
        <f>+F632+I632</f>
        <v>17099881105.4</v>
      </c>
      <c r="K632" s="429"/>
    </row>
    <row r="633" spans="1:11">
      <c r="D633" s="88"/>
      <c r="E633" s="86"/>
      <c r="F633" s="89"/>
      <c r="G633" s="89"/>
      <c r="H633" s="86"/>
      <c r="I633" s="89"/>
      <c r="J633" s="91"/>
      <c r="K633" s="92"/>
    </row>
    <row r="634" spans="1:11" ht="19.5">
      <c r="A634" s="76" t="s">
        <v>84</v>
      </c>
      <c r="B634" s="76" t="s">
        <v>140</v>
      </c>
      <c r="C634" s="95" t="s">
        <v>85</v>
      </c>
      <c r="D634" s="85"/>
      <c r="E634" s="85"/>
      <c r="F634" s="85">
        <f>+D628-D629</f>
        <v>13211923853</v>
      </c>
      <c r="G634" s="85"/>
      <c r="H634" s="86"/>
      <c r="I634" s="85">
        <f>+G628-G629</f>
        <v>486333238</v>
      </c>
      <c r="J634" s="85">
        <f>+F634+I634</f>
        <v>13698257091</v>
      </c>
      <c r="K634" s="97">
        <f>+F634+I634</f>
        <v>13698257091</v>
      </c>
    </row>
    <row r="635" spans="1:11">
      <c r="D635" s="88"/>
      <c r="E635" s="86"/>
      <c r="F635" s="89"/>
      <c r="G635" s="89"/>
      <c r="H635" s="86"/>
      <c r="I635" s="89"/>
      <c r="J635" s="91"/>
      <c r="K635" s="92"/>
    </row>
    <row r="636" spans="1:11" ht="15.75" thickBot="1">
      <c r="A636" s="427" t="s">
        <v>86</v>
      </c>
      <c r="B636" s="428" t="s">
        <v>77</v>
      </c>
      <c r="C636" s="84" t="s">
        <v>87</v>
      </c>
      <c r="D636" s="85">
        <v>6852609867</v>
      </c>
      <c r="E636" s="86">
        <f>+E632</f>
        <v>0.9</v>
      </c>
      <c r="F636" s="85">
        <f>+D636*E636</f>
        <v>6167348880.3000002</v>
      </c>
      <c r="G636" s="85">
        <v>712219685</v>
      </c>
      <c r="H636" s="86">
        <f>+H632</f>
        <v>0.1</v>
      </c>
      <c r="I636" s="85">
        <f>+G636*H636</f>
        <v>71221968.5</v>
      </c>
      <c r="J636" s="85">
        <f>+F636+I636</f>
        <v>6238570848.8000002</v>
      </c>
      <c r="K636" s="429">
        <f>+J636/J637</f>
        <v>69.41269426210043</v>
      </c>
    </row>
    <row r="637" spans="1:11" ht="15.75" thickTop="1">
      <c r="A637" s="427"/>
      <c r="B637" s="428"/>
      <c r="C637" s="76" t="s">
        <v>88</v>
      </c>
      <c r="D637" s="85">
        <v>99024751</v>
      </c>
      <c r="E637" s="86">
        <f>+E632</f>
        <v>0.9</v>
      </c>
      <c r="F637" s="85">
        <f>+D637*E637</f>
        <v>89122275.900000006</v>
      </c>
      <c r="G637" s="85">
        <v>7542361</v>
      </c>
      <c r="H637" s="86">
        <f>+H632</f>
        <v>0.1</v>
      </c>
      <c r="I637" s="85">
        <f>+G637*H637</f>
        <v>754236.10000000009</v>
      </c>
      <c r="J637" s="85">
        <f>+F637+I637</f>
        <v>89876512</v>
      </c>
      <c r="K637" s="429"/>
    </row>
    <row r="638" spans="1:11">
      <c r="D638" s="88"/>
      <c r="E638" s="86"/>
      <c r="F638" s="89"/>
      <c r="G638" s="89"/>
      <c r="H638" s="86"/>
      <c r="I638" s="89"/>
      <c r="J638" s="91"/>
      <c r="K638" s="92"/>
    </row>
    <row r="639" spans="1:11" ht="15.75" thickBot="1">
      <c r="A639" s="427" t="s">
        <v>89</v>
      </c>
      <c r="B639" s="428" t="s">
        <v>77</v>
      </c>
      <c r="C639" s="93" t="s">
        <v>87</v>
      </c>
      <c r="D639" s="85">
        <f>+D636</f>
        <v>6852609867</v>
      </c>
      <c r="E639" s="86">
        <f>+E637</f>
        <v>0.9</v>
      </c>
      <c r="F639" s="85">
        <f>+D639*E639</f>
        <v>6167348880.3000002</v>
      </c>
      <c r="G639" s="85">
        <f>+G636</f>
        <v>712219685</v>
      </c>
      <c r="H639" s="86">
        <f>+H637</f>
        <v>0.1</v>
      </c>
      <c r="I639" s="85">
        <f>+G639*H639</f>
        <v>71221968.5</v>
      </c>
      <c r="J639" s="85">
        <f>+F639+I639</f>
        <v>6238570848.8000002</v>
      </c>
      <c r="K639" s="429">
        <f>+J639/J640</f>
        <v>0.51868432604305048</v>
      </c>
    </row>
    <row r="640" spans="1:11" ht="15.75" thickTop="1">
      <c r="A640" s="427"/>
      <c r="B640" s="428"/>
      <c r="C640" s="94" t="s">
        <v>90</v>
      </c>
      <c r="D640" s="85">
        <f>+D632-D631</f>
        <v>13303206878</v>
      </c>
      <c r="E640" s="86">
        <f>+E639</f>
        <v>0.9</v>
      </c>
      <c r="F640" s="85">
        <f>+D640*E640</f>
        <v>11972886190.200001</v>
      </c>
      <c r="G640" s="85">
        <f>+G632-G631</f>
        <v>547971917</v>
      </c>
      <c r="H640" s="86">
        <f>+H639</f>
        <v>0.1</v>
      </c>
      <c r="I640" s="85">
        <f>+G640*H640</f>
        <v>54797191.700000003</v>
      </c>
      <c r="J640" s="85">
        <f>+F640+I640</f>
        <v>12027683381.900002</v>
      </c>
      <c r="K640" s="429"/>
    </row>
    <row r="641" spans="1:14">
      <c r="D641" s="88"/>
      <c r="E641" s="86"/>
      <c r="F641" s="89"/>
      <c r="G641" s="89"/>
      <c r="H641" s="86"/>
      <c r="I641" s="89"/>
      <c r="J641" s="91"/>
      <c r="K641" s="92"/>
    </row>
    <row r="642" spans="1:14" ht="15.75" thickBot="1">
      <c r="A642" s="427" t="s">
        <v>91</v>
      </c>
      <c r="B642" s="428" t="s">
        <v>77</v>
      </c>
      <c r="C642" s="93" t="s">
        <v>87</v>
      </c>
      <c r="D642" s="85">
        <f>+D639</f>
        <v>6852609867</v>
      </c>
      <c r="E642" s="86">
        <f>+E640</f>
        <v>0.9</v>
      </c>
      <c r="F642" s="85">
        <f>+D642*E642</f>
        <v>6167348880.3000002</v>
      </c>
      <c r="G642" s="85">
        <f>+G639</f>
        <v>712219685</v>
      </c>
      <c r="H642" s="86">
        <f>+H640</f>
        <v>0.1</v>
      </c>
      <c r="I642" s="85">
        <f>+G642*H642</f>
        <v>71221968.5</v>
      </c>
      <c r="J642" s="85">
        <f>+F642+I642</f>
        <v>6238570848.8000002</v>
      </c>
      <c r="K642" s="429">
        <f>+J642/J643</f>
        <v>0.36483124124353777</v>
      </c>
    </row>
    <row r="643" spans="1:14" ht="15.75" thickTop="1">
      <c r="A643" s="427"/>
      <c r="B643" s="428"/>
      <c r="C643" s="94" t="s">
        <v>92</v>
      </c>
      <c r="D643" s="85">
        <f>+D632</f>
        <v>18900414140</v>
      </c>
      <c r="E643" s="86">
        <f>+E642</f>
        <v>0.9</v>
      </c>
      <c r="F643" s="85">
        <f>+D643*E643</f>
        <v>17010372726</v>
      </c>
      <c r="G643" s="85">
        <f>+G632</f>
        <v>895083794</v>
      </c>
      <c r="H643" s="86">
        <f>+H642</f>
        <v>0.1</v>
      </c>
      <c r="I643" s="85">
        <f>+G643*H643</f>
        <v>89508379.400000006</v>
      </c>
      <c r="J643" s="85">
        <f>+F643+I643</f>
        <v>17099881105.4</v>
      </c>
      <c r="K643" s="429"/>
    </row>
    <row r="646" spans="1:14">
      <c r="D646" s="446" t="str">
        <f>+[2]INDICADORES!T89</f>
        <v>CONSORCIO PALACIO MAGANGUE</v>
      </c>
      <c r="E646" s="447"/>
      <c r="F646" s="447"/>
      <c r="G646" s="447"/>
      <c r="H646" s="447"/>
      <c r="I646" s="447"/>
      <c r="J646" s="447"/>
      <c r="K646" s="447"/>
      <c r="L646" s="448"/>
      <c r="M646" s="435" t="s">
        <v>132</v>
      </c>
      <c r="N646" s="433" t="s">
        <v>133</v>
      </c>
    </row>
    <row r="647" spans="1:14" ht="26.45" customHeight="1">
      <c r="D647" s="434" t="s">
        <v>205</v>
      </c>
      <c r="E647" s="434"/>
      <c r="F647" s="434"/>
      <c r="G647" s="434" t="s">
        <v>206</v>
      </c>
      <c r="H647" s="434"/>
      <c r="I647" s="434"/>
      <c r="J647" s="449" t="s">
        <v>658</v>
      </c>
      <c r="K647" s="449"/>
      <c r="L647" s="449"/>
      <c r="M647" s="436"/>
      <c r="N647" s="433"/>
    </row>
    <row r="648" spans="1:14">
      <c r="D648" s="434"/>
      <c r="E648" s="434"/>
      <c r="F648" s="434"/>
      <c r="G648" s="434"/>
      <c r="H648" s="434"/>
      <c r="I648" s="434"/>
      <c r="J648" s="449"/>
      <c r="K648" s="449"/>
      <c r="L648" s="449"/>
      <c r="M648" s="436"/>
      <c r="N648" s="433"/>
    </row>
    <row r="649" spans="1:14">
      <c r="C649" s="79" t="s">
        <v>135</v>
      </c>
      <c r="D649" s="438" t="s">
        <v>136</v>
      </c>
      <c r="E649" s="439"/>
      <c r="F649" s="440"/>
      <c r="G649" s="438" t="s">
        <v>143</v>
      </c>
      <c r="H649" s="439"/>
      <c r="I649" s="440"/>
      <c r="J649" s="438" t="s">
        <v>142</v>
      </c>
      <c r="K649" s="439"/>
      <c r="L649" s="440"/>
      <c r="M649" s="436"/>
      <c r="N649" s="433"/>
    </row>
    <row r="650" spans="1:14" ht="34.5">
      <c r="D650" s="269" t="s">
        <v>137</v>
      </c>
      <c r="E650" s="80" t="s">
        <v>138</v>
      </c>
      <c r="F650" s="81" t="s">
        <v>139</v>
      </c>
      <c r="G650" s="81" t="s">
        <v>137</v>
      </c>
      <c r="H650" s="80" t="s">
        <v>138</v>
      </c>
      <c r="I650" s="81" t="s">
        <v>139</v>
      </c>
      <c r="J650" s="81" t="s">
        <v>137</v>
      </c>
      <c r="K650" s="82" t="s">
        <v>138</v>
      </c>
      <c r="L650" s="81" t="s">
        <v>139</v>
      </c>
      <c r="M650" s="437"/>
      <c r="N650" s="433"/>
    </row>
    <row r="651" spans="1:14" ht="15.75" thickBot="1">
      <c r="A651" s="427" t="s">
        <v>76</v>
      </c>
      <c r="B651" s="428" t="s">
        <v>77</v>
      </c>
      <c r="C651" s="84" t="s">
        <v>78</v>
      </c>
      <c r="D651" s="85">
        <v>1887501226</v>
      </c>
      <c r="E651" s="86">
        <v>0.6</v>
      </c>
      <c r="F651" s="85">
        <f>+D651*E651</f>
        <v>1132500735.5999999</v>
      </c>
      <c r="G651" s="85">
        <v>2834615364</v>
      </c>
      <c r="H651" s="86">
        <v>0.3</v>
      </c>
      <c r="I651" s="85">
        <f>+G651*H651</f>
        <v>850384609.19999993</v>
      </c>
      <c r="J651" s="85">
        <v>55570410091</v>
      </c>
      <c r="K651" s="86">
        <v>0.1</v>
      </c>
      <c r="L651" s="85">
        <f>+J651*K651</f>
        <v>5557041009.1000004</v>
      </c>
      <c r="M651" s="85">
        <f>+F651+I651+L651</f>
        <v>7539926353.8999996</v>
      </c>
      <c r="N651" s="430">
        <f>+M651/M652</f>
        <v>4.5325823151041789</v>
      </c>
    </row>
    <row r="652" spans="1:14" ht="15.75" thickTop="1">
      <c r="A652" s="427"/>
      <c r="B652" s="428"/>
      <c r="C652" s="76" t="s">
        <v>80</v>
      </c>
      <c r="D652" s="85">
        <v>618268122</v>
      </c>
      <c r="E652" s="86">
        <f>+E651</f>
        <v>0.6</v>
      </c>
      <c r="F652" s="85">
        <f>+D652*E652</f>
        <v>370960873.19999999</v>
      </c>
      <c r="G652" s="85">
        <v>1127896848</v>
      </c>
      <c r="H652" s="86">
        <f>+H651</f>
        <v>0.3</v>
      </c>
      <c r="I652" s="85">
        <f>+G652*H652</f>
        <v>338369054.39999998</v>
      </c>
      <c r="J652" s="85">
        <v>9541647052</v>
      </c>
      <c r="K652" s="86">
        <f>+K651</f>
        <v>0.1</v>
      </c>
      <c r="L652" s="85">
        <f>+J652*K652</f>
        <v>954164705.20000005</v>
      </c>
      <c r="M652" s="85">
        <f>+F652+I652+L652</f>
        <v>1663494632.8</v>
      </c>
      <c r="N652" s="430"/>
    </row>
    <row r="653" spans="1:14">
      <c r="D653" s="88"/>
      <c r="E653" s="89"/>
      <c r="F653" s="89"/>
      <c r="G653" s="88"/>
      <c r="H653" s="89"/>
      <c r="I653" s="89"/>
      <c r="J653" s="89"/>
      <c r="K653" s="98"/>
      <c r="L653" s="89"/>
      <c r="M653" s="91"/>
      <c r="N653" s="92"/>
    </row>
    <row r="654" spans="1:14" ht="15.75" thickBot="1">
      <c r="A654" s="427" t="s">
        <v>81</v>
      </c>
      <c r="B654" s="428" t="s">
        <v>77</v>
      </c>
      <c r="C654" s="93" t="s">
        <v>82</v>
      </c>
      <c r="D654" s="85">
        <v>618268122</v>
      </c>
      <c r="E654" s="86">
        <f>+E652</f>
        <v>0.6</v>
      </c>
      <c r="F654" s="85">
        <f>+D654*E654</f>
        <v>370960873.19999999</v>
      </c>
      <c r="G654" s="85">
        <v>1635353745</v>
      </c>
      <c r="H654" s="86">
        <f>+H652</f>
        <v>0.3</v>
      </c>
      <c r="I654" s="85">
        <f>+G654*H654</f>
        <v>490606123.5</v>
      </c>
      <c r="J654" s="85">
        <v>9541647052</v>
      </c>
      <c r="K654" s="86">
        <f>+K652</f>
        <v>0.1</v>
      </c>
      <c r="L654" s="85">
        <f>+J654*K654</f>
        <v>954164705.20000005</v>
      </c>
      <c r="M654" s="85">
        <f>+F654+I654+L654</f>
        <v>1815731701.9000001</v>
      </c>
      <c r="N654" s="429">
        <f>+M654/M655</f>
        <v>0.22996950339395547</v>
      </c>
    </row>
    <row r="655" spans="1:14" ht="15.75" thickTop="1">
      <c r="A655" s="427"/>
      <c r="B655" s="428"/>
      <c r="C655" s="94" t="s">
        <v>83</v>
      </c>
      <c r="D655" s="85">
        <v>2011234126</v>
      </c>
      <c r="E655" s="86">
        <f>+E654</f>
        <v>0.6</v>
      </c>
      <c r="F655" s="85">
        <f>+D655*E655</f>
        <v>1206740475.5999999</v>
      </c>
      <c r="G655" s="85">
        <v>3692562405</v>
      </c>
      <c r="H655" s="86">
        <f>+H654</f>
        <v>0.3</v>
      </c>
      <c r="I655" s="85">
        <f>+G655*H655</f>
        <v>1107768721.5</v>
      </c>
      <c r="J655" s="85">
        <v>55810233631</v>
      </c>
      <c r="K655" s="86">
        <f>+K654</f>
        <v>0.1</v>
      </c>
      <c r="L655" s="85">
        <f>+J655*K655</f>
        <v>5581023363.1000004</v>
      </c>
      <c r="M655" s="85">
        <f>+F655+I655+L655</f>
        <v>7895532560.2000008</v>
      </c>
      <c r="N655" s="429"/>
    </row>
    <row r="656" spans="1:14">
      <c r="D656" s="88"/>
      <c r="E656" s="86"/>
      <c r="F656" s="89"/>
      <c r="G656" s="88"/>
      <c r="H656" s="86"/>
      <c r="I656" s="89"/>
      <c r="J656" s="89"/>
      <c r="K656" s="86"/>
      <c r="L656" s="89"/>
      <c r="M656" s="91"/>
      <c r="N656" s="92"/>
    </row>
    <row r="657" spans="1:14" ht="19.5">
      <c r="A657" s="76" t="s">
        <v>84</v>
      </c>
      <c r="B657" s="76" t="s">
        <v>140</v>
      </c>
      <c r="C657" s="95" t="s">
        <v>85</v>
      </c>
      <c r="D657" s="85"/>
      <c r="E657" s="85"/>
      <c r="F657" s="85">
        <f>+D651-D652</f>
        <v>1269233104</v>
      </c>
      <c r="G657" s="85"/>
      <c r="H657" s="86"/>
      <c r="I657" s="85">
        <f>+G651-G652</f>
        <v>1706718516</v>
      </c>
      <c r="J657" s="85"/>
      <c r="K657" s="86"/>
      <c r="L657" s="85">
        <f>+J651-J652</f>
        <v>46028763039</v>
      </c>
      <c r="M657" s="85">
        <f>+F657+I657+L657</f>
        <v>49004714659</v>
      </c>
      <c r="N657" s="92">
        <f>+M657</f>
        <v>49004714659</v>
      </c>
    </row>
    <row r="658" spans="1:14">
      <c r="D658" s="88"/>
      <c r="E658" s="86"/>
      <c r="F658" s="89"/>
      <c r="G658" s="88"/>
      <c r="H658" s="86"/>
      <c r="I658" s="89"/>
      <c r="J658" s="89"/>
      <c r="K658" s="86"/>
      <c r="L658" s="89"/>
      <c r="M658" s="91"/>
      <c r="N658" s="92"/>
    </row>
    <row r="659" spans="1:14" ht="15.75" thickBot="1">
      <c r="A659" s="427" t="s">
        <v>86</v>
      </c>
      <c r="B659" s="428" t="s">
        <v>77</v>
      </c>
      <c r="C659" s="84" t="s">
        <v>87</v>
      </c>
      <c r="D659" s="85">
        <v>1270786772</v>
      </c>
      <c r="E659" s="86">
        <f>+E655</f>
        <v>0.6</v>
      </c>
      <c r="F659" s="85">
        <f>+D659*E659</f>
        <v>762472063.19999993</v>
      </c>
      <c r="G659" s="85">
        <v>820082061</v>
      </c>
      <c r="H659" s="86">
        <f>+H655</f>
        <v>0.3</v>
      </c>
      <c r="I659" s="85">
        <f>+G659*H659</f>
        <v>246024618.29999998</v>
      </c>
      <c r="J659" s="85">
        <v>16856373541</v>
      </c>
      <c r="K659" s="86">
        <f>+K655</f>
        <v>0.1</v>
      </c>
      <c r="L659" s="85">
        <f>+J659*K659</f>
        <v>1685637354.1000001</v>
      </c>
      <c r="M659" s="85">
        <f>+F659+I659+L659</f>
        <v>2694134035.5999999</v>
      </c>
      <c r="N659" s="430">
        <f>+M659/M660</f>
        <v>346.54197139308434</v>
      </c>
    </row>
    <row r="660" spans="1:14" ht="15.75" thickTop="1">
      <c r="A660" s="427"/>
      <c r="B660" s="428"/>
      <c r="C660" s="76" t="s">
        <v>88</v>
      </c>
      <c r="D660" s="85">
        <v>5786510</v>
      </c>
      <c r="E660" s="86">
        <f>+E655</f>
        <v>0.6</v>
      </c>
      <c r="F660" s="85">
        <f>+D660*E660</f>
        <v>3471906</v>
      </c>
      <c r="G660" s="85">
        <v>5356735</v>
      </c>
      <c r="H660" s="86">
        <f>+H655</f>
        <v>0.3</v>
      </c>
      <c r="I660" s="85">
        <f>+G660*H660</f>
        <v>1607020.5</v>
      </c>
      <c r="J660" s="85">
        <v>26954104</v>
      </c>
      <c r="K660" s="86">
        <f>+K655</f>
        <v>0.1</v>
      </c>
      <c r="L660" s="85">
        <f>+J660*K660</f>
        <v>2695410.4000000004</v>
      </c>
      <c r="M660" s="85">
        <f>+F660+I660+L660</f>
        <v>7774336.9000000004</v>
      </c>
      <c r="N660" s="430"/>
    </row>
    <row r="661" spans="1:14">
      <c r="D661" s="88"/>
      <c r="E661" s="86"/>
      <c r="F661" s="89"/>
      <c r="G661" s="88"/>
      <c r="H661" s="86"/>
      <c r="I661" s="89"/>
      <c r="J661" s="89"/>
      <c r="K661" s="86"/>
      <c r="L661" s="89"/>
      <c r="M661" s="91"/>
      <c r="N661" s="92"/>
    </row>
    <row r="662" spans="1:14" ht="15.75" thickBot="1">
      <c r="A662" s="427" t="s">
        <v>89</v>
      </c>
      <c r="B662" s="428" t="s">
        <v>77</v>
      </c>
      <c r="C662" s="93" t="s">
        <v>87</v>
      </c>
      <c r="D662" s="85">
        <f>+D659</f>
        <v>1270786772</v>
      </c>
      <c r="E662" s="86">
        <f>+E660</f>
        <v>0.6</v>
      </c>
      <c r="F662" s="85">
        <f>+D662*E662</f>
        <v>762472063.19999993</v>
      </c>
      <c r="G662" s="85">
        <f>+G659</f>
        <v>820082061</v>
      </c>
      <c r="H662" s="86">
        <f>+H660</f>
        <v>0.3</v>
      </c>
      <c r="I662" s="85">
        <f>+G662*H662</f>
        <v>246024618.29999998</v>
      </c>
      <c r="J662" s="85">
        <f>+J659</f>
        <v>16856373541</v>
      </c>
      <c r="K662" s="86">
        <f>+K660</f>
        <v>0.1</v>
      </c>
      <c r="L662" s="85">
        <f>+J662*K662</f>
        <v>1685637354.1000001</v>
      </c>
      <c r="M662" s="85">
        <f>+F662+I662+L662</f>
        <v>2694134035.5999999</v>
      </c>
      <c r="N662" s="429">
        <f>+M662/M663</f>
        <v>0.44312866463743322</v>
      </c>
    </row>
    <row r="663" spans="1:14" ht="15.75" thickTop="1">
      <c r="A663" s="427"/>
      <c r="B663" s="428"/>
      <c r="C663" s="94" t="s">
        <v>90</v>
      </c>
      <c r="D663" s="85">
        <f>+D655-D654</f>
        <v>1392966004</v>
      </c>
      <c r="E663" s="86">
        <f>+E662</f>
        <v>0.6</v>
      </c>
      <c r="F663" s="85">
        <f>+D663*E663</f>
        <v>835779602.39999998</v>
      </c>
      <c r="G663" s="85">
        <f>+G655-G654</f>
        <v>2057208660</v>
      </c>
      <c r="H663" s="86">
        <f>+H662</f>
        <v>0.3</v>
      </c>
      <c r="I663" s="85">
        <f>+G663*H663</f>
        <v>617162598</v>
      </c>
      <c r="J663" s="85">
        <f>+J655-J654</f>
        <v>46268586579</v>
      </c>
      <c r="K663" s="86">
        <f>+K662</f>
        <v>0.1</v>
      </c>
      <c r="L663" s="85">
        <f>+J663*K663</f>
        <v>4626858657.9000006</v>
      </c>
      <c r="M663" s="85">
        <f>+F663+I663+L663</f>
        <v>6079800858.3000011</v>
      </c>
      <c r="N663" s="429"/>
    </row>
    <row r="664" spans="1:14">
      <c r="D664" s="88"/>
      <c r="E664" s="86"/>
      <c r="F664" s="89"/>
      <c r="G664" s="88"/>
      <c r="H664" s="86"/>
      <c r="I664" s="89"/>
      <c r="J664" s="89"/>
      <c r="K664" s="86"/>
      <c r="L664" s="89"/>
      <c r="M664" s="91"/>
      <c r="N664" s="92"/>
    </row>
    <row r="665" spans="1:14" ht="15.75" thickBot="1">
      <c r="A665" s="427" t="s">
        <v>91</v>
      </c>
      <c r="B665" s="428" t="s">
        <v>77</v>
      </c>
      <c r="C665" s="93" t="s">
        <v>87</v>
      </c>
      <c r="D665" s="85">
        <f>+D662</f>
        <v>1270786772</v>
      </c>
      <c r="E665" s="86">
        <f>+E663</f>
        <v>0.6</v>
      </c>
      <c r="F665" s="85">
        <f>+D665*E665</f>
        <v>762472063.19999993</v>
      </c>
      <c r="G665" s="85">
        <f>+G662</f>
        <v>820082061</v>
      </c>
      <c r="H665" s="86">
        <f>+H663</f>
        <v>0.3</v>
      </c>
      <c r="I665" s="85">
        <f>+G665*H665</f>
        <v>246024618.29999998</v>
      </c>
      <c r="J665" s="85">
        <f>+J662</f>
        <v>16856373541</v>
      </c>
      <c r="K665" s="86">
        <f>+K663</f>
        <v>0.1</v>
      </c>
      <c r="L665" s="85">
        <f>+J665*K665</f>
        <v>1685637354.1000001</v>
      </c>
      <c r="M665" s="85">
        <f>+F665+I665+L665</f>
        <v>2694134035.5999999</v>
      </c>
      <c r="N665" s="429">
        <f>+M665/M666</f>
        <v>0.34122258569113612</v>
      </c>
    </row>
    <row r="666" spans="1:14" ht="15.75" thickTop="1">
      <c r="A666" s="427"/>
      <c r="B666" s="428"/>
      <c r="C666" s="94" t="s">
        <v>92</v>
      </c>
      <c r="D666" s="85">
        <f>+D655</f>
        <v>2011234126</v>
      </c>
      <c r="E666" s="86">
        <f>+E665</f>
        <v>0.6</v>
      </c>
      <c r="F666" s="85">
        <f>+D666*E666</f>
        <v>1206740475.5999999</v>
      </c>
      <c r="G666" s="85">
        <f>+G655</f>
        <v>3692562405</v>
      </c>
      <c r="H666" s="86">
        <f>+H665</f>
        <v>0.3</v>
      </c>
      <c r="I666" s="85">
        <f>+G666*H666</f>
        <v>1107768721.5</v>
      </c>
      <c r="J666" s="85">
        <f>+J655</f>
        <v>55810233631</v>
      </c>
      <c r="K666" s="86">
        <f>+K665</f>
        <v>0.1</v>
      </c>
      <c r="L666" s="85">
        <f>+J666*K666</f>
        <v>5581023363.1000004</v>
      </c>
      <c r="M666" s="85">
        <f>+F666+I666+L666</f>
        <v>7895532560.2000008</v>
      </c>
      <c r="N666" s="429"/>
    </row>
    <row r="669" spans="1:14">
      <c r="D669" s="443" t="str">
        <f>+[2]INDICADORES!E111</f>
        <v>CONSORCIO JUSTICIA MAGANGUÉ 2026</v>
      </c>
      <c r="E669" s="444"/>
      <c r="F669" s="444"/>
      <c r="G669" s="444"/>
      <c r="H669" s="444"/>
      <c r="I669" s="444"/>
      <c r="J669" s="444"/>
      <c r="K669" s="444"/>
      <c r="L669" s="445"/>
      <c r="M669" s="435" t="s">
        <v>132</v>
      </c>
      <c r="N669" s="433" t="s">
        <v>133</v>
      </c>
    </row>
    <row r="670" spans="1:14">
      <c r="D670" s="434" t="s">
        <v>207</v>
      </c>
      <c r="E670" s="434"/>
      <c r="F670" s="434"/>
      <c r="G670" s="434" t="s">
        <v>208</v>
      </c>
      <c r="H670" s="434"/>
      <c r="I670" s="434"/>
      <c r="J670" s="434" t="s">
        <v>209</v>
      </c>
      <c r="K670" s="434"/>
      <c r="L670" s="434"/>
      <c r="M670" s="436"/>
      <c r="N670" s="433"/>
    </row>
    <row r="671" spans="1:14">
      <c r="D671" s="434"/>
      <c r="E671" s="434"/>
      <c r="F671" s="434"/>
      <c r="G671" s="434"/>
      <c r="H671" s="434"/>
      <c r="I671" s="434"/>
      <c r="J671" s="434"/>
      <c r="K671" s="434"/>
      <c r="L671" s="434"/>
      <c r="M671" s="436"/>
      <c r="N671" s="433"/>
    </row>
    <row r="672" spans="1:14">
      <c r="C672" s="79" t="s">
        <v>135</v>
      </c>
      <c r="D672" s="438"/>
      <c r="E672" s="439"/>
      <c r="F672" s="440"/>
      <c r="G672" s="438" t="s">
        <v>167</v>
      </c>
      <c r="H672" s="439"/>
      <c r="I672" s="440"/>
      <c r="J672" s="438" t="s">
        <v>167</v>
      </c>
      <c r="K672" s="439"/>
      <c r="L672" s="440"/>
      <c r="M672" s="436"/>
      <c r="N672" s="433"/>
    </row>
    <row r="673" spans="1:14" ht="34.5">
      <c r="D673" s="269" t="s">
        <v>137</v>
      </c>
      <c r="E673" s="80" t="s">
        <v>138</v>
      </c>
      <c r="F673" s="81" t="s">
        <v>139</v>
      </c>
      <c r="G673" s="81" t="s">
        <v>137</v>
      </c>
      <c r="H673" s="80" t="s">
        <v>138</v>
      </c>
      <c r="I673" s="81" t="s">
        <v>139</v>
      </c>
      <c r="J673" s="81" t="s">
        <v>137</v>
      </c>
      <c r="K673" s="82" t="s">
        <v>138</v>
      </c>
      <c r="L673" s="81" t="s">
        <v>139</v>
      </c>
      <c r="M673" s="437"/>
      <c r="N673" s="433"/>
    </row>
    <row r="674" spans="1:14" ht="15.75" thickBot="1">
      <c r="A674" s="427" t="s">
        <v>76</v>
      </c>
      <c r="B674" s="428" t="s">
        <v>77</v>
      </c>
      <c r="C674" s="84" t="s">
        <v>78</v>
      </c>
      <c r="D674" s="85">
        <v>2957007355</v>
      </c>
      <c r="E674" s="86">
        <v>0.5</v>
      </c>
      <c r="F674" s="85">
        <f>+D674*E674</f>
        <v>1478503677.5</v>
      </c>
      <c r="G674" s="85">
        <v>830269233</v>
      </c>
      <c r="H674" s="86">
        <v>0.25</v>
      </c>
      <c r="I674" s="85">
        <f>+G674*H674</f>
        <v>207567308.25</v>
      </c>
      <c r="J674" s="85">
        <v>1069530564</v>
      </c>
      <c r="K674" s="87">
        <v>0.25</v>
      </c>
      <c r="L674" s="85">
        <f>+J674*K674</f>
        <v>267382641</v>
      </c>
      <c r="M674" s="85">
        <f>+F674+I674+L674</f>
        <v>1953453626.75</v>
      </c>
      <c r="N674" s="430">
        <f>+M674/M675</f>
        <v>110.48415616196247</v>
      </c>
    </row>
    <row r="675" spans="1:14" ht="15.75" thickTop="1">
      <c r="A675" s="427"/>
      <c r="B675" s="428"/>
      <c r="C675" s="76" t="s">
        <v>80</v>
      </c>
      <c r="D675" s="85">
        <v>7173019</v>
      </c>
      <c r="E675" s="86">
        <f>+E674</f>
        <v>0.5</v>
      </c>
      <c r="F675" s="85">
        <f>+D675*E675</f>
        <v>3586509.5</v>
      </c>
      <c r="G675" s="85">
        <v>48429113</v>
      </c>
      <c r="H675" s="86">
        <f>+H674</f>
        <v>0.25</v>
      </c>
      <c r="I675" s="85">
        <f>+G675*H675</f>
        <v>12107278.25</v>
      </c>
      <c r="J675" s="85">
        <v>7948243</v>
      </c>
      <c r="K675" s="87">
        <f>+K674</f>
        <v>0.25</v>
      </c>
      <c r="L675" s="85">
        <f>+J675*K675</f>
        <v>1987060.75</v>
      </c>
      <c r="M675" s="85">
        <f>+F675+I675+L675</f>
        <v>17680848.5</v>
      </c>
      <c r="N675" s="430"/>
    </row>
    <row r="676" spans="1:14">
      <c r="D676" s="88"/>
      <c r="E676" s="89"/>
      <c r="F676" s="89"/>
      <c r="G676" s="88"/>
      <c r="H676" s="89"/>
      <c r="I676" s="89"/>
      <c r="J676" s="89"/>
      <c r="K676" s="90"/>
      <c r="L676" s="89"/>
      <c r="M676" s="91"/>
      <c r="N676" s="92"/>
    </row>
    <row r="677" spans="1:14" ht="15.75" thickBot="1">
      <c r="A677" s="427" t="s">
        <v>81</v>
      </c>
      <c r="B677" s="428" t="s">
        <v>77</v>
      </c>
      <c r="C677" s="93" t="s">
        <v>82</v>
      </c>
      <c r="D677" s="85">
        <v>1751293552</v>
      </c>
      <c r="E677" s="86">
        <f>+E675</f>
        <v>0.5</v>
      </c>
      <c r="F677" s="85">
        <f>+D677*E677</f>
        <v>875646776</v>
      </c>
      <c r="G677" s="85">
        <v>251854431</v>
      </c>
      <c r="H677" s="86">
        <f>+H675</f>
        <v>0.25</v>
      </c>
      <c r="I677" s="85">
        <f>+G677*H677</f>
        <v>62963607.75</v>
      </c>
      <c r="J677" s="85">
        <v>261042882</v>
      </c>
      <c r="K677" s="87">
        <f>+K675</f>
        <v>0.25</v>
      </c>
      <c r="L677" s="85">
        <f>+J677*K677</f>
        <v>65260720.5</v>
      </c>
      <c r="M677" s="85">
        <f>+F677+I677+L677</f>
        <v>1003871104.25</v>
      </c>
      <c r="N677" s="429">
        <f>+M677/M678</f>
        <v>0.44373238545978755</v>
      </c>
    </row>
    <row r="678" spans="1:14" ht="15.75" thickTop="1">
      <c r="A678" s="427"/>
      <c r="B678" s="428"/>
      <c r="C678" s="94" t="s">
        <v>83</v>
      </c>
      <c r="D678" s="85">
        <v>3420060639</v>
      </c>
      <c r="E678" s="86">
        <f>+E677</f>
        <v>0.5</v>
      </c>
      <c r="F678" s="85">
        <f>+D678*E678</f>
        <v>1710030319.5</v>
      </c>
      <c r="G678" s="85">
        <v>1110804419</v>
      </c>
      <c r="H678" s="86">
        <f>+H677</f>
        <v>0.25</v>
      </c>
      <c r="I678" s="85">
        <f>+G678*H678</f>
        <v>277701104.75</v>
      </c>
      <c r="J678" s="85">
        <v>1098412482</v>
      </c>
      <c r="K678" s="87">
        <f>+K677</f>
        <v>0.25</v>
      </c>
      <c r="L678" s="85">
        <f>+J678*K678</f>
        <v>274603120.5</v>
      </c>
      <c r="M678" s="85">
        <f>+F678+I678+L678</f>
        <v>2262334544.75</v>
      </c>
      <c r="N678" s="429"/>
    </row>
    <row r="679" spans="1:14">
      <c r="D679" s="88"/>
      <c r="E679" s="86"/>
      <c r="F679" s="89"/>
      <c r="G679" s="88"/>
      <c r="H679" s="86"/>
      <c r="I679" s="89"/>
      <c r="J679" s="89"/>
      <c r="K679" s="87"/>
      <c r="L679" s="89"/>
      <c r="M679" s="91"/>
      <c r="N679" s="92"/>
    </row>
    <row r="680" spans="1:14" ht="19.5">
      <c r="A680" s="76" t="s">
        <v>84</v>
      </c>
      <c r="B680" s="76" t="s">
        <v>140</v>
      </c>
      <c r="C680" s="95" t="s">
        <v>85</v>
      </c>
      <c r="D680" s="85"/>
      <c r="E680" s="85"/>
      <c r="F680" s="85">
        <f>+D674-D675</f>
        <v>2949834336</v>
      </c>
      <c r="G680" s="85"/>
      <c r="H680" s="86"/>
      <c r="I680" s="85">
        <f>+G674-G675</f>
        <v>781840120</v>
      </c>
      <c r="J680" s="85"/>
      <c r="K680" s="87"/>
      <c r="L680" s="85">
        <f>+J674-J675</f>
        <v>1061582321</v>
      </c>
      <c r="M680" s="85">
        <f>+F680+I680+L680</f>
        <v>4793256777</v>
      </c>
      <c r="N680" s="92">
        <f>+M680</f>
        <v>4793256777</v>
      </c>
    </row>
    <row r="681" spans="1:14">
      <c r="D681" s="88"/>
      <c r="E681" s="86"/>
      <c r="F681" s="89"/>
      <c r="G681" s="88"/>
      <c r="H681" s="86"/>
      <c r="I681" s="89"/>
      <c r="J681" s="89"/>
      <c r="K681" s="87"/>
      <c r="L681" s="89"/>
      <c r="M681" s="91"/>
      <c r="N681" s="92"/>
    </row>
    <row r="682" spans="1:14" ht="15.75" thickBot="1">
      <c r="A682" s="427" t="s">
        <v>86</v>
      </c>
      <c r="B682" s="428" t="s">
        <v>77</v>
      </c>
      <c r="C682" s="84" t="s">
        <v>87</v>
      </c>
      <c r="D682" s="85">
        <v>596872531</v>
      </c>
      <c r="E682" s="86">
        <f>+E678</f>
        <v>0.5</v>
      </c>
      <c r="F682" s="85">
        <f>+D682*E682</f>
        <v>298436265.5</v>
      </c>
      <c r="G682" s="85">
        <v>183818511</v>
      </c>
      <c r="H682" s="86">
        <f>+H678</f>
        <v>0.25</v>
      </c>
      <c r="I682" s="85">
        <f>+G682*H682</f>
        <v>45954627.75</v>
      </c>
      <c r="J682" s="85">
        <v>170985072</v>
      </c>
      <c r="K682" s="87">
        <f>+K678</f>
        <v>0.25</v>
      </c>
      <c r="L682" s="85">
        <f>+J682*K682</f>
        <v>42746268</v>
      </c>
      <c r="M682" s="85">
        <f>+F682+I682+L682</f>
        <v>387137161.25</v>
      </c>
      <c r="N682" s="430">
        <f>+M682/M683</f>
        <v>705.00735033007061</v>
      </c>
    </row>
    <row r="683" spans="1:14" ht="15.75" thickTop="1">
      <c r="A683" s="427"/>
      <c r="B683" s="428"/>
      <c r="C683" s="76" t="s">
        <v>88</v>
      </c>
      <c r="D683" s="85">
        <v>418000</v>
      </c>
      <c r="E683" s="86">
        <f>+E678</f>
        <v>0.5</v>
      </c>
      <c r="F683" s="85">
        <f>+D683*E683</f>
        <v>209000</v>
      </c>
      <c r="G683" s="85">
        <v>10800</v>
      </c>
      <c r="H683" s="86">
        <f>+H678</f>
        <v>0.25</v>
      </c>
      <c r="I683" s="85">
        <f>+G683*H683</f>
        <v>2700</v>
      </c>
      <c r="J683" s="85">
        <v>1349700</v>
      </c>
      <c r="K683" s="87">
        <f>+K678</f>
        <v>0.25</v>
      </c>
      <c r="L683" s="85">
        <f>+J683*K683</f>
        <v>337425</v>
      </c>
      <c r="M683" s="85">
        <f>+F683+I683+L683</f>
        <v>549125</v>
      </c>
      <c r="N683" s="430"/>
    </row>
    <row r="684" spans="1:14">
      <c r="D684" s="88"/>
      <c r="E684" s="86"/>
      <c r="F684" s="89"/>
      <c r="G684" s="88"/>
      <c r="H684" s="86"/>
      <c r="I684" s="89"/>
      <c r="J684" s="89"/>
      <c r="K684" s="87"/>
      <c r="L684" s="89"/>
      <c r="M684" s="91"/>
      <c r="N684" s="92"/>
    </row>
    <row r="685" spans="1:14" ht="15.75" thickBot="1">
      <c r="A685" s="427" t="s">
        <v>89</v>
      </c>
      <c r="B685" s="428" t="s">
        <v>77</v>
      </c>
      <c r="C685" s="93" t="s">
        <v>87</v>
      </c>
      <c r="D685" s="85">
        <f>+D682</f>
        <v>596872531</v>
      </c>
      <c r="E685" s="86">
        <f>+E683</f>
        <v>0.5</v>
      </c>
      <c r="F685" s="85">
        <f>+D685*E685</f>
        <v>298436265.5</v>
      </c>
      <c r="G685" s="85">
        <f>+G682</f>
        <v>183818511</v>
      </c>
      <c r="H685" s="86">
        <f>+H683</f>
        <v>0.25</v>
      </c>
      <c r="I685" s="85">
        <f>+G685*H685</f>
        <v>45954627.75</v>
      </c>
      <c r="J685" s="85">
        <f>+J682</f>
        <v>170985072</v>
      </c>
      <c r="K685" s="87">
        <f>+K683</f>
        <v>0.25</v>
      </c>
      <c r="L685" s="85">
        <f>+J685*K685</f>
        <v>42746268</v>
      </c>
      <c r="M685" s="85">
        <f>+F685+I685+L685</f>
        <v>387137161.25</v>
      </c>
      <c r="N685" s="429">
        <f>+M685/M686</f>
        <v>0.30762686367447162</v>
      </c>
    </row>
    <row r="686" spans="1:14" ht="15.75" thickTop="1">
      <c r="A686" s="427"/>
      <c r="B686" s="428"/>
      <c r="C686" s="94" t="s">
        <v>90</v>
      </c>
      <c r="D686" s="85">
        <f>+D678-D677</f>
        <v>1668767087</v>
      </c>
      <c r="E686" s="86">
        <f>+E685</f>
        <v>0.5</v>
      </c>
      <c r="F686" s="85">
        <f>+D686*E686</f>
        <v>834383543.5</v>
      </c>
      <c r="G686" s="85">
        <f>+G678-G677</f>
        <v>858949988</v>
      </c>
      <c r="H686" s="86">
        <f>+H685</f>
        <v>0.25</v>
      </c>
      <c r="I686" s="85">
        <f>+G686*H686</f>
        <v>214737497</v>
      </c>
      <c r="J686" s="85">
        <f>+J678-J677</f>
        <v>837369600</v>
      </c>
      <c r="K686" s="87">
        <f>+K685</f>
        <v>0.25</v>
      </c>
      <c r="L686" s="85">
        <f>+J686*K686</f>
        <v>209342400</v>
      </c>
      <c r="M686" s="85">
        <f>+F686+I686+L686</f>
        <v>1258463440.5</v>
      </c>
      <c r="N686" s="429"/>
    </row>
    <row r="687" spans="1:14">
      <c r="D687" s="88"/>
      <c r="E687" s="86"/>
      <c r="F687" s="89"/>
      <c r="G687" s="88"/>
      <c r="H687" s="86"/>
      <c r="I687" s="89"/>
      <c r="J687" s="89"/>
      <c r="K687" s="87"/>
      <c r="L687" s="89"/>
      <c r="M687" s="91"/>
      <c r="N687" s="92"/>
    </row>
    <row r="688" spans="1:14" ht="15.75" thickBot="1">
      <c r="A688" s="427" t="s">
        <v>91</v>
      </c>
      <c r="B688" s="428" t="s">
        <v>77</v>
      </c>
      <c r="C688" s="93" t="s">
        <v>87</v>
      </c>
      <c r="D688" s="85">
        <f>+D685</f>
        <v>596872531</v>
      </c>
      <c r="E688" s="86">
        <f>+E686</f>
        <v>0.5</v>
      </c>
      <c r="F688" s="85">
        <f>+D688*E688</f>
        <v>298436265.5</v>
      </c>
      <c r="G688" s="85">
        <f>+G685</f>
        <v>183818511</v>
      </c>
      <c r="H688" s="86">
        <f>+H686</f>
        <v>0.25</v>
      </c>
      <c r="I688" s="85">
        <f>+G688*H688</f>
        <v>45954627.75</v>
      </c>
      <c r="J688" s="85">
        <f>+J685</f>
        <v>170985072</v>
      </c>
      <c r="K688" s="87">
        <f>+K686</f>
        <v>0.25</v>
      </c>
      <c r="L688" s="85">
        <f>+J688*K688</f>
        <v>42746268</v>
      </c>
      <c r="M688" s="85">
        <f>+F688+I688+L688</f>
        <v>387137161.25</v>
      </c>
      <c r="N688" s="429">
        <f>+M688/M689</f>
        <v>0.17112286162468546</v>
      </c>
    </row>
    <row r="689" spans="1:14" ht="15.75" thickTop="1">
      <c r="A689" s="427"/>
      <c r="B689" s="428"/>
      <c r="C689" s="94" t="s">
        <v>92</v>
      </c>
      <c r="D689" s="85">
        <f>+D678</f>
        <v>3420060639</v>
      </c>
      <c r="E689" s="86">
        <f>+E688</f>
        <v>0.5</v>
      </c>
      <c r="F689" s="85">
        <f>+D689*E689</f>
        <v>1710030319.5</v>
      </c>
      <c r="G689" s="85">
        <f>+G678</f>
        <v>1110804419</v>
      </c>
      <c r="H689" s="86">
        <f>+H688</f>
        <v>0.25</v>
      </c>
      <c r="I689" s="85">
        <f>+G689*H689</f>
        <v>277701104.75</v>
      </c>
      <c r="J689" s="85">
        <f>+J678</f>
        <v>1098412482</v>
      </c>
      <c r="K689" s="87">
        <f>+K688</f>
        <v>0.25</v>
      </c>
      <c r="L689" s="85">
        <f>+J689*K689</f>
        <v>274603120.5</v>
      </c>
      <c r="M689" s="85">
        <f>+F689+I689+L689</f>
        <v>2262334544.75</v>
      </c>
      <c r="N689" s="429"/>
    </row>
    <row r="692" spans="1:14">
      <c r="D692" s="441" t="str">
        <f>+[2]INDICADORES!H111</f>
        <v xml:space="preserve">Consorcio TRIUNFO MO. </v>
      </c>
      <c r="E692" s="442"/>
      <c r="F692" s="442"/>
      <c r="G692" s="442"/>
      <c r="H692" s="442"/>
      <c r="I692" s="442"/>
      <c r="J692" s="442"/>
      <c r="K692" s="433" t="s">
        <v>133</v>
      </c>
    </row>
    <row r="693" spans="1:14">
      <c r="D693" s="434" t="s">
        <v>210</v>
      </c>
      <c r="E693" s="434"/>
      <c r="F693" s="434"/>
      <c r="G693" s="434" t="s">
        <v>211</v>
      </c>
      <c r="H693" s="434"/>
      <c r="I693" s="434"/>
      <c r="J693" s="435" t="s">
        <v>132</v>
      </c>
      <c r="K693" s="433"/>
    </row>
    <row r="694" spans="1:14">
      <c r="D694" s="434"/>
      <c r="E694" s="434"/>
      <c r="F694" s="434"/>
      <c r="G694" s="434"/>
      <c r="H694" s="434"/>
      <c r="I694" s="434"/>
      <c r="J694" s="436"/>
      <c r="K694" s="433"/>
    </row>
    <row r="695" spans="1:14">
      <c r="C695" s="79" t="s">
        <v>135</v>
      </c>
      <c r="D695" s="438" t="s">
        <v>142</v>
      </c>
      <c r="E695" s="439"/>
      <c r="F695" s="440"/>
      <c r="G695" s="438" t="s">
        <v>143</v>
      </c>
      <c r="H695" s="439"/>
      <c r="I695" s="440"/>
      <c r="J695" s="436"/>
      <c r="K695" s="433"/>
    </row>
    <row r="696" spans="1:14" ht="34.5">
      <c r="D696" s="269" t="s">
        <v>137</v>
      </c>
      <c r="E696" s="80" t="s">
        <v>138</v>
      </c>
      <c r="F696" s="81" t="s">
        <v>139</v>
      </c>
      <c r="G696" s="81" t="s">
        <v>137</v>
      </c>
      <c r="H696" s="80" t="s">
        <v>138</v>
      </c>
      <c r="I696" s="81" t="s">
        <v>139</v>
      </c>
      <c r="J696" s="437"/>
      <c r="K696" s="433"/>
    </row>
    <row r="697" spans="1:14" ht="15.75" thickBot="1">
      <c r="A697" s="427" t="s">
        <v>76</v>
      </c>
      <c r="B697" s="428" t="s">
        <v>77</v>
      </c>
      <c r="C697" s="84" t="s">
        <v>78</v>
      </c>
      <c r="D697" s="85">
        <v>71983404561</v>
      </c>
      <c r="E697" s="86">
        <v>0.9</v>
      </c>
      <c r="F697" s="85">
        <f>+D697*E697</f>
        <v>64785064104.900002</v>
      </c>
      <c r="G697" s="85">
        <v>47775396488</v>
      </c>
      <c r="H697" s="86">
        <v>0.1</v>
      </c>
      <c r="I697" s="85">
        <f>+G697*H697</f>
        <v>4777539648.8000002</v>
      </c>
      <c r="J697" s="85">
        <f>+F697+I697</f>
        <v>69562603753.699997</v>
      </c>
      <c r="K697" s="430">
        <f>+J697/J698</f>
        <v>36.74961912476833</v>
      </c>
    </row>
    <row r="698" spans="1:14" ht="15.75" thickTop="1">
      <c r="A698" s="427"/>
      <c r="B698" s="428"/>
      <c r="C698" s="76" t="s">
        <v>80</v>
      </c>
      <c r="D698" s="85">
        <v>1993647321</v>
      </c>
      <c r="E698" s="86">
        <f>+E697</f>
        <v>0.9</v>
      </c>
      <c r="F698" s="85">
        <f>+D698*E698</f>
        <v>1794282588.9000001</v>
      </c>
      <c r="G698" s="85">
        <v>985969949</v>
      </c>
      <c r="H698" s="86">
        <f>+H697</f>
        <v>0.1</v>
      </c>
      <c r="I698" s="85">
        <f>+G698*H698</f>
        <v>98596994.900000006</v>
      </c>
      <c r="J698" s="85">
        <f>+F698+I698</f>
        <v>1892879583.8000002</v>
      </c>
      <c r="K698" s="430"/>
    </row>
    <row r="699" spans="1:14">
      <c r="D699" s="88"/>
      <c r="E699" s="89"/>
      <c r="F699" s="89"/>
      <c r="G699" s="89"/>
      <c r="H699" s="89"/>
      <c r="I699" s="89"/>
      <c r="J699" s="91"/>
      <c r="K699" s="92"/>
    </row>
    <row r="700" spans="1:14" ht="15.75" thickBot="1">
      <c r="A700" s="427" t="s">
        <v>81</v>
      </c>
      <c r="B700" s="428" t="s">
        <v>77</v>
      </c>
      <c r="C700" s="93" t="s">
        <v>82</v>
      </c>
      <c r="D700" s="85">
        <v>42135566361</v>
      </c>
      <c r="E700" s="86">
        <f>+E698</f>
        <v>0.9</v>
      </c>
      <c r="F700" s="85">
        <f>+D700*E700</f>
        <v>37922009724.900002</v>
      </c>
      <c r="G700" s="85">
        <v>28223935441</v>
      </c>
      <c r="H700" s="86">
        <f>+H698</f>
        <v>0.1</v>
      </c>
      <c r="I700" s="85">
        <f>+G700*H700</f>
        <v>2822393544.1000004</v>
      </c>
      <c r="J700" s="85">
        <f>+F700+I700</f>
        <v>40744403269</v>
      </c>
      <c r="K700" s="429">
        <f>+J700/J701</f>
        <v>0.57654935606640612</v>
      </c>
    </row>
    <row r="701" spans="1:14" ht="15.75" thickTop="1">
      <c r="A701" s="427"/>
      <c r="B701" s="428"/>
      <c r="C701" s="94" t="s">
        <v>83</v>
      </c>
      <c r="D701" s="85">
        <v>72129706113</v>
      </c>
      <c r="E701" s="86">
        <f>+E700</f>
        <v>0.9</v>
      </c>
      <c r="F701" s="85">
        <f>+D701*E701</f>
        <v>64916735501.700005</v>
      </c>
      <c r="G701" s="85">
        <v>57526752613</v>
      </c>
      <c r="H701" s="86">
        <f>+H700</f>
        <v>0.1</v>
      </c>
      <c r="I701" s="85">
        <f>+G701*H701</f>
        <v>5752675261.3000002</v>
      </c>
      <c r="J701" s="85">
        <f>+F701+I701</f>
        <v>70669410763</v>
      </c>
      <c r="K701" s="429"/>
    </row>
    <row r="702" spans="1:14">
      <c r="D702" s="88"/>
      <c r="E702" s="86"/>
      <c r="F702" s="89"/>
      <c r="G702" s="89"/>
      <c r="H702" s="86"/>
      <c r="I702" s="89"/>
      <c r="J702" s="91"/>
      <c r="K702" s="92"/>
    </row>
    <row r="703" spans="1:14" ht="19.5">
      <c r="A703" s="76" t="s">
        <v>84</v>
      </c>
      <c r="B703" s="76" t="s">
        <v>140</v>
      </c>
      <c r="C703" s="95" t="s">
        <v>85</v>
      </c>
      <c r="D703" s="85"/>
      <c r="E703" s="85"/>
      <c r="F703" s="85">
        <f>+D697-D698</f>
        <v>69989757240</v>
      </c>
      <c r="G703" s="85"/>
      <c r="H703" s="86"/>
      <c r="I703" s="85">
        <f>+G697-G698</f>
        <v>46789426539</v>
      </c>
      <c r="J703" s="85">
        <f>+F703+I703</f>
        <v>116779183779</v>
      </c>
      <c r="K703" s="97">
        <f>+F703+I703</f>
        <v>116779183779</v>
      </c>
    </row>
    <row r="704" spans="1:14">
      <c r="D704" s="88"/>
      <c r="E704" s="86"/>
      <c r="F704" s="89"/>
      <c r="G704" s="89"/>
      <c r="H704" s="86"/>
      <c r="I704" s="89"/>
      <c r="J704" s="91"/>
      <c r="K704" s="92"/>
    </row>
    <row r="705" spans="1:11" ht="15.75" thickBot="1">
      <c r="A705" s="427" t="s">
        <v>86</v>
      </c>
      <c r="B705" s="428" t="s">
        <v>77</v>
      </c>
      <c r="C705" s="84" t="s">
        <v>87</v>
      </c>
      <c r="D705" s="85">
        <v>27428327512</v>
      </c>
      <c r="E705" s="86">
        <f>+E701</f>
        <v>0.9</v>
      </c>
      <c r="F705" s="85">
        <f>+D705*E705</f>
        <v>24685494760.799999</v>
      </c>
      <c r="G705" s="85">
        <v>14728114645</v>
      </c>
      <c r="H705" s="86">
        <f>+H701</f>
        <v>0.1</v>
      </c>
      <c r="I705" s="85">
        <f>+G705*H705</f>
        <v>1472811464.5</v>
      </c>
      <c r="J705" s="85">
        <f>+F705+I705</f>
        <v>26158306225.299999</v>
      </c>
      <c r="K705" s="429">
        <f>+J705/J706</f>
        <v>1065.4365621761569</v>
      </c>
    </row>
    <row r="706" spans="1:11" ht="15.75" thickTop="1">
      <c r="A706" s="427"/>
      <c r="B706" s="428"/>
      <c r="C706" s="76" t="s">
        <v>88</v>
      </c>
      <c r="D706" s="85">
        <v>26186473</v>
      </c>
      <c r="E706" s="86">
        <f>+E701</f>
        <v>0.9</v>
      </c>
      <c r="F706" s="85">
        <f>+D706*E706</f>
        <v>23567825.699999999</v>
      </c>
      <c r="G706" s="85">
        <v>9839000</v>
      </c>
      <c r="H706" s="86">
        <f>+H701</f>
        <v>0.1</v>
      </c>
      <c r="I706" s="85">
        <f>+G706*H706</f>
        <v>983900</v>
      </c>
      <c r="J706" s="85">
        <f>+F706+I706</f>
        <v>24551725.699999999</v>
      </c>
      <c r="K706" s="429"/>
    </row>
    <row r="707" spans="1:11">
      <c r="D707" s="88"/>
      <c r="E707" s="86"/>
      <c r="F707" s="89"/>
      <c r="G707" s="89"/>
      <c r="H707" s="86"/>
      <c r="I707" s="89"/>
      <c r="J707" s="91"/>
      <c r="K707" s="92"/>
    </row>
    <row r="708" spans="1:11" ht="15.75" thickBot="1">
      <c r="A708" s="427" t="s">
        <v>89</v>
      </c>
      <c r="B708" s="428" t="s">
        <v>77</v>
      </c>
      <c r="C708" s="93" t="s">
        <v>87</v>
      </c>
      <c r="D708" s="85">
        <f>+D705</f>
        <v>27428327512</v>
      </c>
      <c r="E708" s="86">
        <f>+E706</f>
        <v>0.9</v>
      </c>
      <c r="F708" s="85">
        <f>+D708*E708</f>
        <v>24685494760.799999</v>
      </c>
      <c r="G708" s="85">
        <f>+G705</f>
        <v>14728114645</v>
      </c>
      <c r="H708" s="86">
        <f>+H706</f>
        <v>0.1</v>
      </c>
      <c r="I708" s="85">
        <f>+G708*H708</f>
        <v>1472811464.5</v>
      </c>
      <c r="J708" s="85">
        <f>+F708+I708</f>
        <v>26158306225.299999</v>
      </c>
      <c r="K708" s="429">
        <f>+J708/J709</f>
        <v>0.87412864409623858</v>
      </c>
    </row>
    <row r="709" spans="1:11" ht="15.75" thickTop="1">
      <c r="A709" s="427"/>
      <c r="B709" s="428"/>
      <c r="C709" s="94" t="s">
        <v>90</v>
      </c>
      <c r="D709" s="85">
        <f>+D701-D700</f>
        <v>29994139752</v>
      </c>
      <c r="E709" s="86">
        <f>+E708</f>
        <v>0.9</v>
      </c>
      <c r="F709" s="85">
        <f>+D709*E709</f>
        <v>26994725776.799999</v>
      </c>
      <c r="G709" s="85">
        <f>+G701-G700</f>
        <v>29302817172</v>
      </c>
      <c r="H709" s="86">
        <f>+H708</f>
        <v>0.1</v>
      </c>
      <c r="I709" s="85">
        <f>+G709*H709</f>
        <v>2930281717.2000003</v>
      </c>
      <c r="J709" s="85">
        <f>+F709+I709</f>
        <v>29925007494</v>
      </c>
      <c r="K709" s="429"/>
    </row>
    <row r="710" spans="1:11">
      <c r="D710" s="88"/>
      <c r="E710" s="86"/>
      <c r="F710" s="89"/>
      <c r="G710" s="89"/>
      <c r="H710" s="86"/>
      <c r="I710" s="89"/>
      <c r="J710" s="91"/>
      <c r="K710" s="92"/>
    </row>
    <row r="711" spans="1:11" ht="15.75" thickBot="1">
      <c r="A711" s="427" t="s">
        <v>91</v>
      </c>
      <c r="B711" s="428" t="s">
        <v>77</v>
      </c>
      <c r="C711" s="93" t="s">
        <v>87</v>
      </c>
      <c r="D711" s="85">
        <f>+D708</f>
        <v>27428327512</v>
      </c>
      <c r="E711" s="86">
        <f>+E709</f>
        <v>0.9</v>
      </c>
      <c r="F711" s="85">
        <f>+D711*E711</f>
        <v>24685494760.799999</v>
      </c>
      <c r="G711" s="85">
        <f>+G708</f>
        <v>14728114645</v>
      </c>
      <c r="H711" s="86">
        <f>+H709</f>
        <v>0.1</v>
      </c>
      <c r="I711" s="85">
        <f>+G711*H711</f>
        <v>1472811464.5</v>
      </c>
      <c r="J711" s="85">
        <f>+F711+I711</f>
        <v>26158306225.299999</v>
      </c>
      <c r="K711" s="429">
        <f>+J711/J712</f>
        <v>0.37015033722335156</v>
      </c>
    </row>
    <row r="712" spans="1:11" ht="15.75" thickTop="1">
      <c r="A712" s="427"/>
      <c r="B712" s="428"/>
      <c r="C712" s="94" t="s">
        <v>92</v>
      </c>
      <c r="D712" s="85">
        <f>+D701</f>
        <v>72129706113</v>
      </c>
      <c r="E712" s="86">
        <f>+E711</f>
        <v>0.9</v>
      </c>
      <c r="F712" s="85">
        <f>+D712*E712</f>
        <v>64916735501.700005</v>
      </c>
      <c r="G712" s="85">
        <f>+G701</f>
        <v>57526752613</v>
      </c>
      <c r="H712" s="86">
        <f>+H711</f>
        <v>0.1</v>
      </c>
      <c r="I712" s="85">
        <f>+G712*H712</f>
        <v>5752675261.3000002</v>
      </c>
      <c r="J712" s="85">
        <f>+F712+I712</f>
        <v>70669410763</v>
      </c>
      <c r="K712" s="429"/>
    </row>
    <row r="715" spans="1:11">
      <c r="D715" s="431" t="str">
        <f>+[2]INDICADORES!K111</f>
        <v>CONSORCIO RJ DUOVAL 2026</v>
      </c>
      <c r="E715" s="432"/>
      <c r="F715" s="432"/>
      <c r="G715" s="432"/>
      <c r="H715" s="432"/>
      <c r="I715" s="432"/>
      <c r="J715" s="432"/>
      <c r="K715" s="433" t="s">
        <v>133</v>
      </c>
    </row>
    <row r="716" spans="1:11">
      <c r="D716" s="434" t="s">
        <v>212</v>
      </c>
      <c r="E716" s="434"/>
      <c r="F716" s="434"/>
      <c r="G716" s="434" t="s">
        <v>213</v>
      </c>
      <c r="H716" s="434"/>
      <c r="I716" s="434"/>
      <c r="J716" s="435" t="s">
        <v>132</v>
      </c>
      <c r="K716" s="433"/>
    </row>
    <row r="717" spans="1:11">
      <c r="D717" s="434"/>
      <c r="E717" s="434"/>
      <c r="F717" s="434"/>
      <c r="G717" s="434"/>
      <c r="H717" s="434"/>
      <c r="I717" s="434"/>
      <c r="J717" s="436"/>
      <c r="K717" s="433"/>
    </row>
    <row r="718" spans="1:11">
      <c r="C718" s="79" t="s">
        <v>135</v>
      </c>
      <c r="D718" s="438" t="s">
        <v>167</v>
      </c>
      <c r="E718" s="439"/>
      <c r="F718" s="440"/>
      <c r="G718" s="438" t="s">
        <v>142</v>
      </c>
      <c r="H718" s="439"/>
      <c r="I718" s="440"/>
      <c r="J718" s="436"/>
      <c r="K718" s="433"/>
    </row>
    <row r="719" spans="1:11" ht="34.5">
      <c r="D719" s="269" t="s">
        <v>137</v>
      </c>
      <c r="E719" s="80" t="s">
        <v>138</v>
      </c>
      <c r="F719" s="81" t="s">
        <v>139</v>
      </c>
      <c r="G719" s="81" t="s">
        <v>137</v>
      </c>
      <c r="H719" s="80" t="s">
        <v>138</v>
      </c>
      <c r="I719" s="81" t="s">
        <v>139</v>
      </c>
      <c r="J719" s="437"/>
      <c r="K719" s="433"/>
    </row>
    <row r="720" spans="1:11" ht="15.75" thickBot="1">
      <c r="A720" s="427" t="s">
        <v>76</v>
      </c>
      <c r="B720" s="428" t="s">
        <v>77</v>
      </c>
      <c r="C720" s="84" t="s">
        <v>78</v>
      </c>
      <c r="D720" s="85">
        <v>3342027302</v>
      </c>
      <c r="E720" s="86">
        <v>0.9</v>
      </c>
      <c r="F720" s="85">
        <f>+D720*E720</f>
        <v>3007824571.8000002</v>
      </c>
      <c r="G720" s="85">
        <v>81079430769</v>
      </c>
      <c r="H720" s="86">
        <v>0.1</v>
      </c>
      <c r="I720" s="85">
        <f>+G720*H720</f>
        <v>8107943076.9000006</v>
      </c>
      <c r="J720" s="85">
        <f>+F720+I720</f>
        <v>11115767648.700001</v>
      </c>
      <c r="K720" s="430">
        <f>+J720/J721</f>
        <v>2.9756181568134843</v>
      </c>
    </row>
    <row r="721" spans="1:11" ht="15.75" thickTop="1">
      <c r="A721" s="427"/>
      <c r="B721" s="428"/>
      <c r="C721" s="76" t="s">
        <v>80</v>
      </c>
      <c r="D721" s="85">
        <v>359321014</v>
      </c>
      <c r="E721" s="86">
        <f>+E720</f>
        <v>0.9</v>
      </c>
      <c r="F721" s="85">
        <f>+D721*E721</f>
        <v>323388912.60000002</v>
      </c>
      <c r="G721" s="85">
        <v>34122273738</v>
      </c>
      <c r="H721" s="86">
        <f>+H720</f>
        <v>0.1</v>
      </c>
      <c r="I721" s="85">
        <f>+G721*H721</f>
        <v>3412227373.8000002</v>
      </c>
      <c r="J721" s="85">
        <f>+F721+I721</f>
        <v>3735616286.4000001</v>
      </c>
      <c r="K721" s="430"/>
    </row>
    <row r="722" spans="1:11">
      <c r="D722" s="88"/>
      <c r="E722" s="89"/>
      <c r="F722" s="89"/>
      <c r="G722" s="89"/>
      <c r="H722" s="89"/>
      <c r="I722" s="89"/>
      <c r="J722" s="91"/>
      <c r="K722" s="92"/>
    </row>
    <row r="723" spans="1:11" ht="15.75" thickBot="1">
      <c r="A723" s="427" t="s">
        <v>81</v>
      </c>
      <c r="B723" s="428" t="s">
        <v>77</v>
      </c>
      <c r="C723" s="93" t="s">
        <v>82</v>
      </c>
      <c r="D723" s="85">
        <v>1219455347</v>
      </c>
      <c r="E723" s="86">
        <f>+E721</f>
        <v>0.9</v>
      </c>
      <c r="F723" s="85">
        <f>+D723*E723</f>
        <v>1097509812.3</v>
      </c>
      <c r="G723" s="85">
        <v>57148067288</v>
      </c>
      <c r="H723" s="86">
        <f>+H721</f>
        <v>0.1</v>
      </c>
      <c r="I723" s="85">
        <f>+G723*H723</f>
        <v>5714806728.8000002</v>
      </c>
      <c r="J723" s="85">
        <f>+F723+I723</f>
        <v>6812316541.1000004</v>
      </c>
      <c r="K723" s="429">
        <f>+J723/J724</f>
        <v>0.59301751053899487</v>
      </c>
    </row>
    <row r="724" spans="1:11" ht="15.75" thickTop="1">
      <c r="A724" s="427"/>
      <c r="B724" s="428"/>
      <c r="C724" s="94" t="s">
        <v>83</v>
      </c>
      <c r="D724" s="85">
        <v>3342027302</v>
      </c>
      <c r="E724" s="86">
        <f>+E723</f>
        <v>0.9</v>
      </c>
      <c r="F724" s="85">
        <f>+D724*E724</f>
        <v>3007824571.8000002</v>
      </c>
      <c r="G724" s="85">
        <v>84797224568</v>
      </c>
      <c r="H724" s="86">
        <f>+H723</f>
        <v>0.1</v>
      </c>
      <c r="I724" s="85">
        <f>+G724*H724</f>
        <v>8479722456.8000002</v>
      </c>
      <c r="J724" s="85">
        <f>+F724+I724</f>
        <v>11487547028.6</v>
      </c>
      <c r="K724" s="429"/>
    </row>
    <row r="725" spans="1:11">
      <c r="D725" s="88"/>
      <c r="E725" s="86"/>
      <c r="F725" s="89"/>
      <c r="G725" s="89"/>
      <c r="H725" s="86"/>
      <c r="I725" s="89"/>
      <c r="J725" s="91"/>
      <c r="K725" s="92"/>
    </row>
    <row r="726" spans="1:11" ht="19.5">
      <c r="A726" s="76" t="s">
        <v>84</v>
      </c>
      <c r="B726" s="76" t="s">
        <v>140</v>
      </c>
      <c r="C726" s="95" t="s">
        <v>85</v>
      </c>
      <c r="D726" s="85"/>
      <c r="E726" s="85"/>
      <c r="F726" s="85">
        <f>+D720-D721</f>
        <v>2982706288</v>
      </c>
      <c r="G726" s="85"/>
      <c r="H726" s="86"/>
      <c r="I726" s="85">
        <f>+G720-G721</f>
        <v>46957157031</v>
      </c>
      <c r="J726" s="85">
        <f>+F726+I726</f>
        <v>49939863319</v>
      </c>
      <c r="K726" s="97">
        <f>+F726+I726</f>
        <v>49939863319</v>
      </c>
    </row>
    <row r="727" spans="1:11">
      <c r="D727" s="88"/>
      <c r="E727" s="86"/>
      <c r="F727" s="89"/>
      <c r="G727" s="89"/>
      <c r="H727" s="86"/>
      <c r="I727" s="89"/>
      <c r="J727" s="91"/>
      <c r="K727" s="92"/>
    </row>
    <row r="728" spans="1:11" ht="15.75" thickBot="1">
      <c r="A728" s="427" t="s">
        <v>86</v>
      </c>
      <c r="B728" s="428" t="s">
        <v>77</v>
      </c>
      <c r="C728" s="84" t="s">
        <v>87</v>
      </c>
      <c r="D728" s="85">
        <v>76120399</v>
      </c>
      <c r="E728" s="86">
        <f>+E724</f>
        <v>0.9</v>
      </c>
      <c r="F728" s="85">
        <f>+D728*E728</f>
        <v>68508359.100000009</v>
      </c>
      <c r="G728" s="85">
        <v>3472835551</v>
      </c>
      <c r="H728" s="86">
        <f>+H724</f>
        <v>0.1</v>
      </c>
      <c r="I728" s="85">
        <f>+G728*H728</f>
        <v>347283555.10000002</v>
      </c>
      <c r="J728" s="85">
        <f>+F728+I728</f>
        <v>415791914.20000005</v>
      </c>
      <c r="K728" s="429">
        <f>+J728/J729</f>
        <v>4.8625495543840422</v>
      </c>
    </row>
    <row r="729" spans="1:11" ht="15.75" thickTop="1">
      <c r="A729" s="427"/>
      <c r="B729" s="428"/>
      <c r="C729" s="76" t="s">
        <v>88</v>
      </c>
      <c r="D729" s="85">
        <v>0</v>
      </c>
      <c r="E729" s="86">
        <f>+E724</f>
        <v>0.9</v>
      </c>
      <c r="F729" s="85">
        <f>+D729*E729</f>
        <v>0</v>
      </c>
      <c r="G729" s="85">
        <v>855090338</v>
      </c>
      <c r="H729" s="86">
        <f>+H724</f>
        <v>0.1</v>
      </c>
      <c r="I729" s="85">
        <f>+G729*H729</f>
        <v>85509033.800000012</v>
      </c>
      <c r="J729" s="85">
        <f>+F729+I729</f>
        <v>85509033.800000012</v>
      </c>
      <c r="K729" s="429"/>
    </row>
    <row r="730" spans="1:11">
      <c r="D730" s="88"/>
      <c r="E730" s="86"/>
      <c r="F730" s="89"/>
      <c r="G730" s="89"/>
      <c r="H730" s="86"/>
      <c r="I730" s="89"/>
      <c r="J730" s="91"/>
      <c r="K730" s="92"/>
    </row>
    <row r="731" spans="1:11" ht="15.75" thickBot="1">
      <c r="A731" s="427" t="s">
        <v>89</v>
      </c>
      <c r="B731" s="428" t="s">
        <v>77</v>
      </c>
      <c r="C731" s="93" t="s">
        <v>87</v>
      </c>
      <c r="D731" s="85">
        <f>+D728</f>
        <v>76120399</v>
      </c>
      <c r="E731" s="86">
        <f>+E729</f>
        <v>0.9</v>
      </c>
      <c r="F731" s="85">
        <f>+D731*E731</f>
        <v>68508359.100000009</v>
      </c>
      <c r="G731" s="85">
        <f>+G728</f>
        <v>3472835551</v>
      </c>
      <c r="H731" s="86">
        <f>+H729</f>
        <v>0.1</v>
      </c>
      <c r="I731" s="85">
        <f>+G731*H731</f>
        <v>347283555.10000002</v>
      </c>
      <c r="J731" s="85">
        <f>+F731+I731</f>
        <v>415791914.20000005</v>
      </c>
      <c r="K731" s="429">
        <f>+J731/J732</f>
        <v>8.8935062198898712E-2</v>
      </c>
    </row>
    <row r="732" spans="1:11" ht="15.75" thickTop="1">
      <c r="A732" s="427"/>
      <c r="B732" s="428"/>
      <c r="C732" s="94" t="s">
        <v>90</v>
      </c>
      <c r="D732" s="85">
        <f>+D724-D723</f>
        <v>2122571955</v>
      </c>
      <c r="E732" s="86">
        <f>+E731</f>
        <v>0.9</v>
      </c>
      <c r="F732" s="85">
        <f>+D732*E732</f>
        <v>1910314759.5</v>
      </c>
      <c r="G732" s="85">
        <f>+G724-G723</f>
        <v>27649157280</v>
      </c>
      <c r="H732" s="86">
        <f>+H731</f>
        <v>0.1</v>
      </c>
      <c r="I732" s="85">
        <f>+G732*H732</f>
        <v>2764915728</v>
      </c>
      <c r="J732" s="85">
        <f>+F732+I732</f>
        <v>4675230487.5</v>
      </c>
      <c r="K732" s="429"/>
    </row>
    <row r="733" spans="1:11">
      <c r="D733" s="88"/>
      <c r="E733" s="86"/>
      <c r="F733" s="89"/>
      <c r="G733" s="89"/>
      <c r="H733" s="86"/>
      <c r="I733" s="89"/>
      <c r="J733" s="91"/>
      <c r="K733" s="92"/>
    </row>
    <row r="734" spans="1:11" ht="15.75" thickBot="1">
      <c r="A734" s="427" t="s">
        <v>91</v>
      </c>
      <c r="B734" s="428" t="s">
        <v>77</v>
      </c>
      <c r="C734" s="93" t="s">
        <v>87</v>
      </c>
      <c r="D734" s="85">
        <f>+D731</f>
        <v>76120399</v>
      </c>
      <c r="E734" s="86">
        <f>+E732</f>
        <v>0.9</v>
      </c>
      <c r="F734" s="85">
        <f>+D734*E734</f>
        <v>68508359.100000009</v>
      </c>
      <c r="G734" s="85">
        <f>+G731</f>
        <v>3472835551</v>
      </c>
      <c r="H734" s="86">
        <f>+H732</f>
        <v>0.1</v>
      </c>
      <c r="I734" s="85">
        <f>+G734*H734</f>
        <v>347283555.10000002</v>
      </c>
      <c r="J734" s="85">
        <f>+F734+I734</f>
        <v>415791914.20000005</v>
      </c>
      <c r="K734" s="429">
        <f>+J734/J735</f>
        <v>3.6195013014077126E-2</v>
      </c>
    </row>
    <row r="735" spans="1:11" ht="15.75" thickTop="1">
      <c r="A735" s="427"/>
      <c r="B735" s="428"/>
      <c r="C735" s="94" t="s">
        <v>92</v>
      </c>
      <c r="D735" s="85">
        <f>+D724</f>
        <v>3342027302</v>
      </c>
      <c r="E735" s="86">
        <f>+E734</f>
        <v>0.9</v>
      </c>
      <c r="F735" s="85">
        <f>+D735*E735</f>
        <v>3007824571.8000002</v>
      </c>
      <c r="G735" s="85">
        <f>+G724</f>
        <v>84797224568</v>
      </c>
      <c r="H735" s="86">
        <f>+H734</f>
        <v>0.1</v>
      </c>
      <c r="I735" s="85">
        <f>+G735*H735</f>
        <v>8479722456.8000002</v>
      </c>
      <c r="J735" s="85">
        <f>+F735+I735</f>
        <v>11487547028.6</v>
      </c>
      <c r="K735" s="429"/>
    </row>
    <row r="738" spans="1:11">
      <c r="D738" s="441" t="str">
        <f>+[2]INDICADORES!N111</f>
        <v>CONSORCIO PALACIO DE JUSTICIA C&amp;E</v>
      </c>
      <c r="E738" s="442"/>
      <c r="F738" s="442"/>
      <c r="G738" s="442"/>
      <c r="H738" s="442"/>
      <c r="I738" s="442"/>
      <c r="J738" s="442"/>
      <c r="K738" s="433" t="s">
        <v>133</v>
      </c>
    </row>
    <row r="739" spans="1:11">
      <c r="D739" s="434" t="s">
        <v>214</v>
      </c>
      <c r="E739" s="434"/>
      <c r="F739" s="434"/>
      <c r="G739" s="434" t="s">
        <v>215</v>
      </c>
      <c r="H739" s="434"/>
      <c r="I739" s="434"/>
      <c r="J739" s="435" t="s">
        <v>132</v>
      </c>
      <c r="K739" s="433"/>
    </row>
    <row r="740" spans="1:11">
      <c r="D740" s="434"/>
      <c r="E740" s="434"/>
      <c r="F740" s="434"/>
      <c r="G740" s="434"/>
      <c r="H740" s="434"/>
      <c r="I740" s="434"/>
      <c r="J740" s="436"/>
      <c r="K740" s="433"/>
    </row>
    <row r="741" spans="1:11">
      <c r="C741" s="79" t="s">
        <v>135</v>
      </c>
      <c r="D741" s="438" t="s">
        <v>167</v>
      </c>
      <c r="E741" s="439"/>
      <c r="F741" s="440"/>
      <c r="G741" s="438" t="s">
        <v>216</v>
      </c>
      <c r="H741" s="439"/>
      <c r="I741" s="440"/>
      <c r="J741" s="436"/>
      <c r="K741" s="433"/>
    </row>
    <row r="742" spans="1:11" ht="34.5">
      <c r="D742" s="269" t="s">
        <v>137</v>
      </c>
      <c r="E742" s="80" t="s">
        <v>138</v>
      </c>
      <c r="F742" s="81" t="s">
        <v>139</v>
      </c>
      <c r="G742" s="81" t="s">
        <v>137</v>
      </c>
      <c r="H742" s="80" t="s">
        <v>138</v>
      </c>
      <c r="I742" s="81" t="s">
        <v>139</v>
      </c>
      <c r="J742" s="437"/>
      <c r="K742" s="433"/>
    </row>
    <row r="743" spans="1:11" ht="15.75" thickBot="1">
      <c r="A743" s="427" t="s">
        <v>76</v>
      </c>
      <c r="B743" s="428" t="s">
        <v>77</v>
      </c>
      <c r="C743" s="84" t="s">
        <v>78</v>
      </c>
      <c r="D743" s="85">
        <v>381286595</v>
      </c>
      <c r="E743" s="86">
        <v>0.2</v>
      </c>
      <c r="F743" s="85">
        <f>+D743*E743</f>
        <v>76257319</v>
      </c>
      <c r="G743" s="85">
        <v>15708095867</v>
      </c>
      <c r="H743" s="86">
        <v>0.8</v>
      </c>
      <c r="I743" s="85">
        <f>+G743*H743</f>
        <v>12566476693.6</v>
      </c>
      <c r="J743" s="85">
        <f>+F743+I743</f>
        <v>12642734012.6</v>
      </c>
      <c r="K743" s="430">
        <f>+J743/J744</f>
        <v>3.6388021982973631</v>
      </c>
    </row>
    <row r="744" spans="1:11" ht="15.75" thickTop="1">
      <c r="A744" s="427"/>
      <c r="B744" s="428"/>
      <c r="C744" s="76" t="s">
        <v>80</v>
      </c>
      <c r="D744" s="85">
        <v>72196660</v>
      </c>
      <c r="E744" s="86">
        <f>+E743</f>
        <v>0.2</v>
      </c>
      <c r="F744" s="85">
        <f>+D744*E744</f>
        <v>14439332</v>
      </c>
      <c r="G744" s="85">
        <v>4324978198</v>
      </c>
      <c r="H744" s="86">
        <f>+H743</f>
        <v>0.8</v>
      </c>
      <c r="I744" s="85">
        <f>+G744*H744</f>
        <v>3459982558.4000001</v>
      </c>
      <c r="J744" s="85">
        <f>+F744+I744</f>
        <v>3474421890.4000001</v>
      </c>
      <c r="K744" s="430"/>
    </row>
    <row r="745" spans="1:11">
      <c r="D745" s="88"/>
      <c r="E745" s="89"/>
      <c r="F745" s="89"/>
      <c r="G745" s="89"/>
      <c r="H745" s="89"/>
      <c r="I745" s="89"/>
      <c r="J745" s="91"/>
      <c r="K745" s="92"/>
    </row>
    <row r="746" spans="1:11" ht="15.75" thickBot="1">
      <c r="A746" s="427" t="s">
        <v>81</v>
      </c>
      <c r="B746" s="428" t="s">
        <v>77</v>
      </c>
      <c r="C746" s="93" t="s">
        <v>82</v>
      </c>
      <c r="D746" s="85">
        <v>318685060</v>
      </c>
      <c r="E746" s="86">
        <f>+E744</f>
        <v>0.2</v>
      </c>
      <c r="F746" s="85">
        <f>+D746*E746</f>
        <v>63737012</v>
      </c>
      <c r="G746" s="85">
        <v>4723010164</v>
      </c>
      <c r="H746" s="86">
        <f>+H744</f>
        <v>0.8</v>
      </c>
      <c r="I746" s="85">
        <f>+G746*H746</f>
        <v>3778408131.2000003</v>
      </c>
      <c r="J746" s="85">
        <f>+F746+I746</f>
        <v>3842145143.2000003</v>
      </c>
      <c r="K746" s="429">
        <f>+J746/J747</f>
        <v>0.29831836222914682</v>
      </c>
    </row>
    <row r="747" spans="1:11" ht="15.75" thickTop="1">
      <c r="A747" s="427"/>
      <c r="B747" s="428"/>
      <c r="C747" s="94" t="s">
        <v>83</v>
      </c>
      <c r="D747" s="85">
        <v>381286595</v>
      </c>
      <c r="E747" s="86">
        <f>+E746</f>
        <v>0.2</v>
      </c>
      <c r="F747" s="85">
        <f>+D747*E747</f>
        <v>76257319</v>
      </c>
      <c r="G747" s="85">
        <v>16003859753</v>
      </c>
      <c r="H747" s="86">
        <f>+H746</f>
        <v>0.8</v>
      </c>
      <c r="I747" s="85">
        <f>+G747*H747</f>
        <v>12803087802.400002</v>
      </c>
      <c r="J747" s="85">
        <f>+F747+I747</f>
        <v>12879345121.400002</v>
      </c>
      <c r="K747" s="429"/>
    </row>
    <row r="748" spans="1:11">
      <c r="D748" s="88"/>
      <c r="E748" s="86"/>
      <c r="F748" s="89"/>
      <c r="G748" s="89"/>
      <c r="H748" s="86"/>
      <c r="I748" s="89"/>
      <c r="J748" s="91"/>
      <c r="K748" s="92"/>
    </row>
    <row r="749" spans="1:11" ht="19.5">
      <c r="A749" s="76" t="s">
        <v>84</v>
      </c>
      <c r="B749" s="76" t="s">
        <v>140</v>
      </c>
      <c r="C749" s="95" t="s">
        <v>85</v>
      </c>
      <c r="D749" s="85"/>
      <c r="E749" s="85"/>
      <c r="F749" s="85">
        <f>+D743-D744</f>
        <v>309089935</v>
      </c>
      <c r="G749" s="85"/>
      <c r="H749" s="86"/>
      <c r="I749" s="85">
        <f>+G743-G744</f>
        <v>11383117669</v>
      </c>
      <c r="J749" s="85">
        <f>+F749+I749</f>
        <v>11692207604</v>
      </c>
      <c r="K749" s="97">
        <f>+F749+I749</f>
        <v>11692207604</v>
      </c>
    </row>
    <row r="750" spans="1:11">
      <c r="D750" s="88"/>
      <c r="E750" s="86"/>
      <c r="F750" s="89"/>
      <c r="G750" s="89"/>
      <c r="H750" s="86"/>
      <c r="I750" s="89"/>
      <c r="J750" s="91"/>
      <c r="K750" s="92"/>
    </row>
    <row r="751" spans="1:11" ht="15.75" thickBot="1">
      <c r="A751" s="427" t="s">
        <v>86</v>
      </c>
      <c r="B751" s="428" t="s">
        <v>77</v>
      </c>
      <c r="C751" s="84" t="s">
        <v>87</v>
      </c>
      <c r="D751" s="85">
        <v>93783059</v>
      </c>
      <c r="E751" s="86">
        <f>+E747</f>
        <v>0.2</v>
      </c>
      <c r="F751" s="85">
        <f>+D751*E751</f>
        <v>18756611.800000001</v>
      </c>
      <c r="G751" s="85">
        <v>3912594381</v>
      </c>
      <c r="H751" s="86">
        <f>+H747</f>
        <v>0.8</v>
      </c>
      <c r="I751" s="85">
        <f>+G751*H751</f>
        <v>3130075504.8000002</v>
      </c>
      <c r="J751" s="85">
        <f>+F751+I751</f>
        <v>3148832116.6000004</v>
      </c>
      <c r="K751" s="429">
        <f>+J751/J752</f>
        <v>18.935198651467768</v>
      </c>
    </row>
    <row r="752" spans="1:11" ht="15.75" thickTop="1">
      <c r="A752" s="427"/>
      <c r="B752" s="428"/>
      <c r="C752" s="76" t="s">
        <v>88</v>
      </c>
      <c r="D752" s="85">
        <v>1350900</v>
      </c>
      <c r="E752" s="86">
        <f>+E747</f>
        <v>0.2</v>
      </c>
      <c r="F752" s="85">
        <f>+D752*E752</f>
        <v>270180</v>
      </c>
      <c r="G752" s="85">
        <v>207531240</v>
      </c>
      <c r="H752" s="86">
        <f>+H747</f>
        <v>0.8</v>
      </c>
      <c r="I752" s="85">
        <f>+G752*H752</f>
        <v>166024992</v>
      </c>
      <c r="J752" s="85">
        <f>+F752+I752</f>
        <v>166295172</v>
      </c>
      <c r="K752" s="429"/>
    </row>
    <row r="753" spans="1:11">
      <c r="D753" s="88"/>
      <c r="E753" s="86"/>
      <c r="F753" s="89"/>
      <c r="G753" s="89"/>
      <c r="H753" s="86"/>
      <c r="I753" s="89"/>
      <c r="J753" s="91"/>
      <c r="K753" s="92"/>
    </row>
    <row r="754" spans="1:11" ht="15.75" thickBot="1">
      <c r="A754" s="427" t="s">
        <v>89</v>
      </c>
      <c r="B754" s="428" t="s">
        <v>77</v>
      </c>
      <c r="C754" s="93" t="s">
        <v>87</v>
      </c>
      <c r="D754" s="85">
        <f>+D751</f>
        <v>93783059</v>
      </c>
      <c r="E754" s="86">
        <f>+E752</f>
        <v>0.2</v>
      </c>
      <c r="F754" s="85">
        <f>+D754*E754</f>
        <v>18756611.800000001</v>
      </c>
      <c r="G754" s="85">
        <f>+G751</f>
        <v>3912594381</v>
      </c>
      <c r="H754" s="86">
        <f>+H752</f>
        <v>0.8</v>
      </c>
      <c r="I754" s="85">
        <f>+G754*H754</f>
        <v>3130075504.8000002</v>
      </c>
      <c r="J754" s="85">
        <f>+F754+I754</f>
        <v>3148832116.6000004</v>
      </c>
      <c r="K754" s="429">
        <f>+J754/J755</f>
        <v>0.34843005844683922</v>
      </c>
    </row>
    <row r="755" spans="1:11" ht="15.75" thickTop="1">
      <c r="A755" s="427"/>
      <c r="B755" s="428"/>
      <c r="C755" s="94" t="s">
        <v>90</v>
      </c>
      <c r="D755" s="85">
        <f>+D747-D746</f>
        <v>62601535</v>
      </c>
      <c r="E755" s="86">
        <f>+E754</f>
        <v>0.2</v>
      </c>
      <c r="F755" s="85">
        <f>+D755*E755</f>
        <v>12520307</v>
      </c>
      <c r="G755" s="85">
        <f>+G747-G746</f>
        <v>11280849589</v>
      </c>
      <c r="H755" s="86">
        <f>+H754</f>
        <v>0.8</v>
      </c>
      <c r="I755" s="85">
        <f>+G755*H755</f>
        <v>9024679671.2000008</v>
      </c>
      <c r="J755" s="85">
        <f>+F755+I755</f>
        <v>9037199978.2000008</v>
      </c>
      <c r="K755" s="429"/>
    </row>
    <row r="756" spans="1:11">
      <c r="D756" s="88"/>
      <c r="E756" s="86"/>
      <c r="F756" s="89"/>
      <c r="G756" s="89"/>
      <c r="H756" s="86"/>
      <c r="I756" s="89"/>
      <c r="J756" s="91"/>
      <c r="K756" s="92"/>
    </row>
    <row r="757" spans="1:11" ht="15.75" thickBot="1">
      <c r="A757" s="427" t="s">
        <v>91</v>
      </c>
      <c r="B757" s="428" t="s">
        <v>77</v>
      </c>
      <c r="C757" s="93" t="s">
        <v>87</v>
      </c>
      <c r="D757" s="85">
        <f>+D754</f>
        <v>93783059</v>
      </c>
      <c r="E757" s="86">
        <f>+E755</f>
        <v>0.2</v>
      </c>
      <c r="F757" s="85">
        <f>+D757*E757</f>
        <v>18756611.800000001</v>
      </c>
      <c r="G757" s="85">
        <f>+G754</f>
        <v>3912594381</v>
      </c>
      <c r="H757" s="86">
        <f>+H755</f>
        <v>0.8</v>
      </c>
      <c r="I757" s="85">
        <f>+G757*H757</f>
        <v>3130075504.8000002</v>
      </c>
      <c r="J757" s="85">
        <f>+F757+I757</f>
        <v>3148832116.6000004</v>
      </c>
      <c r="K757" s="429">
        <f>+J757/J758</f>
        <v>0.24448697405957223</v>
      </c>
    </row>
    <row r="758" spans="1:11" ht="15.75" thickTop="1">
      <c r="A758" s="427"/>
      <c r="B758" s="428"/>
      <c r="C758" s="94" t="s">
        <v>92</v>
      </c>
      <c r="D758" s="85">
        <f>+D747</f>
        <v>381286595</v>
      </c>
      <c r="E758" s="86">
        <f>+E757</f>
        <v>0.2</v>
      </c>
      <c r="F758" s="85">
        <f>+D758*E758</f>
        <v>76257319</v>
      </c>
      <c r="G758" s="85">
        <f>+G747</f>
        <v>16003859753</v>
      </c>
      <c r="H758" s="86">
        <f>+H757</f>
        <v>0.8</v>
      </c>
      <c r="I758" s="85">
        <f>+G758*H758</f>
        <v>12803087802.400002</v>
      </c>
      <c r="J758" s="85">
        <f>+F758+I758</f>
        <v>12879345121.400002</v>
      </c>
      <c r="K758" s="429"/>
    </row>
    <row r="761" spans="1:11">
      <c r="D761" s="431" t="str">
        <f>+[2]INDICADORES!Q111</f>
        <v xml:space="preserve">Consorcio Edificaciones 2627 </v>
      </c>
      <c r="E761" s="432"/>
      <c r="F761" s="432"/>
      <c r="G761" s="432"/>
      <c r="H761" s="432"/>
      <c r="I761" s="432"/>
      <c r="J761" s="432"/>
      <c r="K761" s="433" t="s">
        <v>133</v>
      </c>
    </row>
    <row r="762" spans="1:11">
      <c r="D762" s="434" t="s">
        <v>217</v>
      </c>
      <c r="E762" s="434"/>
      <c r="F762" s="434"/>
      <c r="G762" s="434" t="s">
        <v>218</v>
      </c>
      <c r="H762" s="434"/>
      <c r="I762" s="434"/>
      <c r="J762" s="435" t="s">
        <v>132</v>
      </c>
      <c r="K762" s="433"/>
    </row>
    <row r="763" spans="1:11">
      <c r="D763" s="434"/>
      <c r="E763" s="434"/>
      <c r="F763" s="434"/>
      <c r="G763" s="434"/>
      <c r="H763" s="434"/>
      <c r="I763" s="434"/>
      <c r="J763" s="436"/>
      <c r="K763" s="433"/>
    </row>
    <row r="764" spans="1:11">
      <c r="C764" s="79" t="s">
        <v>135</v>
      </c>
      <c r="D764" s="438" t="s">
        <v>136</v>
      </c>
      <c r="E764" s="439"/>
      <c r="F764" s="440"/>
      <c r="G764" s="438" t="s">
        <v>136</v>
      </c>
      <c r="H764" s="439"/>
      <c r="I764" s="440"/>
      <c r="J764" s="436"/>
      <c r="K764" s="433"/>
    </row>
    <row r="765" spans="1:11" ht="34.5">
      <c r="D765" s="269" t="s">
        <v>137</v>
      </c>
      <c r="E765" s="80" t="s">
        <v>138</v>
      </c>
      <c r="F765" s="81" t="s">
        <v>139</v>
      </c>
      <c r="G765" s="81" t="s">
        <v>137</v>
      </c>
      <c r="H765" s="80" t="s">
        <v>138</v>
      </c>
      <c r="I765" s="81" t="s">
        <v>139</v>
      </c>
      <c r="J765" s="437"/>
      <c r="K765" s="433"/>
    </row>
    <row r="766" spans="1:11" ht="15.75" thickBot="1">
      <c r="A766" s="427" t="s">
        <v>76</v>
      </c>
      <c r="B766" s="428" t="s">
        <v>77</v>
      </c>
      <c r="C766" s="84" t="s">
        <v>78</v>
      </c>
      <c r="D766" s="85">
        <v>1238239905</v>
      </c>
      <c r="E766" s="86">
        <v>0.75</v>
      </c>
      <c r="F766" s="85">
        <f>+D766*E766</f>
        <v>928679928.75</v>
      </c>
      <c r="G766" s="85">
        <v>5309374113</v>
      </c>
      <c r="H766" s="86">
        <v>0.25</v>
      </c>
      <c r="I766" s="85">
        <f>+G766*H766</f>
        <v>1327343528.25</v>
      </c>
      <c r="J766" s="85">
        <f>+F766+I766</f>
        <v>2256023457</v>
      </c>
      <c r="K766" s="430">
        <f>+J766/J767</f>
        <v>11.572769227298581</v>
      </c>
    </row>
    <row r="767" spans="1:11" ht="15.75" thickTop="1">
      <c r="A767" s="427"/>
      <c r="B767" s="428"/>
      <c r="C767" s="76" t="s">
        <v>80</v>
      </c>
      <c r="D767" s="85">
        <v>241353378</v>
      </c>
      <c r="E767" s="86">
        <f>+E766</f>
        <v>0.75</v>
      </c>
      <c r="F767" s="85">
        <f>+D767*E767</f>
        <v>181015033.5</v>
      </c>
      <c r="G767" s="85">
        <v>55709483</v>
      </c>
      <c r="H767" s="86">
        <f>+H766</f>
        <v>0.25</v>
      </c>
      <c r="I767" s="85">
        <f>+G767*H767</f>
        <v>13927370.75</v>
      </c>
      <c r="J767" s="85">
        <f>+F767+I767</f>
        <v>194942404.25</v>
      </c>
      <c r="K767" s="430"/>
    </row>
    <row r="768" spans="1:11">
      <c r="D768" s="88"/>
      <c r="E768" s="89"/>
      <c r="F768" s="89"/>
      <c r="G768" s="89"/>
      <c r="H768" s="89"/>
      <c r="I768" s="89"/>
      <c r="J768" s="91"/>
      <c r="K768" s="92"/>
    </row>
    <row r="769" spans="1:14" ht="15.75" thickBot="1">
      <c r="A769" s="427" t="s">
        <v>81</v>
      </c>
      <c r="B769" s="428" t="s">
        <v>77</v>
      </c>
      <c r="C769" s="93" t="s">
        <v>82</v>
      </c>
      <c r="D769" s="85">
        <v>241353378</v>
      </c>
      <c r="E769" s="86">
        <f>+E767</f>
        <v>0.75</v>
      </c>
      <c r="F769" s="85">
        <f>+D769*E769</f>
        <v>181015033.5</v>
      </c>
      <c r="G769" s="85">
        <v>729414334</v>
      </c>
      <c r="H769" s="86">
        <f>+H767</f>
        <v>0.25</v>
      </c>
      <c r="I769" s="85">
        <f>+G769*H769</f>
        <v>182353583.5</v>
      </c>
      <c r="J769" s="85">
        <f>+F769+I769</f>
        <v>363368617</v>
      </c>
      <c r="K769" s="429">
        <f>+J769/J770</f>
        <v>0.13703788410244244</v>
      </c>
    </row>
    <row r="770" spans="1:14" ht="15.75" thickTop="1">
      <c r="A770" s="427"/>
      <c r="B770" s="428"/>
      <c r="C770" s="94" t="s">
        <v>83</v>
      </c>
      <c r="D770" s="85">
        <v>1765665211</v>
      </c>
      <c r="E770" s="86">
        <f>+E769</f>
        <v>0.75</v>
      </c>
      <c r="F770" s="85">
        <f>+D770*E770</f>
        <v>1324248908.25</v>
      </c>
      <c r="G770" s="85">
        <v>5309374113</v>
      </c>
      <c r="H770" s="86">
        <f>+H769</f>
        <v>0.25</v>
      </c>
      <c r="I770" s="85">
        <f>+G770*H770</f>
        <v>1327343528.25</v>
      </c>
      <c r="J770" s="85">
        <f>+F770+I770</f>
        <v>2651592436.5</v>
      </c>
      <c r="K770" s="429"/>
    </row>
    <row r="771" spans="1:14">
      <c r="D771" s="88"/>
      <c r="E771" s="86"/>
      <c r="F771" s="89"/>
      <c r="G771" s="89"/>
      <c r="H771" s="86"/>
      <c r="I771" s="89"/>
      <c r="J771" s="91"/>
      <c r="K771" s="92"/>
    </row>
    <row r="772" spans="1:14" ht="19.5">
      <c r="A772" s="76" t="s">
        <v>84</v>
      </c>
      <c r="B772" s="76" t="s">
        <v>140</v>
      </c>
      <c r="C772" s="95" t="s">
        <v>85</v>
      </c>
      <c r="D772" s="85"/>
      <c r="E772" s="85"/>
      <c r="F772" s="85">
        <f>+D766-D767</f>
        <v>996886527</v>
      </c>
      <c r="G772" s="85"/>
      <c r="H772" s="86"/>
      <c r="I772" s="85">
        <f>+G766-G767</f>
        <v>5253664630</v>
      </c>
      <c r="J772" s="85">
        <f>+F772+I772</f>
        <v>6250551157</v>
      </c>
      <c r="K772" s="97">
        <f>+F772+I772</f>
        <v>6250551157</v>
      </c>
    </row>
    <row r="773" spans="1:14">
      <c r="D773" s="88"/>
      <c r="E773" s="86"/>
      <c r="F773" s="89"/>
      <c r="G773" s="89"/>
      <c r="H773" s="86"/>
      <c r="I773" s="89"/>
      <c r="J773" s="91"/>
      <c r="K773" s="92"/>
    </row>
    <row r="774" spans="1:14" ht="15.75" thickBot="1">
      <c r="A774" s="427" t="s">
        <v>86</v>
      </c>
      <c r="B774" s="428" t="s">
        <v>77</v>
      </c>
      <c r="C774" s="84" t="s">
        <v>87</v>
      </c>
      <c r="D774" s="85">
        <v>719590291</v>
      </c>
      <c r="E774" s="86">
        <f>+E770</f>
        <v>0.75</v>
      </c>
      <c r="F774" s="85">
        <f>+D774*E774</f>
        <v>539692718.25</v>
      </c>
      <c r="G774" s="85">
        <v>125384568</v>
      </c>
      <c r="H774" s="86">
        <f>+H770</f>
        <v>0.25</v>
      </c>
      <c r="I774" s="85">
        <f>+G774*H774</f>
        <v>31346142</v>
      </c>
      <c r="J774" s="85">
        <f>+F774+I774</f>
        <v>571038860.25</v>
      </c>
      <c r="K774" s="429">
        <f>+J774/J775</f>
        <v>5.3526640427743422</v>
      </c>
    </row>
    <row r="775" spans="1:14" ht="15.75" thickTop="1">
      <c r="A775" s="427"/>
      <c r="B775" s="428"/>
      <c r="C775" s="76" t="s">
        <v>88</v>
      </c>
      <c r="D775" s="85">
        <v>142244150</v>
      </c>
      <c r="E775" s="86">
        <f>+E770</f>
        <v>0.75</v>
      </c>
      <c r="F775" s="85">
        <f>+D775*E775</f>
        <v>106683112.5</v>
      </c>
      <c r="G775" s="85">
        <v>0</v>
      </c>
      <c r="H775" s="86">
        <f>+H770</f>
        <v>0.25</v>
      </c>
      <c r="I775" s="85">
        <f>+G775*H775</f>
        <v>0</v>
      </c>
      <c r="J775" s="85">
        <f>+F775+I775</f>
        <v>106683112.5</v>
      </c>
      <c r="K775" s="429"/>
    </row>
    <row r="776" spans="1:14">
      <c r="D776" s="88"/>
      <c r="E776" s="86"/>
      <c r="F776" s="89"/>
      <c r="G776" s="89"/>
      <c r="H776" s="86"/>
      <c r="I776" s="89"/>
      <c r="J776" s="91"/>
      <c r="K776" s="92"/>
    </row>
    <row r="777" spans="1:14" ht="15.75" thickBot="1">
      <c r="A777" s="427" t="s">
        <v>89</v>
      </c>
      <c r="B777" s="428" t="s">
        <v>77</v>
      </c>
      <c r="C777" s="93" t="s">
        <v>87</v>
      </c>
      <c r="D777" s="85">
        <f>+D774</f>
        <v>719590291</v>
      </c>
      <c r="E777" s="86">
        <f>+E775</f>
        <v>0.75</v>
      </c>
      <c r="F777" s="85">
        <f>+D777*E777</f>
        <v>539692718.25</v>
      </c>
      <c r="G777" s="85">
        <f>+G774</f>
        <v>125384568</v>
      </c>
      <c r="H777" s="86">
        <f>+H775</f>
        <v>0.25</v>
      </c>
      <c r="I777" s="85">
        <f>+G777*H777</f>
        <v>31346142</v>
      </c>
      <c r="J777" s="85">
        <f>+F777+I777</f>
        <v>571038860.25</v>
      </c>
      <c r="K777" s="429">
        <f>+J777/J778</f>
        <v>0.24955550911745064</v>
      </c>
    </row>
    <row r="778" spans="1:14" ht="15.75" thickTop="1">
      <c r="A778" s="427"/>
      <c r="B778" s="428"/>
      <c r="C778" s="94" t="s">
        <v>90</v>
      </c>
      <c r="D778" s="85">
        <f>+D770-D769</f>
        <v>1524311833</v>
      </c>
      <c r="E778" s="86">
        <f>+E777</f>
        <v>0.75</v>
      </c>
      <c r="F778" s="85">
        <f>+D778*E778</f>
        <v>1143233874.75</v>
      </c>
      <c r="G778" s="85">
        <f>+G770-G769</f>
        <v>4579959779</v>
      </c>
      <c r="H778" s="86">
        <f>+H777</f>
        <v>0.25</v>
      </c>
      <c r="I778" s="85">
        <f>+G778*H778</f>
        <v>1144989944.75</v>
      </c>
      <c r="J778" s="85">
        <f>+F778+I778</f>
        <v>2288223819.5</v>
      </c>
      <c r="K778" s="429"/>
    </row>
    <row r="779" spans="1:14">
      <c r="D779" s="88"/>
      <c r="E779" s="86"/>
      <c r="F779" s="89"/>
      <c r="G779" s="89"/>
      <c r="H779" s="86"/>
      <c r="I779" s="89"/>
      <c r="J779" s="91"/>
      <c r="K779" s="92"/>
    </row>
    <row r="780" spans="1:14" ht="15.75" thickBot="1">
      <c r="A780" s="427" t="s">
        <v>91</v>
      </c>
      <c r="B780" s="428" t="s">
        <v>77</v>
      </c>
      <c r="C780" s="93" t="s">
        <v>87</v>
      </c>
      <c r="D780" s="85">
        <f>+D777</f>
        <v>719590291</v>
      </c>
      <c r="E780" s="86">
        <f>+E778</f>
        <v>0.75</v>
      </c>
      <c r="F780" s="85">
        <f>+D780*E780</f>
        <v>539692718.25</v>
      </c>
      <c r="G780" s="85">
        <f>+G777</f>
        <v>125384568</v>
      </c>
      <c r="H780" s="86">
        <f>+H778</f>
        <v>0.25</v>
      </c>
      <c r="I780" s="85">
        <f>+G780*H780</f>
        <v>31346142</v>
      </c>
      <c r="J780" s="85">
        <f>+F780+I780</f>
        <v>571038860.25</v>
      </c>
      <c r="K780" s="429">
        <f>+J780/J781</f>
        <v>0.21535695018188741</v>
      </c>
    </row>
    <row r="781" spans="1:14" ht="15.75" thickTop="1">
      <c r="A781" s="427"/>
      <c r="B781" s="428"/>
      <c r="C781" s="94" t="s">
        <v>92</v>
      </c>
      <c r="D781" s="85">
        <f>+D770</f>
        <v>1765665211</v>
      </c>
      <c r="E781" s="86">
        <f>+E780</f>
        <v>0.75</v>
      </c>
      <c r="F781" s="85">
        <f>+D781*E781</f>
        <v>1324248908.25</v>
      </c>
      <c r="G781" s="85">
        <f>+G770</f>
        <v>5309374113</v>
      </c>
      <c r="H781" s="86">
        <f>+H780</f>
        <v>0.25</v>
      </c>
      <c r="I781" s="85">
        <f>+G781*H781</f>
        <v>1327343528.25</v>
      </c>
      <c r="J781" s="85">
        <f>+F781+I781</f>
        <v>2651592436.5</v>
      </c>
      <c r="K781" s="429"/>
    </row>
    <row r="784" spans="1:14">
      <c r="D784" s="446" t="str">
        <f>+[2]INDICADORES!T111</f>
        <v>CONSORCIO INFRAESTRUCTURA BOLIVAR MGD</v>
      </c>
      <c r="E784" s="447"/>
      <c r="F784" s="447"/>
      <c r="G784" s="447"/>
      <c r="H784" s="447"/>
      <c r="I784" s="447"/>
      <c r="J784" s="447"/>
      <c r="K784" s="447"/>
      <c r="L784" s="448"/>
      <c r="M784" s="435" t="s">
        <v>132</v>
      </c>
      <c r="N784" s="433" t="s">
        <v>133</v>
      </c>
    </row>
    <row r="785" spans="1:14">
      <c r="D785" s="434" t="s">
        <v>219</v>
      </c>
      <c r="E785" s="434"/>
      <c r="F785" s="434"/>
      <c r="G785" s="434" t="s">
        <v>220</v>
      </c>
      <c r="H785" s="434"/>
      <c r="I785" s="434"/>
      <c r="J785" s="434" t="s">
        <v>221</v>
      </c>
      <c r="K785" s="434"/>
      <c r="L785" s="434"/>
      <c r="M785" s="436"/>
      <c r="N785" s="433"/>
    </row>
    <row r="786" spans="1:14">
      <c r="D786" s="434"/>
      <c r="E786" s="434"/>
      <c r="F786" s="434"/>
      <c r="G786" s="434"/>
      <c r="H786" s="434"/>
      <c r="I786" s="434"/>
      <c r="J786" s="434"/>
      <c r="K786" s="434"/>
      <c r="L786" s="434"/>
      <c r="M786" s="436"/>
      <c r="N786" s="433"/>
    </row>
    <row r="787" spans="1:14">
      <c r="C787" s="79" t="s">
        <v>135</v>
      </c>
      <c r="D787" s="438" t="s">
        <v>142</v>
      </c>
      <c r="E787" s="439"/>
      <c r="F787" s="440"/>
      <c r="G787" s="438"/>
      <c r="H787" s="439"/>
      <c r="I787" s="440"/>
      <c r="J787" s="438"/>
      <c r="K787" s="439"/>
      <c r="L787" s="440"/>
      <c r="M787" s="436"/>
      <c r="N787" s="433"/>
    </row>
    <row r="788" spans="1:14" ht="34.5">
      <c r="D788" s="269" t="s">
        <v>137</v>
      </c>
      <c r="E788" s="80" t="s">
        <v>138</v>
      </c>
      <c r="F788" s="81" t="s">
        <v>139</v>
      </c>
      <c r="G788" s="81" t="s">
        <v>137</v>
      </c>
      <c r="H788" s="80" t="s">
        <v>138</v>
      </c>
      <c r="I788" s="81" t="s">
        <v>139</v>
      </c>
      <c r="J788" s="81" t="s">
        <v>137</v>
      </c>
      <c r="K788" s="80" t="s">
        <v>138</v>
      </c>
      <c r="L788" s="81" t="s">
        <v>139</v>
      </c>
      <c r="M788" s="437"/>
      <c r="N788" s="433"/>
    </row>
    <row r="789" spans="1:14" ht="15.75" thickBot="1">
      <c r="A789" s="427" t="s">
        <v>76</v>
      </c>
      <c r="B789" s="428" t="s">
        <v>77</v>
      </c>
      <c r="C789" s="84" t="s">
        <v>78</v>
      </c>
      <c r="D789" s="85">
        <v>20406714921</v>
      </c>
      <c r="E789" s="86">
        <v>0.5</v>
      </c>
      <c r="F789" s="85">
        <f>+D789*E789</f>
        <v>10203357460.5</v>
      </c>
      <c r="G789" s="85">
        <v>42538068977</v>
      </c>
      <c r="H789" s="86">
        <v>0.4</v>
      </c>
      <c r="I789" s="85">
        <f>+G789*H789</f>
        <v>17015227590.800001</v>
      </c>
      <c r="J789" s="85">
        <v>116416135</v>
      </c>
      <c r="K789" s="86">
        <v>0.1</v>
      </c>
      <c r="L789" s="85">
        <f>+J789*K789</f>
        <v>11641613.5</v>
      </c>
      <c r="M789" s="85">
        <f>+F789+I789+L789</f>
        <v>27230226664.800003</v>
      </c>
      <c r="N789" s="430">
        <f>+M789/M790</f>
        <v>12.971952345945782</v>
      </c>
    </row>
    <row r="790" spans="1:14" ht="15.75" thickTop="1">
      <c r="A790" s="427"/>
      <c r="B790" s="428"/>
      <c r="C790" s="76" t="s">
        <v>80</v>
      </c>
      <c r="D790" s="85">
        <v>1674006264</v>
      </c>
      <c r="E790" s="86">
        <f>+E789</f>
        <v>0.5</v>
      </c>
      <c r="F790" s="85">
        <f>+D790*E790</f>
        <v>837003132</v>
      </c>
      <c r="G790" s="85">
        <v>3152300121</v>
      </c>
      <c r="H790" s="86">
        <f>+H789</f>
        <v>0.4</v>
      </c>
      <c r="I790" s="85">
        <f>+G790*H790</f>
        <v>1260920048.4000001</v>
      </c>
      <c r="J790" s="85">
        <v>12386064</v>
      </c>
      <c r="K790" s="86">
        <f>+K789</f>
        <v>0.1</v>
      </c>
      <c r="L790" s="85">
        <f>+J790*K790</f>
        <v>1238606.4000000001</v>
      </c>
      <c r="M790" s="85">
        <f>+F790+I790+L790</f>
        <v>2099161786.8000002</v>
      </c>
      <c r="N790" s="430"/>
    </row>
    <row r="791" spans="1:14">
      <c r="D791" s="88"/>
      <c r="E791" s="89"/>
      <c r="F791" s="89"/>
      <c r="G791" s="88"/>
      <c r="H791" s="89"/>
      <c r="I791" s="89"/>
      <c r="J791" s="89"/>
      <c r="K791" s="98"/>
      <c r="L791" s="89"/>
      <c r="M791" s="91"/>
      <c r="N791" s="92"/>
    </row>
    <row r="792" spans="1:14" ht="15.75" thickBot="1">
      <c r="A792" s="427" t="s">
        <v>81</v>
      </c>
      <c r="B792" s="428" t="s">
        <v>77</v>
      </c>
      <c r="C792" s="93" t="s">
        <v>82</v>
      </c>
      <c r="D792" s="85">
        <v>13643985028</v>
      </c>
      <c r="E792" s="86">
        <f>+E790</f>
        <v>0.5</v>
      </c>
      <c r="F792" s="85">
        <f>+D792*E792</f>
        <v>6821992514</v>
      </c>
      <c r="G792" s="85">
        <v>4868523871</v>
      </c>
      <c r="H792" s="86">
        <f>+H790</f>
        <v>0.4</v>
      </c>
      <c r="I792" s="85">
        <f>+G792*H792</f>
        <v>1947409548.4000001</v>
      </c>
      <c r="J792" s="85">
        <v>54391721</v>
      </c>
      <c r="K792" s="86">
        <f>+K790</f>
        <v>0.1</v>
      </c>
      <c r="L792" s="85">
        <f>+J792*K792</f>
        <v>5439172.1000000006</v>
      </c>
      <c r="M792" s="85">
        <f>+F792+I792+L792</f>
        <v>8774841234.5</v>
      </c>
      <c r="N792" s="429">
        <f>+M792/M793</f>
        <v>0.30634925757816278</v>
      </c>
    </row>
    <row r="793" spans="1:14" ht="15.75" thickTop="1">
      <c r="A793" s="427"/>
      <c r="B793" s="428"/>
      <c r="C793" s="94" t="s">
        <v>83</v>
      </c>
      <c r="D793" s="85">
        <v>20676864921</v>
      </c>
      <c r="E793" s="86">
        <f>+E792</f>
        <v>0.5</v>
      </c>
      <c r="F793" s="85">
        <f>+D793*E793</f>
        <v>10338432460.5</v>
      </c>
      <c r="G793" s="85">
        <v>45728605401</v>
      </c>
      <c r="H793" s="86">
        <f>+H792</f>
        <v>0.4</v>
      </c>
      <c r="I793" s="85">
        <f>+G793*H793</f>
        <v>18291442160.400002</v>
      </c>
      <c r="J793" s="85">
        <v>133847226</v>
      </c>
      <c r="K793" s="86">
        <f>+K792</f>
        <v>0.1</v>
      </c>
      <c r="L793" s="85">
        <f>+J793*K793</f>
        <v>13384722.600000001</v>
      </c>
      <c r="M793" s="85">
        <f>+F793+I793+L793</f>
        <v>28643259343.5</v>
      </c>
      <c r="N793" s="429"/>
    </row>
    <row r="794" spans="1:14">
      <c r="D794" s="88"/>
      <c r="E794" s="86"/>
      <c r="F794" s="89"/>
      <c r="G794" s="88"/>
      <c r="H794" s="86"/>
      <c r="I794" s="89"/>
      <c r="J794" s="89"/>
      <c r="K794" s="86"/>
      <c r="L794" s="89"/>
      <c r="M794" s="91"/>
      <c r="N794" s="92"/>
    </row>
    <row r="795" spans="1:14" ht="19.5">
      <c r="A795" s="76" t="s">
        <v>84</v>
      </c>
      <c r="B795" s="76" t="s">
        <v>140</v>
      </c>
      <c r="C795" s="95" t="s">
        <v>85</v>
      </c>
      <c r="D795" s="85"/>
      <c r="E795" s="85"/>
      <c r="F795" s="85">
        <f>+D789-D790</f>
        <v>18732708657</v>
      </c>
      <c r="G795" s="85"/>
      <c r="H795" s="86"/>
      <c r="I795" s="85">
        <f>+G789-G790</f>
        <v>39385768856</v>
      </c>
      <c r="J795" s="85"/>
      <c r="K795" s="86"/>
      <c r="L795" s="85">
        <f>+J789-J790</f>
        <v>104030071</v>
      </c>
      <c r="M795" s="85">
        <f>+F795+I795+L795</f>
        <v>58222507584</v>
      </c>
      <c r="N795" s="92">
        <f>+M795</f>
        <v>58222507584</v>
      </c>
    </row>
    <row r="796" spans="1:14">
      <c r="D796" s="88"/>
      <c r="E796" s="86"/>
      <c r="F796" s="89"/>
      <c r="G796" s="88"/>
      <c r="H796" s="86"/>
      <c r="I796" s="89"/>
      <c r="J796" s="89"/>
      <c r="K796" s="86"/>
      <c r="L796" s="89"/>
      <c r="M796" s="91"/>
      <c r="N796" s="92"/>
    </row>
    <row r="797" spans="1:14" ht="15.75" thickBot="1">
      <c r="A797" s="427" t="s">
        <v>86</v>
      </c>
      <c r="B797" s="428" t="s">
        <v>77</v>
      </c>
      <c r="C797" s="84" t="s">
        <v>87</v>
      </c>
      <c r="D797" s="85">
        <v>2688301708</v>
      </c>
      <c r="E797" s="86">
        <f>+E793</f>
        <v>0.5</v>
      </c>
      <c r="F797" s="85">
        <f>+D797*E797</f>
        <v>1344150854</v>
      </c>
      <c r="G797" s="85">
        <v>10287547891</v>
      </c>
      <c r="H797" s="86">
        <f>+H793</f>
        <v>0.4</v>
      </c>
      <c r="I797" s="85">
        <f>+G797*H797</f>
        <v>4115019156.4000001</v>
      </c>
      <c r="J797" s="85">
        <v>92232801</v>
      </c>
      <c r="K797" s="86">
        <f>+K793</f>
        <v>0.1</v>
      </c>
      <c r="L797" s="85">
        <f>+J797*K797</f>
        <v>9223280.0999999996</v>
      </c>
      <c r="M797" s="85">
        <f>+F797+I797+L797</f>
        <v>5468393290.5</v>
      </c>
      <c r="N797" s="430">
        <f>+M797/M798</f>
        <v>1412.2655578705585</v>
      </c>
    </row>
    <row r="798" spans="1:14" ht="15.75" thickTop="1">
      <c r="A798" s="427"/>
      <c r="B798" s="428"/>
      <c r="C798" s="76" t="s">
        <v>88</v>
      </c>
      <c r="D798" s="85">
        <v>229681</v>
      </c>
      <c r="E798" s="86">
        <f>+E793</f>
        <v>0.5</v>
      </c>
      <c r="F798" s="85">
        <f>+D798*E798</f>
        <v>114840.5</v>
      </c>
      <c r="G798" s="85">
        <v>9393077.6300000008</v>
      </c>
      <c r="H798" s="86">
        <f>+H793</f>
        <v>0.4</v>
      </c>
      <c r="I798" s="85">
        <f>+G798*H798</f>
        <v>3757231.0520000006</v>
      </c>
      <c r="J798" s="85">
        <v>0</v>
      </c>
      <c r="K798" s="86">
        <f>+K793</f>
        <v>0.1</v>
      </c>
      <c r="L798" s="85">
        <f>+J798*K798</f>
        <v>0</v>
      </c>
      <c r="M798" s="85">
        <f>+F798+I798+L798</f>
        <v>3872071.5520000006</v>
      </c>
      <c r="N798" s="430"/>
    </row>
    <row r="799" spans="1:14">
      <c r="D799" s="88"/>
      <c r="E799" s="86"/>
      <c r="F799" s="89"/>
      <c r="G799" s="88"/>
      <c r="H799" s="86"/>
      <c r="I799" s="89"/>
      <c r="J799" s="89"/>
      <c r="K799" s="86"/>
      <c r="L799" s="89"/>
      <c r="M799" s="91"/>
      <c r="N799" s="92"/>
    </row>
    <row r="800" spans="1:14" ht="15.75" thickBot="1">
      <c r="A800" s="427" t="s">
        <v>89</v>
      </c>
      <c r="B800" s="428" t="s">
        <v>77</v>
      </c>
      <c r="C800" s="93" t="s">
        <v>87</v>
      </c>
      <c r="D800" s="85">
        <f>+D797</f>
        <v>2688301708</v>
      </c>
      <c r="E800" s="86">
        <f>+E798</f>
        <v>0.5</v>
      </c>
      <c r="F800" s="85">
        <f>+D800*E800</f>
        <v>1344150854</v>
      </c>
      <c r="G800" s="85">
        <f>+G797</f>
        <v>10287547891</v>
      </c>
      <c r="H800" s="86">
        <f>+H798</f>
        <v>0.4</v>
      </c>
      <c r="I800" s="85">
        <f>+G800*H800</f>
        <v>4115019156.4000001</v>
      </c>
      <c r="J800" s="85">
        <f>+J797</f>
        <v>92232801</v>
      </c>
      <c r="K800" s="86">
        <f>+K798</f>
        <v>0.1</v>
      </c>
      <c r="L800" s="85">
        <f>+J800*K800</f>
        <v>9223280.0999999996</v>
      </c>
      <c r="M800" s="85">
        <f>+F800+I800+L800</f>
        <v>5468393290.5</v>
      </c>
      <c r="N800" s="429">
        <f>+M800/M801</f>
        <v>0.27523043155725246</v>
      </c>
    </row>
    <row r="801" spans="1:14" ht="15.75" thickTop="1">
      <c r="A801" s="427"/>
      <c r="B801" s="428"/>
      <c r="C801" s="94" t="s">
        <v>90</v>
      </c>
      <c r="D801" s="85">
        <f>+D793-D792</f>
        <v>7032879893</v>
      </c>
      <c r="E801" s="86">
        <f>+E800</f>
        <v>0.5</v>
      </c>
      <c r="F801" s="85">
        <f>+D801*E801</f>
        <v>3516439946.5</v>
      </c>
      <c r="G801" s="85">
        <f>+G793-G792</f>
        <v>40860081530</v>
      </c>
      <c r="H801" s="86">
        <f>+H800</f>
        <v>0.4</v>
      </c>
      <c r="I801" s="85">
        <f>+G801*H801</f>
        <v>16344032612</v>
      </c>
      <c r="J801" s="85">
        <f>+J793-J792</f>
        <v>79455505</v>
      </c>
      <c r="K801" s="86">
        <f>+K800</f>
        <v>0.1</v>
      </c>
      <c r="L801" s="85">
        <f>+J801*K801</f>
        <v>7945550.5</v>
      </c>
      <c r="M801" s="85">
        <f>+F801+I801+L801</f>
        <v>19868418109</v>
      </c>
      <c r="N801" s="429"/>
    </row>
    <row r="802" spans="1:14">
      <c r="D802" s="88"/>
      <c r="E802" s="86"/>
      <c r="F802" s="89"/>
      <c r="G802" s="88"/>
      <c r="H802" s="86"/>
      <c r="I802" s="89"/>
      <c r="J802" s="89"/>
      <c r="K802" s="86"/>
      <c r="L802" s="89"/>
      <c r="M802" s="91"/>
      <c r="N802" s="92"/>
    </row>
    <row r="803" spans="1:14" ht="15.75" thickBot="1">
      <c r="A803" s="427" t="s">
        <v>91</v>
      </c>
      <c r="B803" s="428" t="s">
        <v>77</v>
      </c>
      <c r="C803" s="93" t="s">
        <v>87</v>
      </c>
      <c r="D803" s="85">
        <f>+D800</f>
        <v>2688301708</v>
      </c>
      <c r="E803" s="86">
        <f>+E801</f>
        <v>0.5</v>
      </c>
      <c r="F803" s="85">
        <f>+D803*E803</f>
        <v>1344150854</v>
      </c>
      <c r="G803" s="85">
        <f>+G800</f>
        <v>10287547891</v>
      </c>
      <c r="H803" s="86">
        <f>+H801</f>
        <v>0.4</v>
      </c>
      <c r="I803" s="85">
        <f>+G803*H803</f>
        <v>4115019156.4000001</v>
      </c>
      <c r="J803" s="85">
        <f>+J800</f>
        <v>92232801</v>
      </c>
      <c r="K803" s="86">
        <f>+K801</f>
        <v>0.1</v>
      </c>
      <c r="L803" s="85">
        <f>+J803*K803</f>
        <v>9223280.0999999996</v>
      </c>
      <c r="M803" s="85">
        <f>+F803+I803+L803</f>
        <v>5468393290.5</v>
      </c>
      <c r="N803" s="429">
        <f>+M803/M804</f>
        <v>0.19091379318677082</v>
      </c>
    </row>
    <row r="804" spans="1:14" ht="15.75" thickTop="1">
      <c r="A804" s="427"/>
      <c r="B804" s="428"/>
      <c r="C804" s="94" t="s">
        <v>92</v>
      </c>
      <c r="D804" s="85">
        <f>+D793</f>
        <v>20676864921</v>
      </c>
      <c r="E804" s="86">
        <f>+E803</f>
        <v>0.5</v>
      </c>
      <c r="F804" s="85">
        <f>+D804*E804</f>
        <v>10338432460.5</v>
      </c>
      <c r="G804" s="85">
        <f>+G793</f>
        <v>45728605401</v>
      </c>
      <c r="H804" s="86">
        <f>+H803</f>
        <v>0.4</v>
      </c>
      <c r="I804" s="85">
        <f>+G804*H804</f>
        <v>18291442160.400002</v>
      </c>
      <c r="J804" s="85">
        <f>+J793</f>
        <v>133847226</v>
      </c>
      <c r="K804" s="86">
        <f>+K803</f>
        <v>0.1</v>
      </c>
      <c r="L804" s="85">
        <f>+J804*K804</f>
        <v>13384722.600000001</v>
      </c>
      <c r="M804" s="85">
        <f>+F804+I804+L804</f>
        <v>28643259343.5</v>
      </c>
      <c r="N804" s="429"/>
    </row>
    <row r="808" spans="1:14">
      <c r="D808" s="431" t="str">
        <f>+[2]INDICADORES!E133</f>
        <v>Consorcio Pal. JUSTICIA</v>
      </c>
      <c r="E808" s="432"/>
      <c r="F808" s="432"/>
      <c r="G808" s="432"/>
      <c r="H808" s="432"/>
      <c r="I808" s="432"/>
      <c r="J808" s="432"/>
      <c r="K808" s="433" t="s">
        <v>133</v>
      </c>
    </row>
    <row r="809" spans="1:14">
      <c r="D809" s="434" t="s">
        <v>659</v>
      </c>
      <c r="E809" s="434"/>
      <c r="F809" s="434"/>
      <c r="G809" s="434" t="s">
        <v>660</v>
      </c>
      <c r="H809" s="434"/>
      <c r="I809" s="434"/>
      <c r="J809" s="435" t="s">
        <v>132</v>
      </c>
      <c r="K809" s="433"/>
    </row>
    <row r="810" spans="1:14">
      <c r="D810" s="434"/>
      <c r="E810" s="434"/>
      <c r="F810" s="434"/>
      <c r="G810" s="434"/>
      <c r="H810" s="434"/>
      <c r="I810" s="434"/>
      <c r="J810" s="436"/>
      <c r="K810" s="433"/>
    </row>
    <row r="811" spans="1:14">
      <c r="C811" s="79" t="s">
        <v>135</v>
      </c>
      <c r="D811" s="438" t="s">
        <v>142</v>
      </c>
      <c r="E811" s="439"/>
      <c r="F811" s="440"/>
      <c r="G811" s="438" t="s">
        <v>143</v>
      </c>
      <c r="H811" s="439"/>
      <c r="I811" s="440"/>
      <c r="J811" s="436"/>
      <c r="K811" s="433"/>
    </row>
    <row r="812" spans="1:14" ht="34.5">
      <c r="D812" s="269" t="s">
        <v>137</v>
      </c>
      <c r="E812" s="80" t="s">
        <v>138</v>
      </c>
      <c r="F812" s="81" t="s">
        <v>139</v>
      </c>
      <c r="G812" s="81" t="s">
        <v>137</v>
      </c>
      <c r="H812" s="80" t="s">
        <v>138</v>
      </c>
      <c r="I812" s="81" t="s">
        <v>139</v>
      </c>
      <c r="J812" s="437"/>
      <c r="K812" s="433"/>
    </row>
    <row r="813" spans="1:14" ht="15.75" thickBot="1">
      <c r="A813" s="427" t="s">
        <v>76</v>
      </c>
      <c r="B813" s="428" t="s">
        <v>77</v>
      </c>
      <c r="C813" s="84" t="s">
        <v>78</v>
      </c>
      <c r="D813" s="85">
        <v>45777905644</v>
      </c>
      <c r="E813" s="86">
        <v>0.4</v>
      </c>
      <c r="F813" s="85">
        <f>+D813*E813</f>
        <v>18311162257.600002</v>
      </c>
      <c r="G813" s="85">
        <v>18853454645</v>
      </c>
      <c r="H813" s="86">
        <v>0.6</v>
      </c>
      <c r="I813" s="85">
        <f>+G813*H813</f>
        <v>11312072787</v>
      </c>
      <c r="J813" s="85">
        <f>+F813+I813</f>
        <v>29623235044.600002</v>
      </c>
      <c r="K813" s="430">
        <f>+J813/J814</f>
        <v>4.6755880062945776</v>
      </c>
    </row>
    <row r="814" spans="1:14" ht="15.75" thickTop="1">
      <c r="A814" s="427"/>
      <c r="B814" s="428"/>
      <c r="C814" s="76" t="s">
        <v>80</v>
      </c>
      <c r="D814" s="85">
        <v>8168924733</v>
      </c>
      <c r="E814" s="86">
        <f>+E813</f>
        <v>0.4</v>
      </c>
      <c r="F814" s="85">
        <f>+D814*E814</f>
        <v>3267569893.2000003</v>
      </c>
      <c r="G814" s="85">
        <v>5113590142</v>
      </c>
      <c r="H814" s="86">
        <f>+H813</f>
        <v>0.6</v>
      </c>
      <c r="I814" s="85">
        <f>+G814*H814</f>
        <v>3068154085.1999998</v>
      </c>
      <c r="J814" s="85">
        <f>+F814+I814</f>
        <v>6335723978.3999996</v>
      </c>
      <c r="K814" s="430"/>
    </row>
    <row r="815" spans="1:14">
      <c r="D815" s="88"/>
      <c r="E815" s="89"/>
      <c r="F815" s="89"/>
      <c r="G815" s="89"/>
      <c r="H815" s="89"/>
      <c r="I815" s="89"/>
      <c r="J815" s="91"/>
      <c r="K815" s="92"/>
    </row>
    <row r="816" spans="1:14" ht="15.75" thickBot="1">
      <c r="A816" s="427" t="s">
        <v>81</v>
      </c>
      <c r="B816" s="428" t="s">
        <v>77</v>
      </c>
      <c r="C816" s="93" t="s">
        <v>82</v>
      </c>
      <c r="D816" s="85">
        <v>9066168586</v>
      </c>
      <c r="E816" s="86">
        <f>+E814</f>
        <v>0.4</v>
      </c>
      <c r="F816" s="85">
        <f>+D816*E816</f>
        <v>3626467434.4000001</v>
      </c>
      <c r="G816" s="85">
        <v>5113590142</v>
      </c>
      <c r="H816" s="86">
        <f>+H814</f>
        <v>0.6</v>
      </c>
      <c r="I816" s="85">
        <f>+G816*H816</f>
        <v>3068154085.1999998</v>
      </c>
      <c r="J816" s="85">
        <f>+F816+I816</f>
        <v>6694621519.6000004</v>
      </c>
      <c r="K816" s="429">
        <f>+J816/J817</f>
        <v>0.22550650705166658</v>
      </c>
    </row>
    <row r="817" spans="1:11" ht="15.75" thickTop="1">
      <c r="A817" s="427"/>
      <c r="B817" s="428"/>
      <c r="C817" s="94" t="s">
        <v>83</v>
      </c>
      <c r="D817" s="85">
        <v>45889445644</v>
      </c>
      <c r="E817" s="86">
        <f>+E816</f>
        <v>0.4</v>
      </c>
      <c r="F817" s="85">
        <f>+D817*E817</f>
        <v>18355778257.600002</v>
      </c>
      <c r="G817" s="85">
        <v>18885442331</v>
      </c>
      <c r="H817" s="86">
        <f>+H816</f>
        <v>0.6</v>
      </c>
      <c r="I817" s="85">
        <f>+G817*H817</f>
        <v>11331265398.6</v>
      </c>
      <c r="J817" s="85">
        <f>+F817+I817</f>
        <v>29687043656.200005</v>
      </c>
      <c r="K817" s="429"/>
    </row>
    <row r="818" spans="1:11">
      <c r="D818" s="88"/>
      <c r="E818" s="86"/>
      <c r="F818" s="89"/>
      <c r="G818" s="89"/>
      <c r="H818" s="86"/>
      <c r="I818" s="89"/>
      <c r="J818" s="91"/>
      <c r="K818" s="92"/>
    </row>
    <row r="819" spans="1:11" ht="19.5">
      <c r="A819" s="76" t="s">
        <v>84</v>
      </c>
      <c r="B819" s="76" t="s">
        <v>140</v>
      </c>
      <c r="C819" s="95" t="s">
        <v>85</v>
      </c>
      <c r="D819" s="85"/>
      <c r="E819" s="85"/>
      <c r="F819" s="85">
        <f>+D813-D814</f>
        <v>37608980911</v>
      </c>
      <c r="G819" s="85"/>
      <c r="H819" s="86"/>
      <c r="I819" s="85">
        <f>+G813-G814</f>
        <v>13739864503</v>
      </c>
      <c r="J819" s="85">
        <f>+F819+I819</f>
        <v>51348845414</v>
      </c>
      <c r="K819" s="97">
        <f>+F819+I819</f>
        <v>51348845414</v>
      </c>
    </row>
    <row r="820" spans="1:11">
      <c r="D820" s="88"/>
      <c r="E820" s="86"/>
      <c r="F820" s="89"/>
      <c r="G820" s="89"/>
      <c r="H820" s="86"/>
      <c r="I820" s="89"/>
      <c r="J820" s="91"/>
      <c r="K820" s="92"/>
    </row>
    <row r="821" spans="1:11" ht="15.75" thickBot="1">
      <c r="A821" s="427" t="s">
        <v>86</v>
      </c>
      <c r="B821" s="428" t="s">
        <v>77</v>
      </c>
      <c r="C821" s="84" t="s">
        <v>87</v>
      </c>
      <c r="D821" s="85">
        <v>22132512541</v>
      </c>
      <c r="E821" s="86">
        <f>+E817</f>
        <v>0.4</v>
      </c>
      <c r="F821" s="85">
        <f>+D821*E821</f>
        <v>8853005016.3999996</v>
      </c>
      <c r="G821" s="85">
        <v>13051547028</v>
      </c>
      <c r="H821" s="86">
        <f>+H817</f>
        <v>0.6</v>
      </c>
      <c r="I821" s="85">
        <f>+G821*H821</f>
        <v>7830928216.7999992</v>
      </c>
      <c r="J821" s="85">
        <f>+F821+I821</f>
        <v>16683933233.199999</v>
      </c>
      <c r="K821" s="429">
        <f>+J821/J822</f>
        <v>662.69086173766527</v>
      </c>
    </row>
    <row r="822" spans="1:11" ht="15.75" thickTop="1">
      <c r="A822" s="427"/>
      <c r="B822" s="428"/>
      <c r="C822" s="76" t="s">
        <v>88</v>
      </c>
      <c r="D822" s="85">
        <v>27589630</v>
      </c>
      <c r="E822" s="86">
        <f>+E817</f>
        <v>0.4</v>
      </c>
      <c r="F822" s="85">
        <f>+D822*E822</f>
        <v>11035852</v>
      </c>
      <c r="G822" s="85">
        <v>23566984</v>
      </c>
      <c r="H822" s="86">
        <f>+H817</f>
        <v>0.6</v>
      </c>
      <c r="I822" s="85">
        <f>+G822*H822</f>
        <v>14140190.4</v>
      </c>
      <c r="J822" s="85">
        <f>+F822+I822</f>
        <v>25176042.399999999</v>
      </c>
      <c r="K822" s="429"/>
    </row>
    <row r="823" spans="1:11">
      <c r="D823" s="88"/>
      <c r="E823" s="86"/>
      <c r="F823" s="89"/>
      <c r="G823" s="89"/>
      <c r="H823" s="86"/>
      <c r="I823" s="89"/>
      <c r="J823" s="91"/>
      <c r="K823" s="92"/>
    </row>
    <row r="824" spans="1:11" ht="15.75" thickBot="1">
      <c r="A824" s="427" t="s">
        <v>89</v>
      </c>
      <c r="B824" s="428" t="s">
        <v>77</v>
      </c>
      <c r="C824" s="93" t="s">
        <v>87</v>
      </c>
      <c r="D824" s="85">
        <f>+D821</f>
        <v>22132512541</v>
      </c>
      <c r="E824" s="86">
        <f>+E822</f>
        <v>0.4</v>
      </c>
      <c r="F824" s="85">
        <f>+D824*E824</f>
        <v>8853005016.3999996</v>
      </c>
      <c r="G824" s="85">
        <f>+G821</f>
        <v>13051547028</v>
      </c>
      <c r="H824" s="86">
        <f>+H822</f>
        <v>0.6</v>
      </c>
      <c r="I824" s="85">
        <f>+G824*H824</f>
        <v>7830928216.7999992</v>
      </c>
      <c r="J824" s="85">
        <f>+F824+I824</f>
        <v>16683933233.199999</v>
      </c>
      <c r="K824" s="429">
        <f>+J824/J825</f>
        <v>0.725627475612586</v>
      </c>
    </row>
    <row r="825" spans="1:11" ht="15.75" thickTop="1">
      <c r="A825" s="427"/>
      <c r="B825" s="428"/>
      <c r="C825" s="94" t="s">
        <v>90</v>
      </c>
      <c r="D825" s="85">
        <f>+D817-D816</f>
        <v>36823277058</v>
      </c>
      <c r="E825" s="86">
        <f>+E824</f>
        <v>0.4</v>
      </c>
      <c r="F825" s="85">
        <f>+D825*E825</f>
        <v>14729310823.200001</v>
      </c>
      <c r="G825" s="85">
        <f>+G817-G816</f>
        <v>13771852189</v>
      </c>
      <c r="H825" s="86">
        <f>+H824</f>
        <v>0.6</v>
      </c>
      <c r="I825" s="85">
        <f>+G825*H825</f>
        <v>8263111313.3999996</v>
      </c>
      <c r="J825" s="85">
        <f>+F825+I825</f>
        <v>22992422136.599998</v>
      </c>
      <c r="K825" s="429"/>
    </row>
    <row r="826" spans="1:11">
      <c r="D826" s="88"/>
      <c r="E826" s="86"/>
      <c r="F826" s="89"/>
      <c r="G826" s="89"/>
      <c r="H826" s="86"/>
      <c r="I826" s="89"/>
      <c r="J826" s="91"/>
      <c r="K826" s="92"/>
    </row>
    <row r="827" spans="1:11" ht="15.75" thickBot="1">
      <c r="A827" s="427" t="s">
        <v>91</v>
      </c>
      <c r="B827" s="428" t="s">
        <v>77</v>
      </c>
      <c r="C827" s="93" t="s">
        <v>87</v>
      </c>
      <c r="D827" s="85">
        <f>+D824</f>
        <v>22132512541</v>
      </c>
      <c r="E827" s="86">
        <f>+E825</f>
        <v>0.4</v>
      </c>
      <c r="F827" s="85">
        <f>+D827*E827</f>
        <v>8853005016.3999996</v>
      </c>
      <c r="G827" s="85">
        <f>+G824</f>
        <v>13051547028</v>
      </c>
      <c r="H827" s="86">
        <f>+H825</f>
        <v>0.6</v>
      </c>
      <c r="I827" s="85">
        <f>+G827*H827</f>
        <v>7830928216.7999992</v>
      </c>
      <c r="J827" s="85">
        <f>+F827+I827</f>
        <v>16683933233.199999</v>
      </c>
      <c r="K827" s="429">
        <f>+J827/J828</f>
        <v>0.56199375816647323</v>
      </c>
    </row>
    <row r="828" spans="1:11" ht="15.75" thickTop="1">
      <c r="A828" s="427"/>
      <c r="B828" s="428"/>
      <c r="C828" s="94" t="s">
        <v>92</v>
      </c>
      <c r="D828" s="85">
        <f>+D817</f>
        <v>45889445644</v>
      </c>
      <c r="E828" s="86">
        <f>+E827</f>
        <v>0.4</v>
      </c>
      <c r="F828" s="85">
        <f>+D828*E828</f>
        <v>18355778257.600002</v>
      </c>
      <c r="G828" s="85">
        <f>+G817</f>
        <v>18885442331</v>
      </c>
      <c r="H828" s="86">
        <f>+H827</f>
        <v>0.6</v>
      </c>
      <c r="I828" s="85">
        <f>+G828*H828</f>
        <v>11331265398.6</v>
      </c>
      <c r="J828" s="85">
        <f>+F828+I828</f>
        <v>29687043656.200005</v>
      </c>
      <c r="K828" s="429"/>
    </row>
    <row r="831" spans="1:11">
      <c r="D831" s="431" t="str">
        <f>+[2]INDICADORES!H133</f>
        <v>CONSORCIO JUDICATURA MAGANGUÉ</v>
      </c>
      <c r="E831" s="432"/>
      <c r="F831" s="432"/>
      <c r="G831" s="432"/>
      <c r="H831" s="432"/>
      <c r="I831" s="432"/>
      <c r="J831" s="432"/>
      <c r="K831" s="433" t="s">
        <v>133</v>
      </c>
    </row>
    <row r="832" spans="1:11">
      <c r="D832" s="434" t="s">
        <v>222</v>
      </c>
      <c r="E832" s="434"/>
      <c r="F832" s="434"/>
      <c r="G832" s="434" t="s">
        <v>223</v>
      </c>
      <c r="H832" s="434"/>
      <c r="I832" s="434"/>
      <c r="J832" s="435" t="s">
        <v>132</v>
      </c>
      <c r="K832" s="433"/>
    </row>
    <row r="833" spans="1:11">
      <c r="D833" s="434"/>
      <c r="E833" s="434"/>
      <c r="F833" s="434"/>
      <c r="G833" s="434"/>
      <c r="H833" s="434"/>
      <c r="I833" s="434"/>
      <c r="J833" s="436"/>
      <c r="K833" s="433"/>
    </row>
    <row r="834" spans="1:11">
      <c r="C834" s="79" t="s">
        <v>135</v>
      </c>
      <c r="D834" s="438" t="s">
        <v>142</v>
      </c>
      <c r="E834" s="439"/>
      <c r="F834" s="440"/>
      <c r="G834" s="438" t="s">
        <v>143</v>
      </c>
      <c r="H834" s="439"/>
      <c r="I834" s="440"/>
      <c r="J834" s="436"/>
      <c r="K834" s="433"/>
    </row>
    <row r="835" spans="1:11" ht="34.5">
      <c r="D835" s="269" t="s">
        <v>137</v>
      </c>
      <c r="E835" s="80" t="s">
        <v>138</v>
      </c>
      <c r="F835" s="81" t="s">
        <v>139</v>
      </c>
      <c r="G835" s="81" t="s">
        <v>137</v>
      </c>
      <c r="H835" s="80" t="s">
        <v>138</v>
      </c>
      <c r="I835" s="81" t="s">
        <v>139</v>
      </c>
      <c r="J835" s="437"/>
      <c r="K835" s="433"/>
    </row>
    <row r="836" spans="1:11" ht="15.75" thickBot="1">
      <c r="A836" s="427" t="s">
        <v>76</v>
      </c>
      <c r="B836" s="428" t="s">
        <v>77</v>
      </c>
      <c r="C836" s="84" t="s">
        <v>78</v>
      </c>
      <c r="D836" s="85">
        <v>7741021088</v>
      </c>
      <c r="E836" s="86">
        <v>0.1</v>
      </c>
      <c r="F836" s="85">
        <f>+D836*E836</f>
        <v>774102108.80000007</v>
      </c>
      <c r="G836" s="85">
        <v>2678102669</v>
      </c>
      <c r="H836" s="86">
        <v>0.9</v>
      </c>
      <c r="I836" s="85">
        <f>+G836*H836</f>
        <v>2410292402.0999999</v>
      </c>
      <c r="J836" s="85">
        <f>+F836+I836</f>
        <v>3184394510.9000001</v>
      </c>
      <c r="K836" s="430">
        <f>+J836/J837</f>
        <v>75.381124890291915</v>
      </c>
    </row>
    <row r="837" spans="1:11" ht="15.75" thickTop="1">
      <c r="A837" s="427"/>
      <c r="B837" s="428"/>
      <c r="C837" s="76" t="s">
        <v>80</v>
      </c>
      <c r="D837" s="85">
        <v>182766000</v>
      </c>
      <c r="E837" s="86">
        <f>+E836</f>
        <v>0.1</v>
      </c>
      <c r="F837" s="85">
        <f>+D837*E837</f>
        <v>18276600</v>
      </c>
      <c r="G837" s="85">
        <v>26630360</v>
      </c>
      <c r="H837" s="86">
        <f>+H836</f>
        <v>0.9</v>
      </c>
      <c r="I837" s="85">
        <f>+G837*H837</f>
        <v>23967324</v>
      </c>
      <c r="J837" s="85">
        <f>+F837+I837</f>
        <v>42243924</v>
      </c>
      <c r="K837" s="430"/>
    </row>
    <row r="838" spans="1:11">
      <c r="D838" s="88"/>
      <c r="E838" s="89"/>
      <c r="F838" s="89"/>
      <c r="G838" s="89"/>
      <c r="H838" s="89"/>
      <c r="I838" s="89"/>
      <c r="J838" s="91"/>
      <c r="K838" s="92"/>
    </row>
    <row r="839" spans="1:11" ht="15.75" thickBot="1">
      <c r="A839" s="427" t="s">
        <v>81</v>
      </c>
      <c r="B839" s="428" t="s">
        <v>77</v>
      </c>
      <c r="C839" s="93" t="s">
        <v>82</v>
      </c>
      <c r="D839" s="85">
        <v>317616000</v>
      </c>
      <c r="E839" s="86">
        <f>+E837</f>
        <v>0.1</v>
      </c>
      <c r="F839" s="85">
        <f>+D839*E839</f>
        <v>31761600</v>
      </c>
      <c r="G839" s="85">
        <v>26630360</v>
      </c>
      <c r="H839" s="86">
        <f>+H837</f>
        <v>0.9</v>
      </c>
      <c r="I839" s="85">
        <f>+G839*H839</f>
        <v>23967324</v>
      </c>
      <c r="J839" s="85">
        <f>+F839+I839</f>
        <v>55728924</v>
      </c>
      <c r="K839" s="429">
        <f>+J839/J840</f>
        <v>1.7387450133387466E-2</v>
      </c>
    </row>
    <row r="840" spans="1:11" ht="15.75" thickTop="1">
      <c r="A840" s="427"/>
      <c r="B840" s="428"/>
      <c r="C840" s="94" t="s">
        <v>83</v>
      </c>
      <c r="D840" s="85">
        <v>7948310388</v>
      </c>
      <c r="E840" s="86">
        <f>+E839</f>
        <v>0.1</v>
      </c>
      <c r="F840" s="85">
        <f>+D840*E840</f>
        <v>794831038.80000007</v>
      </c>
      <c r="G840" s="85">
        <v>2678102669</v>
      </c>
      <c r="H840" s="86">
        <f>+H839</f>
        <v>0.9</v>
      </c>
      <c r="I840" s="85">
        <f>+G840*H840</f>
        <v>2410292402.0999999</v>
      </c>
      <c r="J840" s="85">
        <f>+F840+I840</f>
        <v>3205123440.9000001</v>
      </c>
      <c r="K840" s="429"/>
    </row>
    <row r="841" spans="1:11">
      <c r="D841" s="88"/>
      <c r="E841" s="86"/>
      <c r="F841" s="89"/>
      <c r="G841" s="89"/>
      <c r="H841" s="86"/>
      <c r="I841" s="89"/>
      <c r="J841" s="91"/>
      <c r="K841" s="92"/>
    </row>
    <row r="842" spans="1:11" ht="19.5">
      <c r="A842" s="76" t="s">
        <v>84</v>
      </c>
      <c r="B842" s="76" t="s">
        <v>140</v>
      </c>
      <c r="C842" s="95" t="s">
        <v>85</v>
      </c>
      <c r="D842" s="85"/>
      <c r="E842" s="85"/>
      <c r="F842" s="85">
        <f>+D836-D837</f>
        <v>7558255088</v>
      </c>
      <c r="G842" s="85"/>
      <c r="H842" s="86"/>
      <c r="I842" s="85">
        <f>+G836-G837</f>
        <v>2651472309</v>
      </c>
      <c r="J842" s="85">
        <f>+F842+I842</f>
        <v>10209727397</v>
      </c>
      <c r="K842" s="97">
        <f>+F842+I842</f>
        <v>10209727397</v>
      </c>
    </row>
    <row r="843" spans="1:11">
      <c r="D843" s="88"/>
      <c r="E843" s="86"/>
      <c r="F843" s="89"/>
      <c r="G843" s="89"/>
      <c r="H843" s="86"/>
      <c r="I843" s="89"/>
      <c r="J843" s="91"/>
      <c r="K843" s="92"/>
    </row>
    <row r="844" spans="1:11" ht="15.75" thickBot="1">
      <c r="A844" s="427" t="s">
        <v>86</v>
      </c>
      <c r="B844" s="428" t="s">
        <v>77</v>
      </c>
      <c r="C844" s="84" t="s">
        <v>87</v>
      </c>
      <c r="D844" s="85">
        <v>2258835289</v>
      </c>
      <c r="E844" s="86">
        <f>+E840</f>
        <v>0.1</v>
      </c>
      <c r="F844" s="85">
        <f>+D844*E844</f>
        <v>225883528.90000001</v>
      </c>
      <c r="G844" s="85">
        <v>728649985</v>
      </c>
      <c r="H844" s="86">
        <f>+H840</f>
        <v>0.9</v>
      </c>
      <c r="I844" s="85">
        <f>+G844*H844</f>
        <v>655784986.5</v>
      </c>
      <c r="J844" s="85">
        <f>+F844+I844</f>
        <v>881668515.39999998</v>
      </c>
      <c r="K844" s="429">
        <f>+J844/J845</f>
        <v>413.82499679540535</v>
      </c>
    </row>
    <row r="845" spans="1:11" ht="15.75" thickTop="1">
      <c r="A845" s="427"/>
      <c r="B845" s="428"/>
      <c r="C845" s="76" t="s">
        <v>88</v>
      </c>
      <c r="D845" s="85">
        <v>21305347</v>
      </c>
      <c r="E845" s="86">
        <f>+E840</f>
        <v>0.1</v>
      </c>
      <c r="F845" s="85">
        <f>+D845*E845</f>
        <v>2130534.7000000002</v>
      </c>
      <c r="G845" s="85"/>
      <c r="H845" s="86">
        <f>+H840</f>
        <v>0.9</v>
      </c>
      <c r="I845" s="85">
        <f>+G845*H845</f>
        <v>0</v>
      </c>
      <c r="J845" s="85">
        <f>+F845+I845</f>
        <v>2130534.7000000002</v>
      </c>
      <c r="K845" s="429"/>
    </row>
    <row r="846" spans="1:11">
      <c r="D846" s="88"/>
      <c r="E846" s="86"/>
      <c r="F846" s="89"/>
      <c r="G846" s="89"/>
      <c r="H846" s="86"/>
      <c r="I846" s="89"/>
      <c r="J846" s="91"/>
      <c r="K846" s="92"/>
    </row>
    <row r="847" spans="1:11" ht="15.75" thickBot="1">
      <c r="A847" s="427" t="s">
        <v>89</v>
      </c>
      <c r="B847" s="428" t="s">
        <v>77</v>
      </c>
      <c r="C847" s="93" t="s">
        <v>87</v>
      </c>
      <c r="D847" s="85">
        <f>+D844</f>
        <v>2258835289</v>
      </c>
      <c r="E847" s="86">
        <f>+E845</f>
        <v>0.1</v>
      </c>
      <c r="F847" s="85">
        <f>+D847*E847</f>
        <v>225883528.90000001</v>
      </c>
      <c r="G847" s="85">
        <f>+G844</f>
        <v>728649985</v>
      </c>
      <c r="H847" s="86">
        <f>+H845</f>
        <v>0.9</v>
      </c>
      <c r="I847" s="85">
        <f>+G847*H847</f>
        <v>655784986.5</v>
      </c>
      <c r="J847" s="85">
        <f>+F847+I847</f>
        <v>881668515.39999998</v>
      </c>
      <c r="K847" s="429">
        <f>+J847/J848</f>
        <v>0.27994857762940434</v>
      </c>
    </row>
    <row r="848" spans="1:11" ht="15.75" thickTop="1">
      <c r="A848" s="427"/>
      <c r="B848" s="428"/>
      <c r="C848" s="94" t="s">
        <v>90</v>
      </c>
      <c r="D848" s="85">
        <f>+D840-D839</f>
        <v>7630694388</v>
      </c>
      <c r="E848" s="86">
        <f>+E847</f>
        <v>0.1</v>
      </c>
      <c r="F848" s="85">
        <f>+D848*E848</f>
        <v>763069438.80000007</v>
      </c>
      <c r="G848" s="85">
        <f>+G840-G839</f>
        <v>2651472309</v>
      </c>
      <c r="H848" s="86">
        <f>+H847</f>
        <v>0.9</v>
      </c>
      <c r="I848" s="85">
        <f>+G848*H848</f>
        <v>2386325078.0999999</v>
      </c>
      <c r="J848" s="85">
        <f>+F848+I848</f>
        <v>3149394516.9000001</v>
      </c>
      <c r="K848" s="429"/>
    </row>
    <row r="849" spans="1:14">
      <c r="D849" s="88"/>
      <c r="E849" s="86"/>
      <c r="F849" s="89"/>
      <c r="G849" s="89"/>
      <c r="H849" s="86"/>
      <c r="I849" s="89"/>
      <c r="J849" s="91"/>
      <c r="K849" s="92"/>
    </row>
    <row r="850" spans="1:14" ht="15.75" thickBot="1">
      <c r="A850" s="427" t="s">
        <v>91</v>
      </c>
      <c r="B850" s="428" t="s">
        <v>77</v>
      </c>
      <c r="C850" s="93" t="s">
        <v>87</v>
      </c>
      <c r="D850" s="85">
        <f>+D847</f>
        <v>2258835289</v>
      </c>
      <c r="E850" s="86">
        <f>+E848</f>
        <v>0.1</v>
      </c>
      <c r="F850" s="85">
        <f>+D850*E850</f>
        <v>225883528.90000001</v>
      </c>
      <c r="G850" s="85">
        <f>+G847</f>
        <v>728649985</v>
      </c>
      <c r="H850" s="86">
        <f>+H848</f>
        <v>0.9</v>
      </c>
      <c r="I850" s="85">
        <f>+G850*H850</f>
        <v>655784986.5</v>
      </c>
      <c r="J850" s="85">
        <f>+F850+I850</f>
        <v>881668515.39999998</v>
      </c>
      <c r="K850" s="429">
        <f>+J850/J851</f>
        <v>0.27508098569596029</v>
      </c>
    </row>
    <row r="851" spans="1:14" ht="15.75" thickTop="1">
      <c r="A851" s="427"/>
      <c r="B851" s="428"/>
      <c r="C851" s="94" t="s">
        <v>92</v>
      </c>
      <c r="D851" s="85">
        <f>+D840</f>
        <v>7948310388</v>
      </c>
      <c r="E851" s="86">
        <f>+E850</f>
        <v>0.1</v>
      </c>
      <c r="F851" s="85">
        <f>+D851*E851</f>
        <v>794831038.80000007</v>
      </c>
      <c r="G851" s="85">
        <f>+G840</f>
        <v>2678102669</v>
      </c>
      <c r="H851" s="86">
        <f>+H850</f>
        <v>0.9</v>
      </c>
      <c r="I851" s="85">
        <f>+G851*H851</f>
        <v>2410292402.0999999</v>
      </c>
      <c r="J851" s="85">
        <f>+F851+I851</f>
        <v>3205123440.9000001</v>
      </c>
      <c r="K851" s="429"/>
    </row>
    <row r="854" spans="1:14">
      <c r="D854" s="443" t="str">
        <f>+[2]INDICADORES!K133</f>
        <v>UNION TEMPORAL DE LOS RIOS</v>
      </c>
      <c r="E854" s="444"/>
      <c r="F854" s="444"/>
      <c r="G854" s="444"/>
      <c r="H854" s="444"/>
      <c r="I854" s="444"/>
      <c r="J854" s="444"/>
      <c r="K854" s="444"/>
      <c r="L854" s="445"/>
      <c r="M854" s="435" t="s">
        <v>132</v>
      </c>
      <c r="N854" s="433" t="s">
        <v>133</v>
      </c>
    </row>
    <row r="855" spans="1:14">
      <c r="D855" s="434" t="s">
        <v>224</v>
      </c>
      <c r="E855" s="434"/>
      <c r="F855" s="434"/>
      <c r="G855" s="434" t="s">
        <v>225</v>
      </c>
      <c r="H855" s="434"/>
      <c r="I855" s="434"/>
      <c r="J855" s="434" t="s">
        <v>661</v>
      </c>
      <c r="K855" s="434"/>
      <c r="L855" s="434"/>
      <c r="M855" s="436"/>
      <c r="N855" s="433"/>
    </row>
    <row r="856" spans="1:14">
      <c r="D856" s="434"/>
      <c r="E856" s="434"/>
      <c r="F856" s="434"/>
      <c r="G856" s="434"/>
      <c r="H856" s="434"/>
      <c r="I856" s="434"/>
      <c r="J856" s="434"/>
      <c r="K856" s="434"/>
      <c r="L856" s="434"/>
      <c r="M856" s="436"/>
      <c r="N856" s="433"/>
    </row>
    <row r="857" spans="1:14">
      <c r="C857" s="79" t="s">
        <v>135</v>
      </c>
      <c r="D857" s="438" t="s">
        <v>136</v>
      </c>
      <c r="E857" s="439"/>
      <c r="F857" s="440"/>
      <c r="G857" s="438"/>
      <c r="H857" s="439"/>
      <c r="I857" s="440"/>
      <c r="J857" s="438" t="s">
        <v>143</v>
      </c>
      <c r="K857" s="439"/>
      <c r="L857" s="440"/>
      <c r="M857" s="436"/>
      <c r="N857" s="433"/>
    </row>
    <row r="858" spans="1:14" ht="34.5">
      <c r="D858" s="269" t="s">
        <v>137</v>
      </c>
      <c r="E858" s="80" t="s">
        <v>138</v>
      </c>
      <c r="F858" s="81" t="s">
        <v>139</v>
      </c>
      <c r="G858" s="81" t="s">
        <v>137</v>
      </c>
      <c r="H858" s="80" t="s">
        <v>138</v>
      </c>
      <c r="I858" s="81" t="s">
        <v>139</v>
      </c>
      <c r="J858" s="81" t="s">
        <v>137</v>
      </c>
      <c r="K858" s="80" t="s">
        <v>138</v>
      </c>
      <c r="L858" s="81" t="s">
        <v>139</v>
      </c>
      <c r="M858" s="437"/>
      <c r="N858" s="433"/>
    </row>
    <row r="859" spans="1:14" ht="15.75" thickBot="1">
      <c r="A859" s="427" t="s">
        <v>76</v>
      </c>
      <c r="B859" s="428" t="s">
        <v>77</v>
      </c>
      <c r="C859" s="84" t="s">
        <v>78</v>
      </c>
      <c r="D859" s="85">
        <v>5444239705</v>
      </c>
      <c r="E859" s="86">
        <v>0.33</v>
      </c>
      <c r="F859" s="85">
        <f>+D859*E859</f>
        <v>1796599102.6500001</v>
      </c>
      <c r="G859" s="85">
        <v>2019843191</v>
      </c>
      <c r="H859" s="86">
        <v>0.33</v>
      </c>
      <c r="I859" s="85">
        <f>+G859*H859</f>
        <v>666548253.03000009</v>
      </c>
      <c r="J859" s="85">
        <v>8992883650</v>
      </c>
      <c r="K859" s="86">
        <v>0.34</v>
      </c>
      <c r="L859" s="85">
        <f>+J859*K859</f>
        <v>3057580441</v>
      </c>
      <c r="M859" s="85">
        <f>+F859+I859+L859</f>
        <v>5520727796.6800003</v>
      </c>
      <c r="N859" s="430">
        <f>+M859/M860</f>
        <v>3.9051304966822724</v>
      </c>
    </row>
    <row r="860" spans="1:14" ht="15.75" thickTop="1">
      <c r="A860" s="427"/>
      <c r="B860" s="428"/>
      <c r="C860" s="76" t="s">
        <v>80</v>
      </c>
      <c r="D860" s="85">
        <v>2303174566</v>
      </c>
      <c r="E860" s="86">
        <f>+E859</f>
        <v>0.33</v>
      </c>
      <c r="F860" s="85">
        <f>+D860*E860</f>
        <v>760047606.78000009</v>
      </c>
      <c r="G860" s="85">
        <v>171045245</v>
      </c>
      <c r="H860" s="86">
        <f>+H859</f>
        <v>0.33</v>
      </c>
      <c r="I860" s="85">
        <f>+G860*H860</f>
        <v>56444930.850000001</v>
      </c>
      <c r="J860" s="85">
        <v>1756526288</v>
      </c>
      <c r="K860" s="86">
        <f>+K859</f>
        <v>0.34</v>
      </c>
      <c r="L860" s="85">
        <f>+J860*K860</f>
        <v>597218937.92000008</v>
      </c>
      <c r="M860" s="85">
        <f>+F860+I860+L860</f>
        <v>1413711475.5500002</v>
      </c>
      <c r="N860" s="430"/>
    </row>
    <row r="861" spans="1:14">
      <c r="D861" s="88"/>
      <c r="E861" s="89"/>
      <c r="F861" s="89"/>
      <c r="G861" s="88"/>
      <c r="H861" s="89"/>
      <c r="I861" s="89"/>
      <c r="J861" s="89"/>
      <c r="K861" s="98"/>
      <c r="L861" s="89"/>
      <c r="M861" s="91"/>
      <c r="N861" s="92"/>
    </row>
    <row r="862" spans="1:14" ht="15.75" thickBot="1">
      <c r="A862" s="427" t="s">
        <v>81</v>
      </c>
      <c r="B862" s="428" t="s">
        <v>77</v>
      </c>
      <c r="C862" s="93" t="s">
        <v>82</v>
      </c>
      <c r="D862" s="85">
        <v>3061702969</v>
      </c>
      <c r="E862" s="86">
        <f>+E860</f>
        <v>0.33</v>
      </c>
      <c r="F862" s="85">
        <f>+D862*E862</f>
        <v>1010361979.7700001</v>
      </c>
      <c r="G862" s="85">
        <v>171045245</v>
      </c>
      <c r="H862" s="86">
        <f>+H860</f>
        <v>0.33</v>
      </c>
      <c r="I862" s="85">
        <f>+G862*H862</f>
        <v>56444930.850000001</v>
      </c>
      <c r="J862" s="85">
        <v>5264338617</v>
      </c>
      <c r="K862" s="86">
        <f>+K860</f>
        <v>0.34</v>
      </c>
      <c r="L862" s="85">
        <f>+J862*K862</f>
        <v>1789875129.7800002</v>
      </c>
      <c r="M862" s="85">
        <f>+F862+I862+L862</f>
        <v>2856682040.4000006</v>
      </c>
      <c r="N862" s="429">
        <f>+M862/M863</f>
        <v>0.4811140762199505</v>
      </c>
    </row>
    <row r="863" spans="1:14" ht="15.75" thickTop="1">
      <c r="A863" s="427"/>
      <c r="B863" s="428"/>
      <c r="C863" s="94" t="s">
        <v>83</v>
      </c>
      <c r="D863" s="85">
        <v>5528083290</v>
      </c>
      <c r="E863" s="86">
        <f>+E862</f>
        <v>0.33</v>
      </c>
      <c r="F863" s="85">
        <f>+D863*E863</f>
        <v>1824267485.7</v>
      </c>
      <c r="G863" s="85">
        <v>2799330573</v>
      </c>
      <c r="H863" s="86">
        <f>+H862</f>
        <v>0.33</v>
      </c>
      <c r="I863" s="85">
        <f>+G863*H863</f>
        <v>923779089.09000003</v>
      </c>
      <c r="J863" s="85">
        <v>9381156258</v>
      </c>
      <c r="K863" s="86">
        <f>+K862</f>
        <v>0.34</v>
      </c>
      <c r="L863" s="85">
        <f>+J863*K863</f>
        <v>3189593127.7200003</v>
      </c>
      <c r="M863" s="85">
        <f>+F863+I863+L863</f>
        <v>5937639702.5100002</v>
      </c>
      <c r="N863" s="429"/>
    </row>
    <row r="864" spans="1:14">
      <c r="D864" s="88"/>
      <c r="E864" s="86"/>
      <c r="F864" s="89"/>
      <c r="G864" s="88"/>
      <c r="H864" s="86"/>
      <c r="I864" s="89"/>
      <c r="J864" s="89"/>
      <c r="K864" s="86"/>
      <c r="L864" s="89"/>
      <c r="M864" s="91"/>
      <c r="N864" s="92"/>
    </row>
    <row r="865" spans="1:14" ht="19.5">
      <c r="A865" s="76" t="s">
        <v>84</v>
      </c>
      <c r="B865" s="76" t="s">
        <v>140</v>
      </c>
      <c r="C865" s="95" t="s">
        <v>85</v>
      </c>
      <c r="D865" s="85"/>
      <c r="E865" s="85"/>
      <c r="F865" s="85">
        <f>+D859-D860</f>
        <v>3141065139</v>
      </c>
      <c r="G865" s="85"/>
      <c r="H865" s="86"/>
      <c r="I865" s="85">
        <f>+G859-G860</f>
        <v>1848797946</v>
      </c>
      <c r="J865" s="85"/>
      <c r="K865" s="86"/>
      <c r="L865" s="85">
        <f>+J859-J860</f>
        <v>7236357362</v>
      </c>
      <c r="M865" s="85">
        <f>+F865+I865+L865</f>
        <v>12226220447</v>
      </c>
      <c r="N865" s="92">
        <f>+M865</f>
        <v>12226220447</v>
      </c>
    </row>
    <row r="866" spans="1:14">
      <c r="D866" s="88"/>
      <c r="E866" s="86"/>
      <c r="F866" s="89"/>
      <c r="G866" s="88"/>
      <c r="H866" s="86"/>
      <c r="I866" s="89"/>
      <c r="J866" s="89"/>
      <c r="K866" s="86"/>
      <c r="L866" s="89"/>
      <c r="M866" s="91"/>
      <c r="N866" s="92"/>
    </row>
    <row r="867" spans="1:14" ht="15.75" thickBot="1">
      <c r="A867" s="427" t="s">
        <v>86</v>
      </c>
      <c r="B867" s="428" t="s">
        <v>77</v>
      </c>
      <c r="C867" s="84" t="s">
        <v>87</v>
      </c>
      <c r="D867" s="85">
        <v>585606613</v>
      </c>
      <c r="E867" s="86">
        <f>+E863</f>
        <v>0.33</v>
      </c>
      <c r="F867" s="85">
        <f>+D867*E867</f>
        <v>193250182.29000002</v>
      </c>
      <c r="G867" s="85">
        <v>316725283</v>
      </c>
      <c r="H867" s="86">
        <f>+H863</f>
        <v>0.33</v>
      </c>
      <c r="I867" s="85">
        <f>+G867*H867</f>
        <v>104519343.39</v>
      </c>
      <c r="J867" s="85">
        <v>2287854067</v>
      </c>
      <c r="K867" s="86">
        <f>+K863</f>
        <v>0.34</v>
      </c>
      <c r="L867" s="85">
        <f>+J867*K867</f>
        <v>777870382.78000009</v>
      </c>
      <c r="M867" s="85">
        <f>+F867+I867+L867</f>
        <v>1075639908.46</v>
      </c>
      <c r="N867" s="430">
        <f>+M867/M868</f>
        <v>36.360097906755129</v>
      </c>
    </row>
    <row r="868" spans="1:14" ht="15.75" thickTop="1">
      <c r="A868" s="427"/>
      <c r="B868" s="428"/>
      <c r="C868" s="76" t="s">
        <v>88</v>
      </c>
      <c r="D868" s="85">
        <v>60030743</v>
      </c>
      <c r="E868" s="86">
        <f>+E863</f>
        <v>0.33</v>
      </c>
      <c r="F868" s="85">
        <f>+D868*E868</f>
        <v>19810145.190000001</v>
      </c>
      <c r="G868" s="85">
        <v>20100310</v>
      </c>
      <c r="H868" s="86">
        <f>+H863</f>
        <v>0.33</v>
      </c>
      <c r="I868" s="85">
        <f>+G868*H868</f>
        <v>6633102.3000000007</v>
      </c>
      <c r="J868" s="85">
        <v>9234496</v>
      </c>
      <c r="K868" s="86">
        <f>+K863</f>
        <v>0.34</v>
      </c>
      <c r="L868" s="85">
        <f>+J868*K868</f>
        <v>3139728.64</v>
      </c>
      <c r="M868" s="85">
        <f>+F868+I868+L868</f>
        <v>29582976.130000003</v>
      </c>
      <c r="N868" s="430"/>
    </row>
    <row r="869" spans="1:14">
      <c r="D869" s="88"/>
      <c r="E869" s="86"/>
      <c r="F869" s="89"/>
      <c r="G869" s="88"/>
      <c r="H869" s="86"/>
      <c r="I869" s="89"/>
      <c r="J869" s="89"/>
      <c r="K869" s="86"/>
      <c r="L869" s="89"/>
      <c r="M869" s="91"/>
      <c r="N869" s="92"/>
    </row>
    <row r="870" spans="1:14" ht="15.75" thickBot="1">
      <c r="A870" s="427" t="s">
        <v>89</v>
      </c>
      <c r="B870" s="428" t="s">
        <v>77</v>
      </c>
      <c r="C870" s="93" t="s">
        <v>87</v>
      </c>
      <c r="D870" s="85">
        <f>+D867</f>
        <v>585606613</v>
      </c>
      <c r="E870" s="86">
        <f>+E868</f>
        <v>0.33</v>
      </c>
      <c r="F870" s="85">
        <f>+D870*E870</f>
        <v>193250182.29000002</v>
      </c>
      <c r="G870" s="85">
        <f>+G867</f>
        <v>316725283</v>
      </c>
      <c r="H870" s="86">
        <f>+H868</f>
        <v>0.33</v>
      </c>
      <c r="I870" s="85">
        <f>+G870*H870</f>
        <v>104519343.39</v>
      </c>
      <c r="J870" s="85">
        <f>+J867</f>
        <v>2287854067</v>
      </c>
      <c r="K870" s="86">
        <f>+K868</f>
        <v>0.34</v>
      </c>
      <c r="L870" s="85">
        <f>+J870*K870</f>
        <v>777870382.78000009</v>
      </c>
      <c r="M870" s="85">
        <f>+F870+I870+L870</f>
        <v>1075639908.46</v>
      </c>
      <c r="N870" s="429">
        <f>+M870/M871</f>
        <v>0.34912518327932679</v>
      </c>
    </row>
    <row r="871" spans="1:14" ht="15.75" thickTop="1">
      <c r="A871" s="427"/>
      <c r="B871" s="428"/>
      <c r="C871" s="94" t="s">
        <v>90</v>
      </c>
      <c r="D871" s="85">
        <f>+D863-D862</f>
        <v>2466380321</v>
      </c>
      <c r="E871" s="86">
        <f>+E870</f>
        <v>0.33</v>
      </c>
      <c r="F871" s="85">
        <f>+D871*E871</f>
        <v>813905505.93000007</v>
      </c>
      <c r="G871" s="85">
        <f>+G863-G862</f>
        <v>2628285328</v>
      </c>
      <c r="H871" s="86">
        <f>+H870</f>
        <v>0.33</v>
      </c>
      <c r="I871" s="85">
        <f>+G871*H871</f>
        <v>867334158.24000001</v>
      </c>
      <c r="J871" s="85">
        <f>+J863-J862</f>
        <v>4116817641</v>
      </c>
      <c r="K871" s="86">
        <f>+K870</f>
        <v>0.34</v>
      </c>
      <c r="L871" s="85">
        <f>+J871*K871</f>
        <v>1399717997.9400001</v>
      </c>
      <c r="M871" s="85">
        <f>+F871+I871+L871</f>
        <v>3080957662.1100001</v>
      </c>
      <c r="N871" s="429"/>
    </row>
    <row r="872" spans="1:14">
      <c r="D872" s="88"/>
      <c r="E872" s="86"/>
      <c r="F872" s="89"/>
      <c r="G872" s="88"/>
      <c r="H872" s="86"/>
      <c r="I872" s="89"/>
      <c r="J872" s="89"/>
      <c r="K872" s="86"/>
      <c r="L872" s="89"/>
      <c r="M872" s="91"/>
      <c r="N872" s="92"/>
    </row>
    <row r="873" spans="1:14" ht="15.75" thickBot="1">
      <c r="A873" s="427" t="s">
        <v>91</v>
      </c>
      <c r="B873" s="428" t="s">
        <v>77</v>
      </c>
      <c r="C873" s="93" t="s">
        <v>87</v>
      </c>
      <c r="D873" s="85">
        <f>+D870</f>
        <v>585606613</v>
      </c>
      <c r="E873" s="86">
        <f>+E871</f>
        <v>0.33</v>
      </c>
      <c r="F873" s="85">
        <f>+D873*E873</f>
        <v>193250182.29000002</v>
      </c>
      <c r="G873" s="85">
        <f>+G870</f>
        <v>316725283</v>
      </c>
      <c r="H873" s="86">
        <f>+H871</f>
        <v>0.33</v>
      </c>
      <c r="I873" s="85">
        <f>+G873*H873</f>
        <v>104519343.39</v>
      </c>
      <c r="J873" s="85">
        <f>+J870</f>
        <v>2287854067</v>
      </c>
      <c r="K873" s="86">
        <f>+K871</f>
        <v>0.34</v>
      </c>
      <c r="L873" s="85">
        <f>+J873*K873</f>
        <v>777870382.78000009</v>
      </c>
      <c r="M873" s="85">
        <f>+F873+I873+L873</f>
        <v>1075639908.46</v>
      </c>
      <c r="N873" s="429">
        <f>+M873/M874</f>
        <v>0.18115614324077262</v>
      </c>
    </row>
    <row r="874" spans="1:14" ht="15.75" thickTop="1">
      <c r="A874" s="427"/>
      <c r="B874" s="428"/>
      <c r="C874" s="94" t="s">
        <v>92</v>
      </c>
      <c r="D874" s="85">
        <f>+D863</f>
        <v>5528083290</v>
      </c>
      <c r="E874" s="86">
        <f>+E873</f>
        <v>0.33</v>
      </c>
      <c r="F874" s="85">
        <f>+D874*E874</f>
        <v>1824267485.7</v>
      </c>
      <c r="G874" s="85">
        <f>+G863</f>
        <v>2799330573</v>
      </c>
      <c r="H874" s="86">
        <f>+H873</f>
        <v>0.33</v>
      </c>
      <c r="I874" s="85">
        <f>+G874*H874</f>
        <v>923779089.09000003</v>
      </c>
      <c r="J874" s="85">
        <f>+J863</f>
        <v>9381156258</v>
      </c>
      <c r="K874" s="86">
        <f>+K873</f>
        <v>0.34</v>
      </c>
      <c r="L874" s="85">
        <f>+J874*K874</f>
        <v>3189593127.7200003</v>
      </c>
      <c r="M874" s="85">
        <f>+F874+I874+L874</f>
        <v>5937639702.5100002</v>
      </c>
      <c r="N874" s="429"/>
    </row>
    <row r="877" spans="1:14">
      <c r="D877" s="431" t="str">
        <f>+[2]INDICADORES!N133</f>
        <v>CONSORCIO DIKÉ</v>
      </c>
      <c r="E877" s="432"/>
      <c r="F877" s="432"/>
      <c r="G877" s="432"/>
      <c r="H877" s="432"/>
      <c r="I877" s="432"/>
      <c r="J877" s="432"/>
      <c r="K877" s="433" t="s">
        <v>133</v>
      </c>
    </row>
    <row r="878" spans="1:14">
      <c r="D878" s="434" t="s">
        <v>226</v>
      </c>
      <c r="E878" s="434"/>
      <c r="F878" s="434"/>
      <c r="G878" s="434" t="s">
        <v>227</v>
      </c>
      <c r="H878" s="434"/>
      <c r="I878" s="434"/>
      <c r="J878" s="435" t="s">
        <v>132</v>
      </c>
      <c r="K878" s="433"/>
    </row>
    <row r="879" spans="1:14">
      <c r="D879" s="434"/>
      <c r="E879" s="434"/>
      <c r="F879" s="434"/>
      <c r="G879" s="434"/>
      <c r="H879" s="434"/>
      <c r="I879" s="434"/>
      <c r="J879" s="436"/>
      <c r="K879" s="433"/>
    </row>
    <row r="880" spans="1:14">
      <c r="C880" s="79" t="s">
        <v>135</v>
      </c>
      <c r="D880" s="438" t="s">
        <v>662</v>
      </c>
      <c r="E880" s="439"/>
      <c r="F880" s="440"/>
      <c r="G880" s="438" t="s">
        <v>167</v>
      </c>
      <c r="H880" s="439"/>
      <c r="I880" s="440"/>
      <c r="J880" s="436"/>
      <c r="K880" s="433"/>
    </row>
    <row r="881" spans="1:11" ht="34.5">
      <c r="D881" s="269" t="s">
        <v>137</v>
      </c>
      <c r="E881" s="80" t="s">
        <v>138</v>
      </c>
      <c r="F881" s="81" t="s">
        <v>139</v>
      </c>
      <c r="G881" s="81" t="s">
        <v>137</v>
      </c>
      <c r="H881" s="80" t="s">
        <v>138</v>
      </c>
      <c r="I881" s="81" t="s">
        <v>139</v>
      </c>
      <c r="J881" s="437"/>
      <c r="K881" s="433"/>
    </row>
    <row r="882" spans="1:11" ht="15.75" thickBot="1">
      <c r="A882" s="427" t="s">
        <v>76</v>
      </c>
      <c r="B882" s="428" t="s">
        <v>77</v>
      </c>
      <c r="C882" s="84" t="s">
        <v>78</v>
      </c>
      <c r="D882" s="85">
        <v>16437390023</v>
      </c>
      <c r="E882" s="86">
        <v>0.9</v>
      </c>
      <c r="F882" s="85">
        <f>+D882*E882</f>
        <v>14793651020.700001</v>
      </c>
      <c r="G882" s="85">
        <v>370170087</v>
      </c>
      <c r="H882" s="86">
        <v>0.1</v>
      </c>
      <c r="I882" s="85">
        <f>+G882*H882</f>
        <v>37017008.700000003</v>
      </c>
      <c r="J882" s="85">
        <f>+F882+I882</f>
        <v>14830668029.400002</v>
      </c>
      <c r="K882" s="430">
        <f>+J882/J883</f>
        <v>141.96958805124424</v>
      </c>
    </row>
    <row r="883" spans="1:11" ht="15.75" thickTop="1">
      <c r="A883" s="427"/>
      <c r="B883" s="428"/>
      <c r="C883" s="76" t="s">
        <v>80</v>
      </c>
      <c r="D883" s="85">
        <v>114213844</v>
      </c>
      <c r="E883" s="86">
        <f>+E882</f>
        <v>0.9</v>
      </c>
      <c r="F883" s="85">
        <f>+D883*E883</f>
        <v>102792459.60000001</v>
      </c>
      <c r="G883" s="85">
        <v>16712374</v>
      </c>
      <c r="H883" s="86">
        <f>+H882</f>
        <v>0.1</v>
      </c>
      <c r="I883" s="85">
        <f>+G883*H883</f>
        <v>1671237.4000000001</v>
      </c>
      <c r="J883" s="85">
        <f>+F883+I883</f>
        <v>104463697.00000001</v>
      </c>
      <c r="K883" s="430"/>
    </row>
    <row r="884" spans="1:11">
      <c r="D884" s="88"/>
      <c r="E884" s="89"/>
      <c r="F884" s="89"/>
      <c r="G884" s="89"/>
      <c r="H884" s="89"/>
      <c r="I884" s="89"/>
      <c r="J884" s="91"/>
      <c r="K884" s="92"/>
    </row>
    <row r="885" spans="1:11" ht="15.75" thickBot="1">
      <c r="A885" s="427" t="s">
        <v>81</v>
      </c>
      <c r="B885" s="428" t="s">
        <v>77</v>
      </c>
      <c r="C885" s="93" t="s">
        <v>82</v>
      </c>
      <c r="D885" s="85">
        <f>+D883</f>
        <v>114213844</v>
      </c>
      <c r="E885" s="86">
        <f>+E883</f>
        <v>0.9</v>
      </c>
      <c r="F885" s="85">
        <f>+D885*E885</f>
        <v>102792459.60000001</v>
      </c>
      <c r="G885" s="85">
        <v>39712374</v>
      </c>
      <c r="H885" s="86">
        <f>+H883</f>
        <v>0.1</v>
      </c>
      <c r="I885" s="85">
        <f>+G885*H885</f>
        <v>3971237.4000000004</v>
      </c>
      <c r="J885" s="85">
        <f>+F885+I885</f>
        <v>106763697.00000001</v>
      </c>
      <c r="K885" s="429">
        <f>+J885/J886</f>
        <v>7.1818052337682039E-3</v>
      </c>
    </row>
    <row r="886" spans="1:11" ht="15.75" thickTop="1">
      <c r="A886" s="427"/>
      <c r="B886" s="428"/>
      <c r="C886" s="94" t="s">
        <v>83</v>
      </c>
      <c r="D886" s="85">
        <v>16437390023</v>
      </c>
      <c r="E886" s="86">
        <f>+E885</f>
        <v>0.9</v>
      </c>
      <c r="F886" s="85">
        <f>+D886*E886</f>
        <v>14793651020.700001</v>
      </c>
      <c r="G886" s="85">
        <v>722070087</v>
      </c>
      <c r="H886" s="86">
        <f>+H885</f>
        <v>0.1</v>
      </c>
      <c r="I886" s="85">
        <f>+G886*H886</f>
        <v>72207008.700000003</v>
      </c>
      <c r="J886" s="85">
        <f>+F886+I886</f>
        <v>14865858029.400002</v>
      </c>
      <c r="K886" s="429"/>
    </row>
    <row r="887" spans="1:11">
      <c r="D887" s="88"/>
      <c r="E887" s="86"/>
      <c r="F887" s="89"/>
      <c r="G887" s="89"/>
      <c r="H887" s="86"/>
      <c r="I887" s="89"/>
      <c r="J887" s="91"/>
      <c r="K887" s="92"/>
    </row>
    <row r="888" spans="1:11" ht="19.5">
      <c r="A888" s="76" t="s">
        <v>84</v>
      </c>
      <c r="B888" s="76" t="s">
        <v>140</v>
      </c>
      <c r="C888" s="95" t="s">
        <v>85</v>
      </c>
      <c r="D888" s="85"/>
      <c r="E888" s="85"/>
      <c r="F888" s="85">
        <f>+D882-D883</f>
        <v>16323176179</v>
      </c>
      <c r="G888" s="85"/>
      <c r="H888" s="86"/>
      <c r="I888" s="85">
        <f>+G882-G883</f>
        <v>353457713</v>
      </c>
      <c r="J888" s="85">
        <f>+F888+I888</f>
        <v>16676633892</v>
      </c>
      <c r="K888" s="97">
        <f>+F888+I888</f>
        <v>16676633892</v>
      </c>
    </row>
    <row r="889" spans="1:11">
      <c r="D889" s="88"/>
      <c r="E889" s="86"/>
      <c r="F889" s="89"/>
      <c r="G889" s="89"/>
      <c r="H889" s="86"/>
      <c r="I889" s="89"/>
      <c r="J889" s="91"/>
      <c r="K889" s="92"/>
    </row>
    <row r="890" spans="1:11" ht="15.75" thickBot="1">
      <c r="A890" s="427" t="s">
        <v>86</v>
      </c>
      <c r="B890" s="428" t="s">
        <v>77</v>
      </c>
      <c r="C890" s="84" t="s">
        <v>87</v>
      </c>
      <c r="D890" s="85">
        <v>2010812408</v>
      </c>
      <c r="E890" s="86">
        <f>+E886</f>
        <v>0.9</v>
      </c>
      <c r="F890" s="85">
        <f>+D890*E890</f>
        <v>1809731167.2</v>
      </c>
      <c r="G890" s="85">
        <v>15268495</v>
      </c>
      <c r="H890" s="86">
        <f>+H886</f>
        <v>0.1</v>
      </c>
      <c r="I890" s="85">
        <f>+G890*H890</f>
        <v>1526849.5</v>
      </c>
      <c r="J890" s="85">
        <f>+F890+I890</f>
        <v>1811258016.7</v>
      </c>
      <c r="K890" s="429">
        <f>+J890/J891</f>
        <v>29076.849499374719</v>
      </c>
    </row>
    <row r="891" spans="1:11" ht="15.75" thickTop="1">
      <c r="A891" s="427"/>
      <c r="B891" s="428"/>
      <c r="C891" s="76" t="s">
        <v>88</v>
      </c>
      <c r="D891" s="85">
        <v>0</v>
      </c>
      <c r="E891" s="86">
        <f>+E886</f>
        <v>0.9</v>
      </c>
      <c r="F891" s="85">
        <f>+D891*E891</f>
        <v>0</v>
      </c>
      <c r="G891" s="85">
        <v>622921</v>
      </c>
      <c r="H891" s="86">
        <f>+H886</f>
        <v>0.1</v>
      </c>
      <c r="I891" s="85">
        <f>+G891*H891</f>
        <v>62292.100000000006</v>
      </c>
      <c r="J891" s="85">
        <f>+F891+I891</f>
        <v>62292.100000000006</v>
      </c>
      <c r="K891" s="429"/>
    </row>
    <row r="892" spans="1:11">
      <c r="D892" s="88"/>
      <c r="E892" s="86"/>
      <c r="F892" s="89"/>
      <c r="G892" s="89"/>
      <c r="H892" s="86"/>
      <c r="I892" s="89"/>
      <c r="J892" s="91"/>
      <c r="K892" s="92"/>
    </row>
    <row r="893" spans="1:11" ht="15.75" thickBot="1">
      <c r="A893" s="427" t="s">
        <v>89</v>
      </c>
      <c r="B893" s="428" t="s">
        <v>77</v>
      </c>
      <c r="C893" s="93" t="s">
        <v>87</v>
      </c>
      <c r="D893" s="85">
        <f>+D890</f>
        <v>2010812408</v>
      </c>
      <c r="E893" s="86">
        <f>+E891</f>
        <v>0.9</v>
      </c>
      <c r="F893" s="85">
        <f>+D893*E893</f>
        <v>1809731167.2</v>
      </c>
      <c r="G893" s="85">
        <f>+G890</f>
        <v>15268495</v>
      </c>
      <c r="H893" s="86">
        <f>+H891</f>
        <v>0.1</v>
      </c>
      <c r="I893" s="85">
        <f>+G893*H893</f>
        <v>1526849.5</v>
      </c>
      <c r="J893" s="85">
        <f>+F893+I893</f>
        <v>1811258016.7</v>
      </c>
      <c r="K893" s="429">
        <f>+J893/J894</f>
        <v>0.12272148791161419</v>
      </c>
    </row>
    <row r="894" spans="1:11" ht="15.75" thickTop="1">
      <c r="A894" s="427"/>
      <c r="B894" s="428"/>
      <c r="C894" s="94" t="s">
        <v>90</v>
      </c>
      <c r="D894" s="85">
        <f>+D886-D885</f>
        <v>16323176179</v>
      </c>
      <c r="E894" s="86">
        <f>+E893</f>
        <v>0.9</v>
      </c>
      <c r="F894" s="85">
        <f>+D894*E894</f>
        <v>14690858561.1</v>
      </c>
      <c r="G894" s="85">
        <f>+G886-G885</f>
        <v>682357713</v>
      </c>
      <c r="H894" s="86">
        <f>+H893</f>
        <v>0.1</v>
      </c>
      <c r="I894" s="85">
        <f>+G894*H894</f>
        <v>68235771.299999997</v>
      </c>
      <c r="J894" s="85">
        <f>+F894+I894</f>
        <v>14759094332.4</v>
      </c>
      <c r="K894" s="429"/>
    </row>
    <row r="895" spans="1:11">
      <c r="D895" s="88"/>
      <c r="E895" s="86"/>
      <c r="F895" s="89"/>
      <c r="G895" s="89"/>
      <c r="H895" s="86"/>
      <c r="I895" s="89"/>
      <c r="J895" s="91"/>
      <c r="K895" s="92"/>
    </row>
    <row r="896" spans="1:11" ht="15.75" thickBot="1">
      <c r="A896" s="427" t="s">
        <v>91</v>
      </c>
      <c r="B896" s="428" t="s">
        <v>77</v>
      </c>
      <c r="C896" s="93" t="s">
        <v>87</v>
      </c>
      <c r="D896" s="85">
        <f>+D893</f>
        <v>2010812408</v>
      </c>
      <c r="E896" s="86">
        <f>+E894</f>
        <v>0.9</v>
      </c>
      <c r="F896" s="85">
        <f>+D896*E896</f>
        <v>1809731167.2</v>
      </c>
      <c r="G896" s="85">
        <f>+G893</f>
        <v>15268495</v>
      </c>
      <c r="H896" s="86">
        <f>+H894</f>
        <v>0.1</v>
      </c>
      <c r="I896" s="85">
        <f>+G896*H896</f>
        <v>1526849.5</v>
      </c>
      <c r="J896" s="85">
        <f>+F896+I896</f>
        <v>1811258016.7</v>
      </c>
      <c r="K896" s="429">
        <f>+J896/J897</f>
        <v>0.12184012608743472</v>
      </c>
    </row>
    <row r="897" spans="1:11" ht="15.75" thickTop="1">
      <c r="A897" s="427"/>
      <c r="B897" s="428"/>
      <c r="C897" s="94" t="s">
        <v>92</v>
      </c>
      <c r="D897" s="85">
        <f>+D886</f>
        <v>16437390023</v>
      </c>
      <c r="E897" s="86">
        <f>+E896</f>
        <v>0.9</v>
      </c>
      <c r="F897" s="85">
        <f>+D897*E897</f>
        <v>14793651020.700001</v>
      </c>
      <c r="G897" s="85">
        <f>+G886</f>
        <v>722070087</v>
      </c>
      <c r="H897" s="86">
        <f>+H896</f>
        <v>0.1</v>
      </c>
      <c r="I897" s="85">
        <f>+G897*H897</f>
        <v>72207008.700000003</v>
      </c>
      <c r="J897" s="85">
        <f>+F897+I897</f>
        <v>14865858029.400002</v>
      </c>
      <c r="K897" s="429"/>
    </row>
    <row r="900" spans="1:11" hidden="1">
      <c r="D900" s="441" t="str">
        <f>+[2]INDICADORES!T133</f>
        <v>CONSORCIO BCHC</v>
      </c>
      <c r="E900" s="442"/>
      <c r="F900" s="442"/>
      <c r="G900" s="442"/>
      <c r="H900" s="442"/>
      <c r="I900" s="442"/>
      <c r="J900" s="442"/>
      <c r="K900" s="433" t="s">
        <v>133</v>
      </c>
    </row>
    <row r="901" spans="1:11" hidden="1">
      <c r="D901" s="434" t="s">
        <v>228</v>
      </c>
      <c r="E901" s="434"/>
      <c r="F901" s="434"/>
      <c r="G901" s="434" t="s">
        <v>229</v>
      </c>
      <c r="H901" s="434"/>
      <c r="I901" s="434"/>
      <c r="J901" s="435" t="s">
        <v>132</v>
      </c>
      <c r="K901" s="433"/>
    </row>
    <row r="902" spans="1:11" hidden="1">
      <c r="D902" s="434"/>
      <c r="E902" s="434"/>
      <c r="F902" s="434"/>
      <c r="G902" s="434"/>
      <c r="H902" s="434"/>
      <c r="I902" s="434"/>
      <c r="J902" s="436"/>
      <c r="K902" s="433"/>
    </row>
    <row r="903" spans="1:11" hidden="1">
      <c r="C903" s="79" t="s">
        <v>135</v>
      </c>
      <c r="D903" s="438" t="s">
        <v>216</v>
      </c>
      <c r="E903" s="439"/>
      <c r="F903" s="440"/>
      <c r="G903" s="438"/>
      <c r="H903" s="439"/>
      <c r="I903" s="440"/>
      <c r="J903" s="436"/>
      <c r="K903" s="433"/>
    </row>
    <row r="904" spans="1:11" ht="34.5" hidden="1">
      <c r="D904" s="269" t="s">
        <v>137</v>
      </c>
      <c r="E904" s="80" t="s">
        <v>138</v>
      </c>
      <c r="F904" s="81" t="s">
        <v>139</v>
      </c>
      <c r="G904" s="81" t="s">
        <v>137</v>
      </c>
      <c r="H904" s="80" t="s">
        <v>138</v>
      </c>
      <c r="I904" s="81" t="s">
        <v>139</v>
      </c>
      <c r="J904" s="437"/>
      <c r="K904" s="433"/>
    </row>
    <row r="905" spans="1:11" ht="15.75" hidden="1" thickBot="1">
      <c r="A905" s="427" t="s">
        <v>76</v>
      </c>
      <c r="B905" s="428" t="s">
        <v>77</v>
      </c>
      <c r="C905" s="84" t="s">
        <v>78</v>
      </c>
      <c r="D905" s="85">
        <v>30699664272</v>
      </c>
      <c r="E905" s="86">
        <v>0.9</v>
      </c>
      <c r="F905" s="85">
        <f>+D905*E905</f>
        <v>27629697844.799999</v>
      </c>
      <c r="G905" s="85"/>
      <c r="H905" s="86">
        <v>0.1</v>
      </c>
      <c r="I905" s="85">
        <f>+G905*H905</f>
        <v>0</v>
      </c>
      <c r="J905" s="85">
        <f>+F905+I905</f>
        <v>27629697844.799999</v>
      </c>
      <c r="K905" s="430">
        <f>+J905/J906</f>
        <v>14.680428664788648</v>
      </c>
    </row>
    <row r="906" spans="1:11" hidden="1">
      <c r="A906" s="427"/>
      <c r="B906" s="428"/>
      <c r="C906" s="76" t="s">
        <v>80</v>
      </c>
      <c r="D906" s="85">
        <v>2091196720</v>
      </c>
      <c r="E906" s="86">
        <f>+E905</f>
        <v>0.9</v>
      </c>
      <c r="F906" s="85">
        <f>+D906*E906</f>
        <v>1882077048</v>
      </c>
      <c r="G906" s="85"/>
      <c r="H906" s="86">
        <f>+H905</f>
        <v>0.1</v>
      </c>
      <c r="I906" s="85">
        <f>+G906*H906</f>
        <v>0</v>
      </c>
      <c r="J906" s="85">
        <f>+F906+I906</f>
        <v>1882077048</v>
      </c>
      <c r="K906" s="430"/>
    </row>
    <row r="907" spans="1:11" hidden="1">
      <c r="D907" s="88"/>
      <c r="E907" s="89"/>
      <c r="F907" s="89"/>
      <c r="G907" s="89"/>
      <c r="H907" s="89"/>
      <c r="I907" s="89"/>
      <c r="J907" s="91"/>
      <c r="K907" s="92"/>
    </row>
    <row r="908" spans="1:11" ht="15.75" hidden="1" thickBot="1">
      <c r="A908" s="427" t="s">
        <v>81</v>
      </c>
      <c r="B908" s="428" t="s">
        <v>77</v>
      </c>
      <c r="C908" s="93" t="s">
        <v>82</v>
      </c>
      <c r="D908" s="85">
        <v>2091196720</v>
      </c>
      <c r="E908" s="86">
        <f>+E906</f>
        <v>0.9</v>
      </c>
      <c r="F908" s="85">
        <f>+D908*E908</f>
        <v>1882077048</v>
      </c>
      <c r="G908" s="85"/>
      <c r="H908" s="86">
        <f>+H906</f>
        <v>0.1</v>
      </c>
      <c r="I908" s="85">
        <f>+G908*H908</f>
        <v>0</v>
      </c>
      <c r="J908" s="85">
        <f>+F908+I908</f>
        <v>1882077048</v>
      </c>
      <c r="K908" s="429">
        <f>+J908/J909</f>
        <v>6.8057962599344879E-2</v>
      </c>
    </row>
    <row r="909" spans="1:11" hidden="1">
      <c r="A909" s="427"/>
      <c r="B909" s="428"/>
      <c r="C909" s="94" t="s">
        <v>83</v>
      </c>
      <c r="D909" s="85">
        <v>30726701772</v>
      </c>
      <c r="E909" s="86">
        <f>+E908</f>
        <v>0.9</v>
      </c>
      <c r="F909" s="85">
        <f>+D909*E909</f>
        <v>27654031594.799999</v>
      </c>
      <c r="G909" s="85"/>
      <c r="H909" s="86">
        <f>+H908</f>
        <v>0.1</v>
      </c>
      <c r="I909" s="85">
        <f>+G909*H909</f>
        <v>0</v>
      </c>
      <c r="J909" s="85">
        <f>+F909+I909</f>
        <v>27654031594.799999</v>
      </c>
      <c r="K909" s="429"/>
    </row>
    <row r="910" spans="1:11" hidden="1">
      <c r="D910" s="88"/>
      <c r="E910" s="86"/>
      <c r="F910" s="89"/>
      <c r="G910" s="89"/>
      <c r="H910" s="86"/>
      <c r="I910" s="89"/>
      <c r="J910" s="91"/>
      <c r="K910" s="92"/>
    </row>
    <row r="911" spans="1:11" ht="19.5" hidden="1">
      <c r="A911" s="76" t="s">
        <v>84</v>
      </c>
      <c r="B911" s="76" t="s">
        <v>140</v>
      </c>
      <c r="C911" s="95" t="s">
        <v>85</v>
      </c>
      <c r="D911" s="85"/>
      <c r="E911" s="85"/>
      <c r="F911" s="85">
        <f>+D905-D906</f>
        <v>28608467552</v>
      </c>
      <c r="G911" s="85"/>
      <c r="H911" s="86"/>
      <c r="I911" s="85">
        <f>+G905-G906</f>
        <v>0</v>
      </c>
      <c r="J911" s="85">
        <f>+F911+I911</f>
        <v>28608467552</v>
      </c>
      <c r="K911" s="97">
        <f>+F911+I911</f>
        <v>28608467552</v>
      </c>
    </row>
    <row r="912" spans="1:11" hidden="1">
      <c r="D912" s="88"/>
      <c r="E912" s="86"/>
      <c r="F912" s="89"/>
      <c r="G912" s="89"/>
      <c r="H912" s="86"/>
      <c r="I912" s="89"/>
      <c r="J912" s="91"/>
      <c r="K912" s="92"/>
    </row>
    <row r="913" spans="1:11" ht="15.75" hidden="1" thickBot="1">
      <c r="A913" s="427" t="s">
        <v>86</v>
      </c>
      <c r="B913" s="428" t="s">
        <v>77</v>
      </c>
      <c r="C913" s="84" t="s">
        <v>87</v>
      </c>
      <c r="D913" s="85">
        <v>5059958669</v>
      </c>
      <c r="E913" s="86">
        <f>+E909</f>
        <v>0.9</v>
      </c>
      <c r="F913" s="85">
        <f>+D913*E913</f>
        <v>4553962802.1000004</v>
      </c>
      <c r="G913" s="85"/>
      <c r="H913" s="86">
        <f>+H909</f>
        <v>0.1</v>
      </c>
      <c r="I913" s="85">
        <f>+G913*H913</f>
        <v>0</v>
      </c>
      <c r="J913" s="85">
        <f>+F913+I913</f>
        <v>4553962802.1000004</v>
      </c>
      <c r="K913" s="429">
        <f>+J913/J914</f>
        <v>234.69184078802186</v>
      </c>
    </row>
    <row r="914" spans="1:11" hidden="1">
      <c r="A914" s="427"/>
      <c r="B914" s="428"/>
      <c r="C914" s="76" t="s">
        <v>88</v>
      </c>
      <c r="D914" s="85">
        <v>21560011</v>
      </c>
      <c r="E914" s="86">
        <f>+E909</f>
        <v>0.9</v>
      </c>
      <c r="F914" s="85">
        <f>+D914*E914</f>
        <v>19404009.900000002</v>
      </c>
      <c r="G914" s="85"/>
      <c r="H914" s="86">
        <f>+H909</f>
        <v>0.1</v>
      </c>
      <c r="I914" s="85">
        <f>+G914*H914</f>
        <v>0</v>
      </c>
      <c r="J914" s="85">
        <f>+F914+I914</f>
        <v>19404009.900000002</v>
      </c>
      <c r="K914" s="429"/>
    </row>
    <row r="915" spans="1:11" hidden="1">
      <c r="D915" s="88"/>
      <c r="E915" s="86"/>
      <c r="F915" s="89"/>
      <c r="G915" s="89"/>
      <c r="H915" s="86"/>
      <c r="I915" s="89"/>
      <c r="J915" s="91"/>
      <c r="K915" s="92"/>
    </row>
    <row r="916" spans="1:11" ht="15.75" hidden="1" thickBot="1">
      <c r="A916" s="427" t="s">
        <v>89</v>
      </c>
      <c r="B916" s="428" t="s">
        <v>77</v>
      </c>
      <c r="C916" s="93" t="s">
        <v>87</v>
      </c>
      <c r="D916" s="85">
        <f>+D913</f>
        <v>5059958669</v>
      </c>
      <c r="E916" s="86">
        <f>+E914</f>
        <v>0.9</v>
      </c>
      <c r="F916" s="85">
        <f>+D916*E916</f>
        <v>4553962802.1000004</v>
      </c>
      <c r="G916" s="85">
        <f>+G913</f>
        <v>0</v>
      </c>
      <c r="H916" s="86">
        <f>+H914</f>
        <v>0.1</v>
      </c>
      <c r="I916" s="85">
        <f>+G916*H916</f>
        <v>0</v>
      </c>
      <c r="J916" s="85">
        <f>+F916+I916</f>
        <v>4553962802.1000004</v>
      </c>
      <c r="K916" s="429">
        <f>+J916/J917</f>
        <v>0.17670226733600411</v>
      </c>
    </row>
    <row r="917" spans="1:11" hidden="1">
      <c r="A917" s="427"/>
      <c r="B917" s="428"/>
      <c r="C917" s="94" t="s">
        <v>90</v>
      </c>
      <c r="D917" s="85">
        <f>+D909-D908</f>
        <v>28635505052</v>
      </c>
      <c r="E917" s="86">
        <f>+E916</f>
        <v>0.9</v>
      </c>
      <c r="F917" s="85">
        <f>+D917*E917</f>
        <v>25771954546.799999</v>
      </c>
      <c r="G917" s="85">
        <f>+G909-G908</f>
        <v>0</v>
      </c>
      <c r="H917" s="86">
        <f>+H916</f>
        <v>0.1</v>
      </c>
      <c r="I917" s="85">
        <f>+G917*H917</f>
        <v>0</v>
      </c>
      <c r="J917" s="85">
        <f>+F917+I917</f>
        <v>25771954546.799999</v>
      </c>
      <c r="K917" s="429"/>
    </row>
    <row r="918" spans="1:11" hidden="1">
      <c r="D918" s="88"/>
      <c r="E918" s="86"/>
      <c r="F918" s="89"/>
      <c r="G918" s="89"/>
      <c r="H918" s="86"/>
      <c r="I918" s="89"/>
      <c r="J918" s="91"/>
      <c r="K918" s="92"/>
    </row>
    <row r="919" spans="1:11" ht="15.75" hidden="1" thickBot="1">
      <c r="A919" s="427" t="s">
        <v>91</v>
      </c>
      <c r="B919" s="428" t="s">
        <v>77</v>
      </c>
      <c r="C919" s="93" t="s">
        <v>87</v>
      </c>
      <c r="D919" s="85">
        <f>+D916</f>
        <v>5059958669</v>
      </c>
      <c r="E919" s="86">
        <f>+E917</f>
        <v>0.9</v>
      </c>
      <c r="F919" s="85">
        <f>+D919*E919</f>
        <v>4553962802.1000004</v>
      </c>
      <c r="G919" s="85">
        <f>+G916</f>
        <v>0</v>
      </c>
      <c r="H919" s="86">
        <f>+H917</f>
        <v>0.1</v>
      </c>
      <c r="I919" s="85">
        <f>+G919*H919</f>
        <v>0</v>
      </c>
      <c r="J919" s="85">
        <f>+F919+I919</f>
        <v>4553962802.1000004</v>
      </c>
      <c r="K919" s="429">
        <f>+J919/J920</f>
        <v>0.16467627103443092</v>
      </c>
    </row>
    <row r="920" spans="1:11" hidden="1">
      <c r="A920" s="427"/>
      <c r="B920" s="428"/>
      <c r="C920" s="94" t="s">
        <v>92</v>
      </c>
      <c r="D920" s="85">
        <f>+D909</f>
        <v>30726701772</v>
      </c>
      <c r="E920" s="86">
        <f>+E919</f>
        <v>0.9</v>
      </c>
      <c r="F920" s="85">
        <f>+D920*E920</f>
        <v>27654031594.799999</v>
      </c>
      <c r="G920" s="85">
        <f>+G909</f>
        <v>0</v>
      </c>
      <c r="H920" s="86">
        <f>+H919</f>
        <v>0.1</v>
      </c>
      <c r="I920" s="85">
        <f>+G920*H920</f>
        <v>0</v>
      </c>
      <c r="J920" s="85">
        <f>+F920+I920</f>
        <v>27654031594.799999</v>
      </c>
      <c r="K920" s="429"/>
    </row>
    <row r="923" spans="1:11">
      <c r="D923" s="441" t="str">
        <f>+[2]INDICADORES!E155</f>
        <v>CONSORCIO FR</v>
      </c>
      <c r="E923" s="442"/>
      <c r="F923" s="442"/>
      <c r="G923" s="442"/>
      <c r="H923" s="442"/>
      <c r="I923" s="442"/>
      <c r="J923" s="442"/>
      <c r="K923" s="433" t="s">
        <v>133</v>
      </c>
    </row>
    <row r="924" spans="1:11">
      <c r="D924" s="434" t="s">
        <v>230</v>
      </c>
      <c r="E924" s="434"/>
      <c r="F924" s="434"/>
      <c r="G924" s="434" t="s">
        <v>231</v>
      </c>
      <c r="H924" s="434"/>
      <c r="I924" s="434"/>
      <c r="J924" s="435" t="s">
        <v>132</v>
      </c>
      <c r="K924" s="433"/>
    </row>
    <row r="925" spans="1:11">
      <c r="D925" s="434"/>
      <c r="E925" s="434"/>
      <c r="F925" s="434"/>
      <c r="G925" s="434"/>
      <c r="H925" s="434"/>
      <c r="I925" s="434"/>
      <c r="J925" s="436"/>
      <c r="K925" s="433"/>
    </row>
    <row r="926" spans="1:11">
      <c r="C926" s="79" t="s">
        <v>135</v>
      </c>
      <c r="D926" s="438" t="s">
        <v>142</v>
      </c>
      <c r="E926" s="439"/>
      <c r="F926" s="440"/>
      <c r="G926" s="438" t="s">
        <v>167</v>
      </c>
      <c r="H926" s="439"/>
      <c r="I926" s="440"/>
      <c r="J926" s="436"/>
      <c r="K926" s="433"/>
    </row>
    <row r="927" spans="1:11" ht="34.5">
      <c r="D927" s="269" t="s">
        <v>137</v>
      </c>
      <c r="E927" s="80" t="s">
        <v>138</v>
      </c>
      <c r="F927" s="81" t="s">
        <v>139</v>
      </c>
      <c r="G927" s="81" t="s">
        <v>137</v>
      </c>
      <c r="H927" s="80" t="s">
        <v>138</v>
      </c>
      <c r="I927" s="81" t="s">
        <v>139</v>
      </c>
      <c r="J927" s="437"/>
      <c r="K927" s="433"/>
    </row>
    <row r="928" spans="1:11" ht="15.75" thickBot="1">
      <c r="A928" s="427" t="s">
        <v>76</v>
      </c>
      <c r="B928" s="428" t="s">
        <v>77</v>
      </c>
      <c r="C928" s="84" t="s">
        <v>78</v>
      </c>
      <c r="D928" s="85">
        <v>26829589811</v>
      </c>
      <c r="E928" s="86">
        <v>0.9</v>
      </c>
      <c r="F928" s="85">
        <f>+D928*E928</f>
        <v>24146630829.900002</v>
      </c>
      <c r="G928" s="85">
        <v>15681996904</v>
      </c>
      <c r="H928" s="86">
        <v>0.1</v>
      </c>
      <c r="I928" s="85">
        <f>+G928*H928</f>
        <v>1568199690.4000001</v>
      </c>
      <c r="J928" s="85">
        <f>+F928+I928</f>
        <v>25714830520.300003</v>
      </c>
      <c r="K928" s="430">
        <f>+J928/J929</f>
        <v>2.9675438491874329</v>
      </c>
    </row>
    <row r="929" spans="1:11" ht="15.75" thickTop="1">
      <c r="A929" s="427"/>
      <c r="B929" s="428"/>
      <c r="C929" s="76" t="s">
        <v>80</v>
      </c>
      <c r="D929" s="85">
        <v>9424452323</v>
      </c>
      <c r="E929" s="86">
        <f>+E928</f>
        <v>0.9</v>
      </c>
      <c r="F929" s="85">
        <f>+D929*E929</f>
        <v>8482007090.6999998</v>
      </c>
      <c r="G929" s="85">
        <v>1833511406</v>
      </c>
      <c r="H929" s="86">
        <f>+H928</f>
        <v>0.1</v>
      </c>
      <c r="I929" s="85">
        <f>+G929*H929</f>
        <v>183351140.60000002</v>
      </c>
      <c r="J929" s="85">
        <f>+F929+I929</f>
        <v>8665358231.2999992</v>
      </c>
      <c r="K929" s="430"/>
    </row>
    <row r="930" spans="1:11">
      <c r="D930" s="88"/>
      <c r="E930" s="89"/>
      <c r="F930" s="89"/>
      <c r="G930" s="89"/>
      <c r="H930" s="89"/>
      <c r="I930" s="89"/>
      <c r="J930" s="91"/>
      <c r="K930" s="92"/>
    </row>
    <row r="931" spans="1:11" ht="15.75" thickBot="1">
      <c r="A931" s="427" t="s">
        <v>81</v>
      </c>
      <c r="B931" s="428" t="s">
        <v>77</v>
      </c>
      <c r="C931" s="93" t="s">
        <v>82</v>
      </c>
      <c r="D931" s="85">
        <v>10913973531</v>
      </c>
      <c r="E931" s="86">
        <f>+E929</f>
        <v>0.9</v>
      </c>
      <c r="F931" s="85">
        <f>+D931*E931</f>
        <v>9822576177.8999996</v>
      </c>
      <c r="G931" s="85">
        <v>1834769806</v>
      </c>
      <c r="H931" s="86">
        <f>+H929</f>
        <v>0.1</v>
      </c>
      <c r="I931" s="85">
        <f>+G931*H931</f>
        <v>183476980.60000002</v>
      </c>
      <c r="J931" s="85">
        <f>+F931+I931</f>
        <v>10006053158.5</v>
      </c>
      <c r="K931" s="429">
        <f>+J931/J932</f>
        <v>0.37107464853758371</v>
      </c>
    </row>
    <row r="932" spans="1:11" ht="15.75" thickTop="1">
      <c r="A932" s="427"/>
      <c r="B932" s="428"/>
      <c r="C932" s="94" t="s">
        <v>83</v>
      </c>
      <c r="D932" s="85">
        <v>28070946015</v>
      </c>
      <c r="E932" s="86">
        <f>+E931</f>
        <v>0.9</v>
      </c>
      <c r="F932" s="85">
        <f>+D932*E932</f>
        <v>25263851413.5</v>
      </c>
      <c r="G932" s="85">
        <v>17012166609</v>
      </c>
      <c r="H932" s="86">
        <f>+H931</f>
        <v>0.1</v>
      </c>
      <c r="I932" s="85">
        <f>+G932*H932</f>
        <v>1701216660.9000001</v>
      </c>
      <c r="J932" s="85">
        <f>+F932+I932</f>
        <v>26965068074.400002</v>
      </c>
      <c r="K932" s="429"/>
    </row>
    <row r="933" spans="1:11">
      <c r="D933" s="88"/>
      <c r="E933" s="86"/>
      <c r="F933" s="89"/>
      <c r="G933" s="89"/>
      <c r="H933" s="86"/>
      <c r="I933" s="89"/>
      <c r="J933" s="91"/>
      <c r="K933" s="92"/>
    </row>
    <row r="934" spans="1:11" ht="19.5">
      <c r="A934" s="76" t="s">
        <v>84</v>
      </c>
      <c r="B934" s="76" t="s">
        <v>140</v>
      </c>
      <c r="C934" s="95" t="s">
        <v>85</v>
      </c>
      <c r="D934" s="85"/>
      <c r="E934" s="85"/>
      <c r="F934" s="85">
        <f>+D928-D929</f>
        <v>17405137488</v>
      </c>
      <c r="G934" s="85"/>
      <c r="H934" s="86"/>
      <c r="I934" s="85">
        <f>+G928-G929</f>
        <v>13848485498</v>
      </c>
      <c r="J934" s="85">
        <f>+F934+I934</f>
        <v>31253622986</v>
      </c>
      <c r="K934" s="97">
        <f>+F934+I934</f>
        <v>31253622986</v>
      </c>
    </row>
    <row r="935" spans="1:11">
      <c r="D935" s="88"/>
      <c r="E935" s="86"/>
      <c r="F935" s="89"/>
      <c r="G935" s="89"/>
      <c r="H935" s="86"/>
      <c r="I935" s="89"/>
      <c r="J935" s="91"/>
      <c r="K935" s="92"/>
    </row>
    <row r="936" spans="1:11" ht="15.75" thickBot="1">
      <c r="A936" s="427" t="s">
        <v>86</v>
      </c>
      <c r="B936" s="428" t="s">
        <v>77</v>
      </c>
      <c r="C936" s="84" t="s">
        <v>87</v>
      </c>
      <c r="D936" s="85">
        <v>8915147359</v>
      </c>
      <c r="E936" s="86">
        <f>+E932</f>
        <v>0.9</v>
      </c>
      <c r="F936" s="85">
        <f>+D936*E936</f>
        <v>8023632623.1000004</v>
      </c>
      <c r="G936" s="85">
        <v>100847740</v>
      </c>
      <c r="H936" s="86">
        <f>+H932</f>
        <v>0.1</v>
      </c>
      <c r="I936" s="85">
        <f>+G936*H936</f>
        <v>10084774</v>
      </c>
      <c r="J936" s="85">
        <f>+F936+I936</f>
        <v>8033717397.1000004</v>
      </c>
      <c r="K936" s="429">
        <f>+J936/J937</f>
        <v>155.61954349781718</v>
      </c>
    </row>
    <row r="937" spans="1:11" ht="15.75" thickTop="1">
      <c r="A937" s="427"/>
      <c r="B937" s="428"/>
      <c r="C937" s="76" t="s">
        <v>88</v>
      </c>
      <c r="D937" s="85">
        <v>57356545</v>
      </c>
      <c r="E937" s="86">
        <f>+E932</f>
        <v>0.9</v>
      </c>
      <c r="F937" s="85">
        <f>+D937*E937</f>
        <v>51620890.5</v>
      </c>
      <c r="G937" s="85">
        <v>32000</v>
      </c>
      <c r="H937" s="86">
        <f>+H932</f>
        <v>0.1</v>
      </c>
      <c r="I937" s="85">
        <f>+G937*H937</f>
        <v>3200</v>
      </c>
      <c r="J937" s="85">
        <f>+F937+I937</f>
        <v>51624090.5</v>
      </c>
      <c r="K937" s="429"/>
    </row>
    <row r="938" spans="1:11">
      <c r="D938" s="88"/>
      <c r="E938" s="86"/>
      <c r="F938" s="89"/>
      <c r="G938" s="89"/>
      <c r="H938" s="86"/>
      <c r="I938" s="89"/>
      <c r="J938" s="91"/>
      <c r="K938" s="92"/>
    </row>
    <row r="939" spans="1:11" ht="15.75" thickBot="1">
      <c r="A939" s="427" t="s">
        <v>89</v>
      </c>
      <c r="B939" s="428" t="s">
        <v>77</v>
      </c>
      <c r="C939" s="93" t="s">
        <v>87</v>
      </c>
      <c r="D939" s="85">
        <f>+D936</f>
        <v>8915147359</v>
      </c>
      <c r="E939" s="86">
        <f>+E937</f>
        <v>0.9</v>
      </c>
      <c r="F939" s="85">
        <f>+D939*E939</f>
        <v>8023632623.1000004</v>
      </c>
      <c r="G939" s="85">
        <f>+G936</f>
        <v>100847740</v>
      </c>
      <c r="H939" s="86">
        <f>+H937</f>
        <v>0.1</v>
      </c>
      <c r="I939" s="85">
        <f>+G939*H939</f>
        <v>10084774</v>
      </c>
      <c r="J939" s="85">
        <f>+F939+I939</f>
        <v>8033717397.1000004</v>
      </c>
      <c r="K939" s="429">
        <f>+J939/J940</f>
        <v>0.47371368189363122</v>
      </c>
    </row>
    <row r="940" spans="1:11" ht="15.75" thickTop="1">
      <c r="A940" s="427"/>
      <c r="B940" s="428"/>
      <c r="C940" s="94" t="s">
        <v>90</v>
      </c>
      <c r="D940" s="85">
        <f>+D932-D931</f>
        <v>17156972484</v>
      </c>
      <c r="E940" s="86">
        <f>+E939</f>
        <v>0.9</v>
      </c>
      <c r="F940" s="85">
        <f>+D940*E940</f>
        <v>15441275235.6</v>
      </c>
      <c r="G940" s="85">
        <f>+G932-G931</f>
        <v>15177396803</v>
      </c>
      <c r="H940" s="86">
        <f>+H939</f>
        <v>0.1</v>
      </c>
      <c r="I940" s="85">
        <f>+G940*H940</f>
        <v>1517739680.3000002</v>
      </c>
      <c r="J940" s="85">
        <f>+F940+I940</f>
        <v>16959014915.900002</v>
      </c>
      <c r="K940" s="429"/>
    </row>
    <row r="941" spans="1:11">
      <c r="D941" s="88"/>
      <c r="E941" s="86"/>
      <c r="F941" s="89"/>
      <c r="G941" s="89"/>
      <c r="H941" s="86"/>
      <c r="I941" s="89"/>
      <c r="J941" s="91"/>
      <c r="K941" s="92"/>
    </row>
    <row r="942" spans="1:11" ht="15.75" thickBot="1">
      <c r="A942" s="427" t="s">
        <v>91</v>
      </c>
      <c r="B942" s="428" t="s">
        <v>77</v>
      </c>
      <c r="C942" s="93" t="s">
        <v>87</v>
      </c>
      <c r="D942" s="85">
        <f>+D939</f>
        <v>8915147359</v>
      </c>
      <c r="E942" s="86">
        <f>+E940</f>
        <v>0.9</v>
      </c>
      <c r="F942" s="85">
        <f>+D942*E942</f>
        <v>8023632623.1000004</v>
      </c>
      <c r="G942" s="85">
        <f>+G939</f>
        <v>100847740</v>
      </c>
      <c r="H942" s="86">
        <f>+H940</f>
        <v>0.1</v>
      </c>
      <c r="I942" s="85">
        <f>+G942*H942</f>
        <v>10084774</v>
      </c>
      <c r="J942" s="85">
        <f>+F942+I942</f>
        <v>8033717397.1000004</v>
      </c>
      <c r="K942" s="429">
        <f>+J942/J943</f>
        <v>0.29793054387750728</v>
      </c>
    </row>
    <row r="943" spans="1:11" ht="15.75" thickTop="1">
      <c r="A943" s="427"/>
      <c r="B943" s="428"/>
      <c r="C943" s="94" t="s">
        <v>92</v>
      </c>
      <c r="D943" s="85">
        <f>+D932</f>
        <v>28070946015</v>
      </c>
      <c r="E943" s="86">
        <f>+E942</f>
        <v>0.9</v>
      </c>
      <c r="F943" s="85">
        <f>+D943*E943</f>
        <v>25263851413.5</v>
      </c>
      <c r="G943" s="85">
        <f>+G932</f>
        <v>17012166609</v>
      </c>
      <c r="H943" s="86">
        <f>+H942</f>
        <v>0.1</v>
      </c>
      <c r="I943" s="85">
        <f>+G943*H943</f>
        <v>1701216660.9000001</v>
      </c>
      <c r="J943" s="85">
        <f>+F943+I943</f>
        <v>26965068074.400002</v>
      </c>
      <c r="K943" s="429"/>
    </row>
    <row r="946" spans="1:11">
      <c r="D946" s="441" t="str">
        <f>+[2]INDICADORES!N155</f>
        <v>CONSORCIO OBRAS BTR</v>
      </c>
      <c r="E946" s="442"/>
      <c r="F946" s="442"/>
      <c r="G946" s="442"/>
      <c r="H946" s="442"/>
      <c r="I946" s="442"/>
      <c r="J946" s="442"/>
      <c r="K946" s="433" t="s">
        <v>133</v>
      </c>
    </row>
    <row r="947" spans="1:11">
      <c r="D947" s="434" t="s">
        <v>232</v>
      </c>
      <c r="E947" s="434"/>
      <c r="F947" s="434"/>
      <c r="G947" s="434" t="s">
        <v>233</v>
      </c>
      <c r="H947" s="434"/>
      <c r="I947" s="434"/>
      <c r="J947" s="435" t="s">
        <v>132</v>
      </c>
      <c r="K947" s="433"/>
    </row>
    <row r="948" spans="1:11">
      <c r="D948" s="434"/>
      <c r="E948" s="434"/>
      <c r="F948" s="434"/>
      <c r="G948" s="434"/>
      <c r="H948" s="434"/>
      <c r="I948" s="434"/>
      <c r="J948" s="436"/>
      <c r="K948" s="433"/>
    </row>
    <row r="949" spans="1:11">
      <c r="C949" s="79" t="s">
        <v>135</v>
      </c>
      <c r="D949" s="438" t="s">
        <v>143</v>
      </c>
      <c r="E949" s="439"/>
      <c r="F949" s="440"/>
      <c r="G949" s="438" t="s">
        <v>136</v>
      </c>
      <c r="H949" s="439"/>
      <c r="I949" s="440"/>
      <c r="J949" s="436"/>
      <c r="K949" s="433"/>
    </row>
    <row r="950" spans="1:11" ht="34.5">
      <c r="D950" s="269" t="s">
        <v>137</v>
      </c>
      <c r="E950" s="80" t="s">
        <v>138</v>
      </c>
      <c r="F950" s="81" t="s">
        <v>139</v>
      </c>
      <c r="G950" s="81" t="s">
        <v>137</v>
      </c>
      <c r="H950" s="80" t="s">
        <v>138</v>
      </c>
      <c r="I950" s="81" t="s">
        <v>139</v>
      </c>
      <c r="J950" s="437"/>
      <c r="K950" s="433"/>
    </row>
    <row r="951" spans="1:11" ht="15.75" thickBot="1">
      <c r="A951" s="427" t="s">
        <v>76</v>
      </c>
      <c r="B951" s="428" t="s">
        <v>77</v>
      </c>
      <c r="C951" s="84" t="s">
        <v>78</v>
      </c>
      <c r="D951" s="85">
        <v>3250555342</v>
      </c>
      <c r="E951" s="86">
        <v>0.9</v>
      </c>
      <c r="F951" s="85">
        <f>+D951*E951</f>
        <v>2925499807.8000002</v>
      </c>
      <c r="G951" s="85">
        <v>1077396164</v>
      </c>
      <c r="H951" s="86">
        <v>0.1</v>
      </c>
      <c r="I951" s="85">
        <f>+G951*H951</f>
        <v>107739616.40000001</v>
      </c>
      <c r="J951" s="85">
        <f>+F951+I951</f>
        <v>3033239424.2000003</v>
      </c>
      <c r="K951" s="430">
        <f>+J951/J952</f>
        <v>35.425472641629334</v>
      </c>
    </row>
    <row r="952" spans="1:11" ht="15.75" thickTop="1">
      <c r="A952" s="427"/>
      <c r="B952" s="428"/>
      <c r="C952" s="76" t="s">
        <v>80</v>
      </c>
      <c r="D952" s="85">
        <v>91334563</v>
      </c>
      <c r="E952" s="86">
        <f>+E951</f>
        <v>0.9</v>
      </c>
      <c r="F952" s="85">
        <f>+D952*E952</f>
        <v>82201106.700000003</v>
      </c>
      <c r="G952" s="85">
        <v>34220113</v>
      </c>
      <c r="H952" s="86">
        <f>+H951</f>
        <v>0.1</v>
      </c>
      <c r="I952" s="85">
        <f>+G952*H952</f>
        <v>3422011.3000000003</v>
      </c>
      <c r="J952" s="85">
        <f>+F952+I952</f>
        <v>85623118</v>
      </c>
      <c r="K952" s="430"/>
    </row>
    <row r="953" spans="1:11">
      <c r="D953" s="88"/>
      <c r="E953" s="89"/>
      <c r="F953" s="89"/>
      <c r="G953" s="89"/>
      <c r="H953" s="89"/>
      <c r="I953" s="89"/>
      <c r="J953" s="91"/>
      <c r="K953" s="92"/>
    </row>
    <row r="954" spans="1:11" ht="15.75" thickBot="1">
      <c r="A954" s="427" t="s">
        <v>81</v>
      </c>
      <c r="B954" s="428" t="s">
        <v>77</v>
      </c>
      <c r="C954" s="93" t="s">
        <v>82</v>
      </c>
      <c r="D954" s="85">
        <v>2391912466</v>
      </c>
      <c r="E954" s="86">
        <f>+E952</f>
        <v>0.9</v>
      </c>
      <c r="F954" s="85">
        <f>+D954*E954</f>
        <v>2152721219.4000001</v>
      </c>
      <c r="G954" s="85">
        <v>310785810</v>
      </c>
      <c r="H954" s="86">
        <f>+H952</f>
        <v>0.1</v>
      </c>
      <c r="I954" s="85">
        <f>+G954*H954</f>
        <v>31078581</v>
      </c>
      <c r="J954" s="85">
        <f>+F954+I954</f>
        <v>2183799800.4000001</v>
      </c>
      <c r="K954" s="429">
        <f>+J954/J955</f>
        <v>0.55666279319453316</v>
      </c>
    </row>
    <row r="955" spans="1:11" ht="15.75" thickTop="1">
      <c r="A955" s="427"/>
      <c r="B955" s="428"/>
      <c r="C955" s="94" t="s">
        <v>83</v>
      </c>
      <c r="D955" s="85">
        <v>4239201483</v>
      </c>
      <c r="E955" s="86">
        <f>+E954</f>
        <v>0.9</v>
      </c>
      <c r="F955" s="85">
        <f>+D955*E955</f>
        <v>3815281334.7000003</v>
      </c>
      <c r="G955" s="85">
        <v>1077396164</v>
      </c>
      <c r="H955" s="86">
        <f>+H954</f>
        <v>0.1</v>
      </c>
      <c r="I955" s="85">
        <f>+G955*H955</f>
        <v>107739616.40000001</v>
      </c>
      <c r="J955" s="85">
        <f>+F955+I955</f>
        <v>3923020951.1000004</v>
      </c>
      <c r="K955" s="429"/>
    </row>
    <row r="956" spans="1:11">
      <c r="D956" s="88"/>
      <c r="E956" s="86"/>
      <c r="F956" s="89"/>
      <c r="G956" s="89"/>
      <c r="H956" s="86"/>
      <c r="I956" s="89"/>
      <c r="J956" s="91"/>
      <c r="K956" s="92"/>
    </row>
    <row r="957" spans="1:11" ht="19.5">
      <c r="A957" s="76" t="s">
        <v>84</v>
      </c>
      <c r="B957" s="76" t="s">
        <v>140</v>
      </c>
      <c r="C957" s="95" t="s">
        <v>85</v>
      </c>
      <c r="D957" s="85"/>
      <c r="E957" s="85"/>
      <c r="F957" s="85">
        <f>+D951-D952</f>
        <v>3159220779</v>
      </c>
      <c r="G957" s="85"/>
      <c r="H957" s="86"/>
      <c r="I957" s="85">
        <f>+G951-G952</f>
        <v>1043176051</v>
      </c>
      <c r="J957" s="85">
        <f>+F957+I957</f>
        <v>4202396830</v>
      </c>
      <c r="K957" s="97">
        <f>+F957+I957</f>
        <v>4202396830</v>
      </c>
    </row>
    <row r="958" spans="1:11">
      <c r="D958" s="88"/>
      <c r="E958" s="86"/>
      <c r="F958" s="89"/>
      <c r="G958" s="89"/>
      <c r="H958" s="86"/>
      <c r="I958" s="89"/>
      <c r="J958" s="91"/>
      <c r="K958" s="92"/>
    </row>
    <row r="959" spans="1:11" ht="15.75" thickBot="1">
      <c r="A959" s="427" t="s">
        <v>86</v>
      </c>
      <c r="B959" s="428" t="s">
        <v>77</v>
      </c>
      <c r="C959" s="84" t="s">
        <v>87</v>
      </c>
      <c r="D959" s="85">
        <v>784100735</v>
      </c>
      <c r="E959" s="86">
        <f>+E955</f>
        <v>0.9</v>
      </c>
      <c r="F959" s="85">
        <f>+D959*E959</f>
        <v>705690661.5</v>
      </c>
      <c r="G959" s="85">
        <v>256882588</v>
      </c>
      <c r="H959" s="86">
        <f>+H955</f>
        <v>0.1</v>
      </c>
      <c r="I959" s="85">
        <f>+G959*H959</f>
        <v>25688258.800000001</v>
      </c>
      <c r="J959" s="85">
        <f>+F959+I959</f>
        <v>731378920.29999995</v>
      </c>
      <c r="K959" s="429">
        <f>+J959/J960</f>
        <v>22.304893068498895</v>
      </c>
    </row>
    <row r="960" spans="1:11" ht="15.75" thickTop="1">
      <c r="A960" s="427"/>
      <c r="B960" s="428"/>
      <c r="C960" s="76" t="s">
        <v>88</v>
      </c>
      <c r="D960" s="85">
        <v>36256918</v>
      </c>
      <c r="E960" s="86">
        <f>+E955</f>
        <v>0.9</v>
      </c>
      <c r="F960" s="85">
        <f>+D960*E960</f>
        <v>32631226.199999999</v>
      </c>
      <c r="G960" s="85">
        <v>1588400</v>
      </c>
      <c r="H960" s="86">
        <f>+H955</f>
        <v>0.1</v>
      </c>
      <c r="I960" s="85">
        <f>+G960*H960</f>
        <v>158840</v>
      </c>
      <c r="J960" s="85">
        <f>+F960+I960</f>
        <v>32790066.199999999</v>
      </c>
      <c r="K960" s="429"/>
    </row>
    <row r="961" spans="1:11">
      <c r="D961" s="88"/>
      <c r="E961" s="86"/>
      <c r="F961" s="89"/>
      <c r="G961" s="89"/>
      <c r="H961" s="86"/>
      <c r="I961" s="89"/>
      <c r="J961" s="91"/>
      <c r="K961" s="92"/>
    </row>
    <row r="962" spans="1:11" ht="15.75" thickBot="1">
      <c r="A962" s="427" t="s">
        <v>89</v>
      </c>
      <c r="B962" s="428" t="s">
        <v>77</v>
      </c>
      <c r="C962" s="93" t="s">
        <v>87</v>
      </c>
      <c r="D962" s="85">
        <f>+D959</f>
        <v>784100735</v>
      </c>
      <c r="E962" s="86">
        <f>+E960</f>
        <v>0.9</v>
      </c>
      <c r="F962" s="85">
        <f>+D962*E962</f>
        <v>705690661.5</v>
      </c>
      <c r="G962" s="85">
        <f>+G959</f>
        <v>256882588</v>
      </c>
      <c r="H962" s="86">
        <f>+H960</f>
        <v>0.1</v>
      </c>
      <c r="I962" s="85">
        <f>+G962*H962</f>
        <v>25688258.800000001</v>
      </c>
      <c r="J962" s="85">
        <f>+F962+I962</f>
        <v>731378920.29999995</v>
      </c>
      <c r="K962" s="429">
        <f>+J962/J963</f>
        <v>0.42052094410514457</v>
      </c>
    </row>
    <row r="963" spans="1:11" ht="15.75" thickTop="1">
      <c r="A963" s="427"/>
      <c r="B963" s="428"/>
      <c r="C963" s="94" t="s">
        <v>90</v>
      </c>
      <c r="D963" s="85">
        <f>+D955-D954</f>
        <v>1847289017</v>
      </c>
      <c r="E963" s="86">
        <f>+E962</f>
        <v>0.9</v>
      </c>
      <c r="F963" s="85">
        <f>+D963*E963</f>
        <v>1662560115.3</v>
      </c>
      <c r="G963" s="85">
        <f>+G955-G954</f>
        <v>766610354</v>
      </c>
      <c r="H963" s="86">
        <f>+H962</f>
        <v>0.1</v>
      </c>
      <c r="I963" s="85">
        <f>+G963*H963</f>
        <v>76661035.400000006</v>
      </c>
      <c r="J963" s="85">
        <f>+F963+I963</f>
        <v>1739221150.7</v>
      </c>
      <c r="K963" s="429"/>
    </row>
    <row r="964" spans="1:11">
      <c r="D964" s="88"/>
      <c r="E964" s="86"/>
      <c r="F964" s="89"/>
      <c r="G964" s="89"/>
      <c r="H964" s="86"/>
      <c r="I964" s="89"/>
      <c r="J964" s="91"/>
      <c r="K964" s="92"/>
    </row>
    <row r="965" spans="1:11" ht="15.75" thickBot="1">
      <c r="A965" s="427" t="s">
        <v>91</v>
      </c>
      <c r="B965" s="428" t="s">
        <v>77</v>
      </c>
      <c r="C965" s="93" t="s">
        <v>87</v>
      </c>
      <c r="D965" s="85">
        <f>+D962</f>
        <v>784100735</v>
      </c>
      <c r="E965" s="86">
        <f>+E963</f>
        <v>0.9</v>
      </c>
      <c r="F965" s="85">
        <f>+D965*E965</f>
        <v>705690661.5</v>
      </c>
      <c r="G965" s="85">
        <f>+G962</f>
        <v>256882588</v>
      </c>
      <c r="H965" s="86">
        <f>+H963</f>
        <v>0.1</v>
      </c>
      <c r="I965" s="85">
        <f>+G965*H965</f>
        <v>25688258.800000001</v>
      </c>
      <c r="J965" s="85">
        <f>+F965+I965</f>
        <v>731378920.29999995</v>
      </c>
      <c r="K965" s="429">
        <f>+J965/J966</f>
        <v>0.18643258076277264</v>
      </c>
    </row>
    <row r="966" spans="1:11" ht="15.75" thickTop="1">
      <c r="A966" s="427"/>
      <c r="B966" s="428"/>
      <c r="C966" s="94" t="s">
        <v>92</v>
      </c>
      <c r="D966" s="85">
        <f>+D955</f>
        <v>4239201483</v>
      </c>
      <c r="E966" s="86">
        <f>+E965</f>
        <v>0.9</v>
      </c>
      <c r="F966" s="85">
        <f>+D966*E966</f>
        <v>3815281334.7000003</v>
      </c>
      <c r="G966" s="85">
        <f>+G955</f>
        <v>1077396164</v>
      </c>
      <c r="H966" s="86">
        <f>+H965</f>
        <v>0.1</v>
      </c>
      <c r="I966" s="85">
        <f>+G966*H966</f>
        <v>107739616.40000001</v>
      </c>
      <c r="J966" s="85">
        <f>+F966+I966</f>
        <v>3923020951.1000004</v>
      </c>
      <c r="K966" s="429"/>
    </row>
    <row r="969" spans="1:11">
      <c r="D969" s="431" t="str">
        <f>+[2]INDICADORES!Q155</f>
        <v>CONSORCIO PALACIO MAGANGUE</v>
      </c>
      <c r="E969" s="432"/>
      <c r="F969" s="432"/>
      <c r="G969" s="432"/>
      <c r="H969" s="432"/>
      <c r="I969" s="432"/>
      <c r="J969" s="432"/>
      <c r="K969" s="433" t="s">
        <v>133</v>
      </c>
    </row>
    <row r="970" spans="1:11" ht="22.9" customHeight="1">
      <c r="D970" s="434" t="s">
        <v>234</v>
      </c>
      <c r="E970" s="434"/>
      <c r="F970" s="434"/>
      <c r="G970" s="434" t="s">
        <v>235</v>
      </c>
      <c r="H970" s="434"/>
      <c r="I970" s="434"/>
      <c r="J970" s="435" t="s">
        <v>132</v>
      </c>
      <c r="K970" s="433"/>
    </row>
    <row r="971" spans="1:11">
      <c r="D971" s="434"/>
      <c r="E971" s="434"/>
      <c r="F971" s="434"/>
      <c r="G971" s="434"/>
      <c r="H971" s="434"/>
      <c r="I971" s="434"/>
      <c r="J971" s="436"/>
      <c r="K971" s="433"/>
    </row>
    <row r="972" spans="1:11">
      <c r="C972" s="79" t="s">
        <v>135</v>
      </c>
      <c r="D972" s="438"/>
      <c r="E972" s="439"/>
      <c r="F972" s="440"/>
      <c r="G972" s="438"/>
      <c r="H972" s="439"/>
      <c r="I972" s="440"/>
      <c r="J972" s="436"/>
      <c r="K972" s="433"/>
    </row>
    <row r="973" spans="1:11" ht="34.5">
      <c r="D973" s="269" t="s">
        <v>137</v>
      </c>
      <c r="E973" s="80" t="s">
        <v>138</v>
      </c>
      <c r="F973" s="81" t="s">
        <v>139</v>
      </c>
      <c r="G973" s="81" t="s">
        <v>137</v>
      </c>
      <c r="H973" s="80" t="s">
        <v>138</v>
      </c>
      <c r="I973" s="81" t="s">
        <v>139</v>
      </c>
      <c r="J973" s="437"/>
      <c r="K973" s="433"/>
    </row>
    <row r="974" spans="1:11" ht="15.75" thickBot="1">
      <c r="A974" s="427" t="s">
        <v>76</v>
      </c>
      <c r="B974" s="428" t="s">
        <v>77</v>
      </c>
      <c r="C974" s="84" t="s">
        <v>78</v>
      </c>
      <c r="D974" s="85">
        <v>5308211093</v>
      </c>
      <c r="E974" s="86">
        <v>0.5</v>
      </c>
      <c r="F974" s="85">
        <f>+D974*E974</f>
        <v>2654105546.5</v>
      </c>
      <c r="G974" s="85">
        <v>1754488566</v>
      </c>
      <c r="H974" s="86">
        <v>0.5</v>
      </c>
      <c r="I974" s="85">
        <f>+G974*H974</f>
        <v>877244283</v>
      </c>
      <c r="J974" s="85">
        <f>+F974+I974</f>
        <v>3531349829.5</v>
      </c>
      <c r="K974" s="430">
        <f>+J974/J975</f>
        <v>2.4561051596899666</v>
      </c>
    </row>
    <row r="975" spans="1:11" ht="15.75" thickTop="1">
      <c r="A975" s="427"/>
      <c r="B975" s="428"/>
      <c r="C975" s="76" t="s">
        <v>80</v>
      </c>
      <c r="D975" s="85">
        <v>1882374605</v>
      </c>
      <c r="E975" s="86">
        <f>+E974</f>
        <v>0.5</v>
      </c>
      <c r="F975" s="85">
        <f>+D975*E975</f>
        <v>941187302.5</v>
      </c>
      <c r="G975" s="85">
        <v>993194314</v>
      </c>
      <c r="H975" s="86">
        <f>+H974</f>
        <v>0.5</v>
      </c>
      <c r="I975" s="85">
        <f>+G975*H975</f>
        <v>496597157</v>
      </c>
      <c r="J975" s="85">
        <f>+F975+I975</f>
        <v>1437784459.5</v>
      </c>
      <c r="K975" s="430"/>
    </row>
    <row r="976" spans="1:11">
      <c r="D976" s="88"/>
      <c r="E976" s="89"/>
      <c r="F976" s="89"/>
      <c r="G976" s="89"/>
      <c r="H976" s="89"/>
      <c r="I976" s="89"/>
      <c r="J976" s="91"/>
      <c r="K976" s="92"/>
    </row>
    <row r="977" spans="1:11" ht="15.75" thickBot="1">
      <c r="A977" s="427" t="s">
        <v>81</v>
      </c>
      <c r="B977" s="428" t="s">
        <v>77</v>
      </c>
      <c r="C977" s="93" t="s">
        <v>82</v>
      </c>
      <c r="D977" s="85">
        <v>1882374605</v>
      </c>
      <c r="E977" s="86">
        <f>+E975</f>
        <v>0.5</v>
      </c>
      <c r="F977" s="85">
        <f>+D977*E977</f>
        <v>941187302.5</v>
      </c>
      <c r="G977" s="85">
        <v>1204753687</v>
      </c>
      <c r="H977" s="86">
        <f>+H975</f>
        <v>0.5</v>
      </c>
      <c r="I977" s="85">
        <f>+G977*H977</f>
        <v>602376843.5</v>
      </c>
      <c r="J977" s="85">
        <f>+F977+I977</f>
        <v>1543564146</v>
      </c>
      <c r="K977" s="429">
        <f>+J977/J978</f>
        <v>0.42865064864317554</v>
      </c>
    </row>
    <row r="978" spans="1:11" ht="15.75" thickTop="1">
      <c r="A978" s="427"/>
      <c r="B978" s="428"/>
      <c r="C978" s="94" t="s">
        <v>83</v>
      </c>
      <c r="D978" s="85">
        <v>5441448482</v>
      </c>
      <c r="E978" s="86">
        <f>+E977</f>
        <v>0.5</v>
      </c>
      <c r="F978" s="85">
        <f>+D978*E978</f>
        <v>2720724241</v>
      </c>
      <c r="G978" s="85">
        <v>1760519605</v>
      </c>
      <c r="H978" s="86">
        <f>+H977</f>
        <v>0.5</v>
      </c>
      <c r="I978" s="85">
        <f>+G978*H978</f>
        <v>880259802.5</v>
      </c>
      <c r="J978" s="85">
        <f>+F978+I978</f>
        <v>3600984043.5</v>
      </c>
      <c r="K978" s="429"/>
    </row>
    <row r="979" spans="1:11">
      <c r="D979" s="88"/>
      <c r="E979" s="86"/>
      <c r="F979" s="89"/>
      <c r="G979" s="89"/>
      <c r="H979" s="86"/>
      <c r="I979" s="89"/>
      <c r="J979" s="91"/>
      <c r="K979" s="92"/>
    </row>
    <row r="980" spans="1:11" ht="19.5">
      <c r="A980" s="76" t="s">
        <v>84</v>
      </c>
      <c r="B980" s="76" t="s">
        <v>140</v>
      </c>
      <c r="C980" s="95" t="s">
        <v>85</v>
      </c>
      <c r="D980" s="85"/>
      <c r="E980" s="85"/>
      <c r="F980" s="85">
        <f>+D974-D975</f>
        <v>3425836488</v>
      </c>
      <c r="G980" s="85"/>
      <c r="H980" s="86"/>
      <c r="I980" s="85">
        <f>+G974-G975</f>
        <v>761294252</v>
      </c>
      <c r="J980" s="85">
        <f>+F980+I980</f>
        <v>4187130740</v>
      </c>
      <c r="K980" s="97">
        <f>+F980+I980</f>
        <v>4187130740</v>
      </c>
    </row>
    <row r="981" spans="1:11">
      <c r="D981" s="88"/>
      <c r="E981" s="86"/>
      <c r="F981" s="89"/>
      <c r="G981" s="89"/>
      <c r="H981" s="86"/>
      <c r="I981" s="89"/>
      <c r="J981" s="91"/>
      <c r="K981" s="92"/>
    </row>
    <row r="982" spans="1:11" ht="15.75" thickBot="1">
      <c r="A982" s="427" t="s">
        <v>86</v>
      </c>
      <c r="B982" s="428" t="s">
        <v>77</v>
      </c>
      <c r="C982" s="84" t="s">
        <v>87</v>
      </c>
      <c r="D982" s="85">
        <v>1013295494</v>
      </c>
      <c r="E982" s="86">
        <f>+E978</f>
        <v>0.5</v>
      </c>
      <c r="F982" s="85">
        <f>+D982*E982</f>
        <v>506647747</v>
      </c>
      <c r="G982" s="85">
        <v>53425529</v>
      </c>
      <c r="H982" s="86">
        <f>+H978</f>
        <v>0.5</v>
      </c>
      <c r="I982" s="85">
        <f>+G982*H982</f>
        <v>26712764.5</v>
      </c>
      <c r="J982" s="85">
        <f>+F982+I982</f>
        <v>533360511.5</v>
      </c>
      <c r="K982" s="429">
        <f>+J982/J983</f>
        <v>23.126774132466043</v>
      </c>
    </row>
    <row r="983" spans="1:11" ht="15.75" thickTop="1">
      <c r="A983" s="427"/>
      <c r="B983" s="428"/>
      <c r="C983" s="76" t="s">
        <v>88</v>
      </c>
      <c r="D983" s="85">
        <v>46124938</v>
      </c>
      <c r="E983" s="86">
        <f>+E978</f>
        <v>0.5</v>
      </c>
      <c r="F983" s="85">
        <f>+D983*E983</f>
        <v>23062469</v>
      </c>
      <c r="G983" s="85">
        <v>0</v>
      </c>
      <c r="H983" s="86">
        <f>+H978</f>
        <v>0.5</v>
      </c>
      <c r="I983" s="85">
        <f>+G983*H983</f>
        <v>0</v>
      </c>
      <c r="J983" s="85">
        <f>+F983+I983</f>
        <v>23062469</v>
      </c>
      <c r="K983" s="429"/>
    </row>
    <row r="984" spans="1:11">
      <c r="D984" s="88"/>
      <c r="E984" s="86"/>
      <c r="F984" s="89"/>
      <c r="G984" s="89"/>
      <c r="H984" s="86"/>
      <c r="I984" s="89"/>
      <c r="J984" s="91"/>
      <c r="K984" s="92"/>
    </row>
    <row r="985" spans="1:11" ht="15.75" thickBot="1">
      <c r="A985" s="427" t="s">
        <v>89</v>
      </c>
      <c r="B985" s="428" t="s">
        <v>77</v>
      </c>
      <c r="C985" s="93" t="s">
        <v>87</v>
      </c>
      <c r="D985" s="85">
        <f>+D982</f>
        <v>1013295494</v>
      </c>
      <c r="E985" s="86">
        <f>+E983</f>
        <v>0.5</v>
      </c>
      <c r="F985" s="85">
        <f>+D985*E985</f>
        <v>506647747</v>
      </c>
      <c r="G985" s="85">
        <f>+G982</f>
        <v>53425529</v>
      </c>
      <c r="H985" s="86">
        <f>+H983</f>
        <v>0.5</v>
      </c>
      <c r="I985" s="85">
        <f>+G985*H985</f>
        <v>26712764.5</v>
      </c>
      <c r="J985" s="85">
        <f>+F985+I985</f>
        <v>533360511.5</v>
      </c>
      <c r="K985" s="429">
        <f>+J985/J986</f>
        <v>0.25923755872493209</v>
      </c>
    </row>
    <row r="986" spans="1:11" ht="15.75" thickTop="1">
      <c r="A986" s="427"/>
      <c r="B986" s="428"/>
      <c r="C986" s="94" t="s">
        <v>90</v>
      </c>
      <c r="D986" s="85">
        <f>+D978-D977</f>
        <v>3559073877</v>
      </c>
      <c r="E986" s="86">
        <f>+E985</f>
        <v>0.5</v>
      </c>
      <c r="F986" s="85">
        <f>+D986*E986</f>
        <v>1779536938.5</v>
      </c>
      <c r="G986" s="85">
        <f>+G978-G977</f>
        <v>555765918</v>
      </c>
      <c r="H986" s="86">
        <f>+H985</f>
        <v>0.5</v>
      </c>
      <c r="I986" s="85">
        <f>+G986*H986</f>
        <v>277882959</v>
      </c>
      <c r="J986" s="85">
        <f>+F986+I986</f>
        <v>2057419897.5</v>
      </c>
      <c r="K986" s="429"/>
    </row>
    <row r="987" spans="1:11">
      <c r="D987" s="88"/>
      <c r="E987" s="86"/>
      <c r="F987" s="89"/>
      <c r="G987" s="89"/>
      <c r="H987" s="86"/>
      <c r="I987" s="89"/>
      <c r="J987" s="91"/>
      <c r="K987" s="92"/>
    </row>
    <row r="988" spans="1:11" ht="15.75" thickBot="1">
      <c r="A988" s="427" t="s">
        <v>91</v>
      </c>
      <c r="B988" s="428" t="s">
        <v>77</v>
      </c>
      <c r="C988" s="93" t="s">
        <v>87</v>
      </c>
      <c r="D988" s="85">
        <f>+D985</f>
        <v>1013295494</v>
      </c>
      <c r="E988" s="86">
        <f>+E986</f>
        <v>0.5</v>
      </c>
      <c r="F988" s="85">
        <f>+D988*E988</f>
        <v>506647747</v>
      </c>
      <c r="G988" s="85">
        <f>+G985</f>
        <v>53425529</v>
      </c>
      <c r="H988" s="86">
        <f>+H986</f>
        <v>0.5</v>
      </c>
      <c r="I988" s="85">
        <f>+G988*H988</f>
        <v>26712764.5</v>
      </c>
      <c r="J988" s="85">
        <f>+F988+I988</f>
        <v>533360511.5</v>
      </c>
      <c r="K988" s="429">
        <f>+J988/J989</f>
        <v>0.14811521102481665</v>
      </c>
    </row>
    <row r="989" spans="1:11" ht="15.75" thickTop="1">
      <c r="A989" s="427"/>
      <c r="B989" s="428"/>
      <c r="C989" s="94" t="s">
        <v>92</v>
      </c>
      <c r="D989" s="85">
        <f>+D978</f>
        <v>5441448482</v>
      </c>
      <c r="E989" s="86">
        <f>+E988</f>
        <v>0.5</v>
      </c>
      <c r="F989" s="85">
        <f>+D989*E989</f>
        <v>2720724241</v>
      </c>
      <c r="G989" s="85">
        <f>+G978</f>
        <v>1760519605</v>
      </c>
      <c r="H989" s="86">
        <f>+H988</f>
        <v>0.5</v>
      </c>
      <c r="I989" s="85">
        <f>+G989*H989</f>
        <v>880259802.5</v>
      </c>
      <c r="J989" s="85">
        <f>+F989+I989</f>
        <v>3600984043.5</v>
      </c>
      <c r="K989" s="429"/>
    </row>
    <row r="992" spans="1:11">
      <c r="D992" s="441" t="str">
        <f>+[2]INDICADORES!T155</f>
        <v>CONSORCIO CONSTRU JUSTICIA IE</v>
      </c>
      <c r="E992" s="442"/>
      <c r="F992" s="442"/>
      <c r="G992" s="442"/>
      <c r="H992" s="442"/>
      <c r="I992" s="442"/>
      <c r="J992" s="442"/>
      <c r="K992" s="433" t="s">
        <v>133</v>
      </c>
    </row>
    <row r="993" spans="1:11">
      <c r="D993" s="434" t="s">
        <v>236</v>
      </c>
      <c r="E993" s="434"/>
      <c r="F993" s="434"/>
      <c r="G993" s="434" t="s">
        <v>237</v>
      </c>
      <c r="H993" s="434"/>
      <c r="I993" s="434"/>
      <c r="J993" s="435" t="s">
        <v>132</v>
      </c>
      <c r="K993" s="433"/>
    </row>
    <row r="994" spans="1:11">
      <c r="D994" s="434"/>
      <c r="E994" s="434"/>
      <c r="F994" s="434"/>
      <c r="G994" s="434"/>
      <c r="H994" s="434"/>
      <c r="I994" s="434"/>
      <c r="J994" s="436"/>
      <c r="K994" s="433"/>
    </row>
    <row r="995" spans="1:11">
      <c r="C995" s="79" t="s">
        <v>135</v>
      </c>
      <c r="D995" s="438" t="s">
        <v>136</v>
      </c>
      <c r="E995" s="439"/>
      <c r="F995" s="440"/>
      <c r="G995" s="438" t="s">
        <v>150</v>
      </c>
      <c r="H995" s="439"/>
      <c r="I995" s="440"/>
      <c r="J995" s="436"/>
      <c r="K995" s="433"/>
    </row>
    <row r="996" spans="1:11" ht="34.5">
      <c r="D996" s="269" t="s">
        <v>137</v>
      </c>
      <c r="E996" s="80" t="s">
        <v>138</v>
      </c>
      <c r="F996" s="81" t="s">
        <v>139</v>
      </c>
      <c r="G996" s="81" t="s">
        <v>137</v>
      </c>
      <c r="H996" s="80" t="s">
        <v>138</v>
      </c>
      <c r="I996" s="81" t="s">
        <v>139</v>
      </c>
      <c r="J996" s="437"/>
      <c r="K996" s="433"/>
    </row>
    <row r="997" spans="1:11" ht="15.75" thickBot="1">
      <c r="A997" s="427" t="s">
        <v>76</v>
      </c>
      <c r="B997" s="428" t="s">
        <v>77</v>
      </c>
      <c r="C997" s="84" t="s">
        <v>78</v>
      </c>
      <c r="D997" s="85">
        <v>3239723250</v>
      </c>
      <c r="E997" s="86">
        <v>0.1</v>
      </c>
      <c r="F997" s="85">
        <f>+D997*E997</f>
        <v>323972325</v>
      </c>
      <c r="G997" s="85">
        <v>2200762761</v>
      </c>
      <c r="H997" s="86">
        <v>0.9</v>
      </c>
      <c r="I997" s="85">
        <f>+G997*H997</f>
        <v>1980686484.9000001</v>
      </c>
      <c r="J997" s="85">
        <f>+F997+I997</f>
        <v>2304658809.9000001</v>
      </c>
      <c r="K997" s="430">
        <f>+J997/J998</f>
        <v>21.171708406522807</v>
      </c>
    </row>
    <row r="998" spans="1:11" ht="15.75" thickTop="1">
      <c r="A998" s="427"/>
      <c r="B998" s="428"/>
      <c r="C998" s="76" t="s">
        <v>80</v>
      </c>
      <c r="D998" s="85">
        <v>456838169</v>
      </c>
      <c r="E998" s="86">
        <f>+E997</f>
        <v>0.1</v>
      </c>
      <c r="F998" s="85">
        <f>+D998*E998</f>
        <v>45683816.900000006</v>
      </c>
      <c r="G998" s="85">
        <v>70190859</v>
      </c>
      <c r="H998" s="86">
        <f>+H997</f>
        <v>0.9</v>
      </c>
      <c r="I998" s="85">
        <f>+G998*H998</f>
        <v>63171773.100000001</v>
      </c>
      <c r="J998" s="85">
        <f>+F998+I998</f>
        <v>108855590</v>
      </c>
      <c r="K998" s="430"/>
    </row>
    <row r="999" spans="1:11">
      <c r="D999" s="88"/>
      <c r="E999" s="89"/>
      <c r="F999" s="89"/>
      <c r="G999" s="89"/>
      <c r="H999" s="89"/>
      <c r="I999" s="89"/>
      <c r="J999" s="91"/>
      <c r="K999" s="92"/>
    </row>
    <row r="1000" spans="1:11" ht="15.75" thickBot="1">
      <c r="A1000" s="427" t="s">
        <v>81</v>
      </c>
      <c r="B1000" s="428" t="s">
        <v>77</v>
      </c>
      <c r="C1000" s="93" t="s">
        <v>82</v>
      </c>
      <c r="D1000" s="85">
        <v>456838169</v>
      </c>
      <c r="E1000" s="86">
        <f>+E998</f>
        <v>0.1</v>
      </c>
      <c r="F1000" s="85">
        <f>+D1000*E1000</f>
        <v>45683816.900000006</v>
      </c>
      <c r="G1000" s="85">
        <v>1492071797</v>
      </c>
      <c r="H1000" s="86">
        <f>+H998</f>
        <v>0.9</v>
      </c>
      <c r="I1000" s="85">
        <f>+G1000*H1000</f>
        <v>1342864617.3</v>
      </c>
      <c r="J1000" s="85">
        <f>+F1000+I1000</f>
        <v>1388548434.2</v>
      </c>
      <c r="K1000" s="429">
        <f>+J1000/J1001</f>
        <v>0.57053412323985375</v>
      </c>
    </row>
    <row r="1001" spans="1:11" ht="15.75" thickTop="1">
      <c r="A1001" s="427"/>
      <c r="B1001" s="428"/>
      <c r="C1001" s="94" t="s">
        <v>83</v>
      </c>
      <c r="D1001" s="85">
        <v>4436328159</v>
      </c>
      <c r="E1001" s="86">
        <f>+E1000</f>
        <v>0.1</v>
      </c>
      <c r="F1001" s="85">
        <f>+D1001*E1001</f>
        <v>443632815.90000004</v>
      </c>
      <c r="G1001" s="85">
        <v>2211262761</v>
      </c>
      <c r="H1001" s="86">
        <f>+H1000</f>
        <v>0.9</v>
      </c>
      <c r="I1001" s="85">
        <f>+G1001*H1001</f>
        <v>1990136484.9000001</v>
      </c>
      <c r="J1001" s="85">
        <f>+F1001+I1001</f>
        <v>2433769300.8000002</v>
      </c>
      <c r="K1001" s="429"/>
    </row>
    <row r="1002" spans="1:11">
      <c r="D1002" s="88"/>
      <c r="E1002" s="86"/>
      <c r="F1002" s="89"/>
      <c r="G1002" s="89"/>
      <c r="H1002" s="86"/>
      <c r="I1002" s="89"/>
      <c r="J1002" s="91"/>
      <c r="K1002" s="92"/>
    </row>
    <row r="1003" spans="1:11" ht="19.5">
      <c r="A1003" s="76" t="s">
        <v>84</v>
      </c>
      <c r="B1003" s="76" t="s">
        <v>140</v>
      </c>
      <c r="C1003" s="95" t="s">
        <v>85</v>
      </c>
      <c r="D1003" s="85"/>
      <c r="E1003" s="85"/>
      <c r="F1003" s="85">
        <f>+D997-D998</f>
        <v>2782885081</v>
      </c>
      <c r="G1003" s="85"/>
      <c r="H1003" s="86"/>
      <c r="I1003" s="85">
        <f>+G997-G998</f>
        <v>2130571902</v>
      </c>
      <c r="J1003" s="85">
        <f>+F1003+I1003</f>
        <v>4913456983</v>
      </c>
      <c r="K1003" s="97">
        <f>+F1003+I1003</f>
        <v>4913456983</v>
      </c>
    </row>
    <row r="1004" spans="1:11">
      <c r="D1004" s="88"/>
      <c r="E1004" s="86"/>
      <c r="F1004" s="89"/>
      <c r="G1004" s="89"/>
      <c r="H1004" s="86"/>
      <c r="I1004" s="89"/>
      <c r="J1004" s="91"/>
      <c r="K1004" s="92"/>
    </row>
    <row r="1005" spans="1:11" ht="15.75" thickBot="1">
      <c r="A1005" s="427" t="s">
        <v>86</v>
      </c>
      <c r="B1005" s="428" t="s">
        <v>77</v>
      </c>
      <c r="C1005" s="84" t="s">
        <v>87</v>
      </c>
      <c r="D1005" s="85">
        <v>702489464</v>
      </c>
      <c r="E1005" s="86">
        <f>+E1001</f>
        <v>0.1</v>
      </c>
      <c r="F1005" s="85">
        <f>+D1005*E1005</f>
        <v>70248946.400000006</v>
      </c>
      <c r="G1005" s="85">
        <v>867789318</v>
      </c>
      <c r="H1005" s="86">
        <f>+H1001</f>
        <v>0.9</v>
      </c>
      <c r="I1005" s="85">
        <f>+G1005*H1005</f>
        <v>781010386.20000005</v>
      </c>
      <c r="J1005" s="85">
        <f>+F1005+I1005</f>
        <v>851259332.60000002</v>
      </c>
      <c r="K1005" s="429">
        <f>+J1005/J1006</f>
        <v>52256.558170656848</v>
      </c>
    </row>
    <row r="1006" spans="1:11" ht="15.75" thickTop="1">
      <c r="A1006" s="427"/>
      <c r="B1006" s="428"/>
      <c r="C1006" s="76" t="s">
        <v>88</v>
      </c>
      <c r="D1006" s="85">
        <v>0</v>
      </c>
      <c r="E1006" s="86">
        <f>+E1001</f>
        <v>0.1</v>
      </c>
      <c r="F1006" s="85">
        <f>+D1006*E1006</f>
        <v>0</v>
      </c>
      <c r="G1006" s="85">
        <v>18100</v>
      </c>
      <c r="H1006" s="86">
        <f>+H1001</f>
        <v>0.9</v>
      </c>
      <c r="I1006" s="85">
        <f>+G1006*H1006</f>
        <v>16290</v>
      </c>
      <c r="J1006" s="85">
        <f>+F1006+I1006</f>
        <v>16290</v>
      </c>
      <c r="K1006" s="429"/>
    </row>
    <row r="1007" spans="1:11">
      <c r="D1007" s="88"/>
      <c r="E1007" s="86"/>
      <c r="F1007" s="89"/>
      <c r="G1007" s="89"/>
      <c r="H1007" s="86"/>
      <c r="I1007" s="89"/>
      <c r="J1007" s="91"/>
      <c r="K1007" s="92"/>
    </row>
    <row r="1008" spans="1:11" ht="15.75" thickBot="1">
      <c r="A1008" s="427" t="s">
        <v>89</v>
      </c>
      <c r="B1008" s="428" t="s">
        <v>77</v>
      </c>
      <c r="C1008" s="93" t="s">
        <v>87</v>
      </c>
      <c r="D1008" s="85">
        <f>+D1005</f>
        <v>702489464</v>
      </c>
      <c r="E1008" s="86">
        <f>+E1006</f>
        <v>0.1</v>
      </c>
      <c r="F1008" s="85">
        <f>+D1008*E1008</f>
        <v>70248946.400000006</v>
      </c>
      <c r="G1008" s="85">
        <f>+G1005</f>
        <v>867789318</v>
      </c>
      <c r="H1008" s="86">
        <f>+H1006</f>
        <v>0.9</v>
      </c>
      <c r="I1008" s="85">
        <f>+G1008*H1008</f>
        <v>781010386.20000005</v>
      </c>
      <c r="J1008" s="85">
        <f>+F1008+I1008</f>
        <v>851259332.60000002</v>
      </c>
      <c r="K1008" s="429">
        <f>+J1008/J1009</f>
        <v>0.81443009779269171</v>
      </c>
    </row>
    <row r="1009" spans="1:11" ht="15.75" thickTop="1">
      <c r="A1009" s="427"/>
      <c r="B1009" s="428"/>
      <c r="C1009" s="94" t="s">
        <v>90</v>
      </c>
      <c r="D1009" s="85">
        <f>+D1001-D1000</f>
        <v>3979489990</v>
      </c>
      <c r="E1009" s="86">
        <f>+E1008</f>
        <v>0.1</v>
      </c>
      <c r="F1009" s="85">
        <f>+D1009*E1009</f>
        <v>397948999</v>
      </c>
      <c r="G1009" s="85">
        <f>+G1001-G1000</f>
        <v>719190964</v>
      </c>
      <c r="H1009" s="86">
        <f>+H1008</f>
        <v>0.9</v>
      </c>
      <c r="I1009" s="85">
        <f>+G1009*H1009</f>
        <v>647271867.60000002</v>
      </c>
      <c r="J1009" s="85">
        <f>+F1009+I1009</f>
        <v>1045220866.6</v>
      </c>
      <c r="K1009" s="429"/>
    </row>
    <row r="1010" spans="1:11">
      <c r="D1010" s="88"/>
      <c r="E1010" s="86"/>
      <c r="F1010" s="89"/>
      <c r="G1010" s="89"/>
      <c r="H1010" s="86"/>
      <c r="I1010" s="89"/>
      <c r="J1010" s="91"/>
      <c r="K1010" s="92"/>
    </row>
    <row r="1011" spans="1:11" ht="15.75" thickBot="1">
      <c r="A1011" s="427" t="s">
        <v>91</v>
      </c>
      <c r="B1011" s="428" t="s">
        <v>77</v>
      </c>
      <c r="C1011" s="93" t="s">
        <v>87</v>
      </c>
      <c r="D1011" s="85">
        <f>+D1008</f>
        <v>702489464</v>
      </c>
      <c r="E1011" s="86">
        <f>+E1009</f>
        <v>0.1</v>
      </c>
      <c r="F1011" s="85">
        <f>+D1011*E1011</f>
        <v>70248946.400000006</v>
      </c>
      <c r="G1011" s="85">
        <f>+G1008</f>
        <v>867789318</v>
      </c>
      <c r="H1011" s="86">
        <f>+H1009</f>
        <v>0.9</v>
      </c>
      <c r="I1011" s="85">
        <f>+G1011*H1011</f>
        <v>781010386.20000005</v>
      </c>
      <c r="J1011" s="85">
        <f>+F1011+I1011</f>
        <v>851259332.60000002</v>
      </c>
      <c r="K1011" s="429">
        <f>+J1011/J1012</f>
        <v>0.34976993600838996</v>
      </c>
    </row>
    <row r="1012" spans="1:11" ht="15.75" thickTop="1">
      <c r="A1012" s="427"/>
      <c r="B1012" s="428"/>
      <c r="C1012" s="94" t="s">
        <v>92</v>
      </c>
      <c r="D1012" s="85">
        <f>+D1001</f>
        <v>4436328159</v>
      </c>
      <c r="E1012" s="86">
        <f>+E1011</f>
        <v>0.1</v>
      </c>
      <c r="F1012" s="85">
        <f>+D1012*E1012</f>
        <v>443632815.90000004</v>
      </c>
      <c r="G1012" s="85">
        <f>+G1001</f>
        <v>2211262761</v>
      </c>
      <c r="H1012" s="86">
        <f>+H1011</f>
        <v>0.9</v>
      </c>
      <c r="I1012" s="85">
        <f>+G1012*H1012</f>
        <v>1990136484.9000001</v>
      </c>
      <c r="J1012" s="85">
        <f>+F1012+I1012</f>
        <v>2433769300.8000002</v>
      </c>
      <c r="K1012" s="429"/>
    </row>
    <row r="1015" spans="1:11">
      <c r="D1015" s="431" t="str">
        <f>+[2]INDICADORES!E177</f>
        <v>CONSORCIO JUDICATURA BOLIVAR</v>
      </c>
      <c r="E1015" s="432"/>
      <c r="F1015" s="432"/>
      <c r="G1015" s="432"/>
      <c r="H1015" s="432"/>
      <c r="I1015" s="432"/>
      <c r="J1015" s="432"/>
      <c r="K1015" s="433" t="s">
        <v>133</v>
      </c>
    </row>
    <row r="1016" spans="1:11">
      <c r="D1016" s="434" t="s">
        <v>238</v>
      </c>
      <c r="E1016" s="434"/>
      <c r="F1016" s="434"/>
      <c r="G1016" s="434" t="s">
        <v>239</v>
      </c>
      <c r="H1016" s="434"/>
      <c r="I1016" s="434"/>
      <c r="J1016" s="435" t="s">
        <v>132</v>
      </c>
      <c r="K1016" s="433"/>
    </row>
    <row r="1017" spans="1:11">
      <c r="D1017" s="434"/>
      <c r="E1017" s="434"/>
      <c r="F1017" s="434"/>
      <c r="G1017" s="434"/>
      <c r="H1017" s="434"/>
      <c r="I1017" s="434"/>
      <c r="J1017" s="436"/>
      <c r="K1017" s="433"/>
    </row>
    <row r="1018" spans="1:11">
      <c r="C1018" s="79" t="s">
        <v>135</v>
      </c>
      <c r="D1018" s="438" t="s">
        <v>167</v>
      </c>
      <c r="E1018" s="439"/>
      <c r="F1018" s="440"/>
      <c r="G1018" s="438" t="s">
        <v>142</v>
      </c>
      <c r="H1018" s="439"/>
      <c r="I1018" s="440"/>
      <c r="J1018" s="436"/>
      <c r="K1018" s="433"/>
    </row>
    <row r="1019" spans="1:11" ht="34.5">
      <c r="D1019" s="269" t="s">
        <v>137</v>
      </c>
      <c r="E1019" s="80" t="s">
        <v>138</v>
      </c>
      <c r="F1019" s="81" t="s">
        <v>139</v>
      </c>
      <c r="G1019" s="81" t="s">
        <v>137</v>
      </c>
      <c r="H1019" s="80" t="s">
        <v>138</v>
      </c>
      <c r="I1019" s="81" t="s">
        <v>139</v>
      </c>
      <c r="J1019" s="437"/>
      <c r="K1019" s="433"/>
    </row>
    <row r="1020" spans="1:11" ht="15.75" thickBot="1">
      <c r="A1020" s="427" t="s">
        <v>76</v>
      </c>
      <c r="B1020" s="428" t="s">
        <v>77</v>
      </c>
      <c r="C1020" s="84" t="s">
        <v>78</v>
      </c>
      <c r="D1020" s="85">
        <v>12663816671</v>
      </c>
      <c r="E1020" s="86">
        <v>0.7</v>
      </c>
      <c r="F1020" s="85">
        <f>+D1020*E1020</f>
        <v>8864671669.6999989</v>
      </c>
      <c r="G1020" s="85">
        <v>14854380338</v>
      </c>
      <c r="H1020" s="86">
        <v>0.3</v>
      </c>
      <c r="I1020" s="85">
        <f>+G1020*H1020</f>
        <v>4456314101.3999996</v>
      </c>
      <c r="J1020" s="85">
        <f>+F1020+I1020</f>
        <v>13320985771.099998</v>
      </c>
      <c r="K1020" s="430">
        <f>+J1020/J1021</f>
        <v>14.845099248329817</v>
      </c>
    </row>
    <row r="1021" spans="1:11" ht="15.75" thickTop="1">
      <c r="A1021" s="427"/>
      <c r="B1021" s="428"/>
      <c r="C1021" s="76" t="s">
        <v>80</v>
      </c>
      <c r="D1021" s="85">
        <v>1095711279</v>
      </c>
      <c r="E1021" s="86">
        <f>+E1020</f>
        <v>0.7</v>
      </c>
      <c r="F1021" s="85">
        <f>+D1021*E1021</f>
        <v>766997895.29999995</v>
      </c>
      <c r="G1021" s="85">
        <v>434447728</v>
      </c>
      <c r="H1021" s="86">
        <f>+H1020</f>
        <v>0.3</v>
      </c>
      <c r="I1021" s="85">
        <f>+G1021*H1021</f>
        <v>130334318.39999999</v>
      </c>
      <c r="J1021" s="85">
        <f>+F1021+I1021</f>
        <v>897332213.69999993</v>
      </c>
      <c r="K1021" s="430"/>
    </row>
    <row r="1022" spans="1:11">
      <c r="D1022" s="88"/>
      <c r="E1022" s="89"/>
      <c r="F1022" s="89"/>
      <c r="G1022" s="89"/>
      <c r="H1022" s="89"/>
      <c r="I1022" s="89"/>
      <c r="J1022" s="91"/>
      <c r="K1022" s="92"/>
    </row>
    <row r="1023" spans="1:11" ht="15.75" thickBot="1">
      <c r="A1023" s="427" t="s">
        <v>81</v>
      </c>
      <c r="B1023" s="428" t="s">
        <v>77</v>
      </c>
      <c r="C1023" s="93" t="s">
        <v>82</v>
      </c>
      <c r="D1023" s="85">
        <v>2458767824</v>
      </c>
      <c r="E1023" s="86">
        <f>+E1021</f>
        <v>0.7</v>
      </c>
      <c r="F1023" s="85">
        <f>+D1023*E1023</f>
        <v>1721137476.8</v>
      </c>
      <c r="G1023" s="85">
        <v>8337777807</v>
      </c>
      <c r="H1023" s="86">
        <f>+H1021</f>
        <v>0.3</v>
      </c>
      <c r="I1023" s="85">
        <f>+G1023*H1023</f>
        <v>2501333342.0999999</v>
      </c>
      <c r="J1023" s="85">
        <f>+F1023+I1023</f>
        <v>4222470818.8999996</v>
      </c>
      <c r="K1023" s="429">
        <f>+J1023/J1024</f>
        <v>0.29960600460734105</v>
      </c>
    </row>
    <row r="1024" spans="1:11" ht="15.75" thickTop="1">
      <c r="A1024" s="427"/>
      <c r="B1024" s="428"/>
      <c r="C1024" s="94" t="s">
        <v>83</v>
      </c>
      <c r="D1024" s="85">
        <v>13049815926</v>
      </c>
      <c r="E1024" s="86">
        <f>+E1023</f>
        <v>0.7</v>
      </c>
      <c r="F1024" s="85">
        <f>+D1024*E1024</f>
        <v>9134871148.1999989</v>
      </c>
      <c r="G1024" s="85">
        <v>16528469042</v>
      </c>
      <c r="H1024" s="86">
        <f>+H1023</f>
        <v>0.3</v>
      </c>
      <c r="I1024" s="85">
        <f>+G1024*H1024</f>
        <v>4958540712.5999994</v>
      </c>
      <c r="J1024" s="85">
        <f>+F1024+I1024</f>
        <v>14093411860.799999</v>
      </c>
      <c r="K1024" s="429"/>
    </row>
    <row r="1025" spans="1:11">
      <c r="D1025" s="88"/>
      <c r="E1025" s="86"/>
      <c r="F1025" s="89"/>
      <c r="G1025" s="89"/>
      <c r="H1025" s="86"/>
      <c r="I1025" s="89"/>
      <c r="J1025" s="91"/>
      <c r="K1025" s="92"/>
    </row>
    <row r="1026" spans="1:11" ht="19.5">
      <c r="A1026" s="76" t="s">
        <v>84</v>
      </c>
      <c r="B1026" s="76" t="s">
        <v>140</v>
      </c>
      <c r="C1026" s="95" t="s">
        <v>85</v>
      </c>
      <c r="D1026" s="85"/>
      <c r="E1026" s="85"/>
      <c r="F1026" s="85">
        <f>+D1020-D1021</f>
        <v>11568105392</v>
      </c>
      <c r="G1026" s="85"/>
      <c r="H1026" s="86"/>
      <c r="I1026" s="85">
        <f>+G1020-G1021</f>
        <v>14419932610</v>
      </c>
      <c r="J1026" s="85">
        <f>+F1026+I1026</f>
        <v>25988038002</v>
      </c>
      <c r="K1026" s="97">
        <f>+F1026+I1026</f>
        <v>25988038002</v>
      </c>
    </row>
    <row r="1027" spans="1:11">
      <c r="D1027" s="88"/>
      <c r="E1027" s="86"/>
      <c r="F1027" s="89"/>
      <c r="G1027" s="89"/>
      <c r="H1027" s="86"/>
      <c r="I1027" s="89"/>
      <c r="J1027" s="91"/>
      <c r="K1027" s="92"/>
    </row>
    <row r="1028" spans="1:11" ht="15.75" thickBot="1">
      <c r="A1028" s="427" t="s">
        <v>86</v>
      </c>
      <c r="B1028" s="428" t="s">
        <v>77</v>
      </c>
      <c r="C1028" s="84" t="s">
        <v>87</v>
      </c>
      <c r="D1028" s="85">
        <v>389547156</v>
      </c>
      <c r="E1028" s="86">
        <f>+E1024</f>
        <v>0.7</v>
      </c>
      <c r="F1028" s="85">
        <f>+D1028*E1028</f>
        <v>272683009.19999999</v>
      </c>
      <c r="G1028" s="85">
        <v>1136911402</v>
      </c>
      <c r="H1028" s="86">
        <f>+H1024</f>
        <v>0.3</v>
      </c>
      <c r="I1028" s="85">
        <f>+G1028*H1028</f>
        <v>341073420.59999996</v>
      </c>
      <c r="J1028" s="85">
        <f>+F1028+I1028</f>
        <v>613756429.79999995</v>
      </c>
      <c r="K1028" s="429" t="s">
        <v>103</v>
      </c>
    </row>
    <row r="1029" spans="1:11" ht="15.75" thickTop="1">
      <c r="A1029" s="427"/>
      <c r="B1029" s="428"/>
      <c r="C1029" s="76" t="s">
        <v>88</v>
      </c>
      <c r="D1029" s="85">
        <v>0</v>
      </c>
      <c r="E1029" s="86">
        <f>+E1024</f>
        <v>0.7</v>
      </c>
      <c r="F1029" s="85">
        <f>+D1029*E1029</f>
        <v>0</v>
      </c>
      <c r="G1029" s="85">
        <v>0</v>
      </c>
      <c r="H1029" s="86">
        <f>+H1024</f>
        <v>0.3</v>
      </c>
      <c r="I1029" s="85">
        <f>+G1029*H1029</f>
        <v>0</v>
      </c>
      <c r="J1029" s="85">
        <f>+F1029+I1029</f>
        <v>0</v>
      </c>
      <c r="K1029" s="429"/>
    </row>
    <row r="1030" spans="1:11">
      <c r="D1030" s="88"/>
      <c r="E1030" s="86"/>
      <c r="F1030" s="89"/>
      <c r="G1030" s="89"/>
      <c r="H1030" s="86"/>
      <c r="I1030" s="89"/>
      <c r="J1030" s="91"/>
      <c r="K1030" s="92"/>
    </row>
    <row r="1031" spans="1:11" ht="15.75" thickBot="1">
      <c r="A1031" s="427" t="s">
        <v>89</v>
      </c>
      <c r="B1031" s="428" t="s">
        <v>77</v>
      </c>
      <c r="C1031" s="93" t="s">
        <v>87</v>
      </c>
      <c r="D1031" s="85">
        <f>+D1028</f>
        <v>389547156</v>
      </c>
      <c r="E1031" s="86">
        <f>+E1029</f>
        <v>0.7</v>
      </c>
      <c r="F1031" s="85">
        <f>+D1031*E1031</f>
        <v>272683009.19999999</v>
      </c>
      <c r="G1031" s="85">
        <f>+G1028</f>
        <v>1136911402</v>
      </c>
      <c r="H1031" s="86">
        <f>+H1029</f>
        <v>0.3</v>
      </c>
      <c r="I1031" s="85">
        <f>+G1031*H1031</f>
        <v>341073420.59999996</v>
      </c>
      <c r="J1031" s="85">
        <f>+F1031+I1031</f>
        <v>613756429.79999995</v>
      </c>
      <c r="K1031" s="429">
        <f>+J1031/J1032</f>
        <v>6.2178107152574137E-2</v>
      </c>
    </row>
    <row r="1032" spans="1:11" ht="15.75" thickTop="1">
      <c r="A1032" s="427"/>
      <c r="B1032" s="428"/>
      <c r="C1032" s="94" t="s">
        <v>90</v>
      </c>
      <c r="D1032" s="85">
        <f>+D1024-D1023</f>
        <v>10591048102</v>
      </c>
      <c r="E1032" s="86">
        <f>+E1031</f>
        <v>0.7</v>
      </c>
      <c r="F1032" s="85">
        <f>+D1032*E1032</f>
        <v>7413733671.3999996</v>
      </c>
      <c r="G1032" s="85">
        <f>+G1024-G1023</f>
        <v>8190691235</v>
      </c>
      <c r="H1032" s="86">
        <f>+H1031</f>
        <v>0.3</v>
      </c>
      <c r="I1032" s="85">
        <f>+G1032*H1032</f>
        <v>2457207370.5</v>
      </c>
      <c r="J1032" s="85">
        <f>+F1032+I1032</f>
        <v>9870941041.8999996</v>
      </c>
      <c r="K1032" s="429"/>
    </row>
    <row r="1033" spans="1:11">
      <c r="D1033" s="88"/>
      <c r="E1033" s="86"/>
      <c r="F1033" s="89"/>
      <c r="G1033" s="89"/>
      <c r="H1033" s="86"/>
      <c r="I1033" s="89"/>
      <c r="J1033" s="91"/>
      <c r="K1033" s="92"/>
    </row>
    <row r="1034" spans="1:11" ht="15.75" thickBot="1">
      <c r="A1034" s="427" t="s">
        <v>91</v>
      </c>
      <c r="B1034" s="428" t="s">
        <v>77</v>
      </c>
      <c r="C1034" s="93" t="s">
        <v>87</v>
      </c>
      <c r="D1034" s="85">
        <f>+D1031</f>
        <v>389547156</v>
      </c>
      <c r="E1034" s="86">
        <f>+E1032</f>
        <v>0.7</v>
      </c>
      <c r="F1034" s="85">
        <f>+D1034*E1034</f>
        <v>272683009.19999999</v>
      </c>
      <c r="G1034" s="85">
        <f>+G1031</f>
        <v>1136911402</v>
      </c>
      <c r="H1034" s="86">
        <f>+H1032</f>
        <v>0.3</v>
      </c>
      <c r="I1034" s="85">
        <f>+G1034*H1034</f>
        <v>341073420.59999996</v>
      </c>
      <c r="J1034" s="85">
        <f>+F1034+I1034</f>
        <v>613756429.79999995</v>
      </c>
      <c r="K1034" s="429">
        <f>+J1034/J1035</f>
        <v>4.3549172894544262E-2</v>
      </c>
    </row>
    <row r="1035" spans="1:11" ht="15.75" thickTop="1">
      <c r="A1035" s="427"/>
      <c r="B1035" s="428"/>
      <c r="C1035" s="94" t="s">
        <v>92</v>
      </c>
      <c r="D1035" s="85">
        <f>+D1024</f>
        <v>13049815926</v>
      </c>
      <c r="E1035" s="86">
        <f>+E1034</f>
        <v>0.7</v>
      </c>
      <c r="F1035" s="85">
        <f>+D1035*E1035</f>
        <v>9134871148.1999989</v>
      </c>
      <c r="G1035" s="85">
        <f>+G1024</f>
        <v>16528469042</v>
      </c>
      <c r="H1035" s="86">
        <f>+H1034</f>
        <v>0.3</v>
      </c>
      <c r="I1035" s="85">
        <f>+G1035*H1035</f>
        <v>4958540712.5999994</v>
      </c>
      <c r="J1035" s="85">
        <f>+F1035+I1035</f>
        <v>14093411860.799999</v>
      </c>
      <c r="K1035" s="429"/>
    </row>
  </sheetData>
  <mergeCells count="1014">
    <mergeCell ref="B17:B18"/>
    <mergeCell ref="N17:N18"/>
    <mergeCell ref="A6:A7"/>
    <mergeCell ref="B6:B7"/>
    <mergeCell ref="N6:N7"/>
    <mergeCell ref="A9:A10"/>
    <mergeCell ref="B9:B10"/>
    <mergeCell ref="N9:N10"/>
    <mergeCell ref="J4:L4"/>
    <mergeCell ref="A38:A39"/>
    <mergeCell ref="B38:B39"/>
    <mergeCell ref="K38:K39"/>
    <mergeCell ref="A41:A42"/>
    <mergeCell ref="B41:B42"/>
    <mergeCell ref="K41:K42"/>
    <mergeCell ref="A30:A31"/>
    <mergeCell ref="B30:B31"/>
    <mergeCell ref="K30:K31"/>
    <mergeCell ref="A33:A34"/>
    <mergeCell ref="B33:B34"/>
    <mergeCell ref="K33:K34"/>
    <mergeCell ref="A44:A45"/>
    <mergeCell ref="B44:B45"/>
    <mergeCell ref="K44:K45"/>
    <mergeCell ref="D48:J48"/>
    <mergeCell ref="K48:K52"/>
    <mergeCell ref="D49:F50"/>
    <mergeCell ref="G49:I50"/>
    <mergeCell ref="J49:J52"/>
    <mergeCell ref="D51:F51"/>
    <mergeCell ref="G51:I51"/>
    <mergeCell ref="D1:L1"/>
    <mergeCell ref="M1:M5"/>
    <mergeCell ref="N1:N5"/>
    <mergeCell ref="D2:F3"/>
    <mergeCell ref="G2:I3"/>
    <mergeCell ref="J2:L3"/>
    <mergeCell ref="D4:F4"/>
    <mergeCell ref="G4:I4"/>
    <mergeCell ref="A20:A21"/>
    <mergeCell ref="B20:B21"/>
    <mergeCell ref="N20:N21"/>
    <mergeCell ref="D25:J25"/>
    <mergeCell ref="K25:K29"/>
    <mergeCell ref="D26:F27"/>
    <mergeCell ref="G26:I27"/>
    <mergeCell ref="J26:J29"/>
    <mergeCell ref="D28:F28"/>
    <mergeCell ref="G28:I28"/>
    <mergeCell ref="A14:A15"/>
    <mergeCell ref="B14:B15"/>
    <mergeCell ref="N14:N15"/>
    <mergeCell ref="A17:A18"/>
    <mergeCell ref="A67:A68"/>
    <mergeCell ref="B67:B68"/>
    <mergeCell ref="K67:K68"/>
    <mergeCell ref="D71:J71"/>
    <mergeCell ref="K71:K75"/>
    <mergeCell ref="D72:F73"/>
    <mergeCell ref="G72:I73"/>
    <mergeCell ref="J72:J75"/>
    <mergeCell ref="D74:F74"/>
    <mergeCell ref="G74:I74"/>
    <mergeCell ref="A61:A62"/>
    <mergeCell ref="B61:B62"/>
    <mergeCell ref="K61:K62"/>
    <mergeCell ref="A64:A65"/>
    <mergeCell ref="B64:B65"/>
    <mergeCell ref="K64:K65"/>
    <mergeCell ref="A53:A54"/>
    <mergeCell ref="B53:B54"/>
    <mergeCell ref="K53:K54"/>
    <mergeCell ref="A56:A57"/>
    <mergeCell ref="B56:B57"/>
    <mergeCell ref="K56:K57"/>
    <mergeCell ref="A90:A91"/>
    <mergeCell ref="B90:B91"/>
    <mergeCell ref="K90:K91"/>
    <mergeCell ref="D94:J94"/>
    <mergeCell ref="K94:K98"/>
    <mergeCell ref="D95:F96"/>
    <mergeCell ref="G95:I96"/>
    <mergeCell ref="J95:J98"/>
    <mergeCell ref="D97:F97"/>
    <mergeCell ref="G97:I97"/>
    <mergeCell ref="A84:A85"/>
    <mergeCell ref="B84:B85"/>
    <mergeCell ref="K84:K85"/>
    <mergeCell ref="A87:A88"/>
    <mergeCell ref="B87:B88"/>
    <mergeCell ref="K87:K88"/>
    <mergeCell ref="A76:A77"/>
    <mergeCell ref="B76:B77"/>
    <mergeCell ref="K76:K77"/>
    <mergeCell ref="A79:A80"/>
    <mergeCell ref="B79:B80"/>
    <mergeCell ref="K79:K80"/>
    <mergeCell ref="A113:A114"/>
    <mergeCell ref="B113:B114"/>
    <mergeCell ref="K113:K114"/>
    <mergeCell ref="D117:L117"/>
    <mergeCell ref="M117:M121"/>
    <mergeCell ref="N117:N121"/>
    <mergeCell ref="D118:F119"/>
    <mergeCell ref="G118:I119"/>
    <mergeCell ref="J118:L119"/>
    <mergeCell ref="D120:F120"/>
    <mergeCell ref="A107:A108"/>
    <mergeCell ref="B107:B108"/>
    <mergeCell ref="K107:K108"/>
    <mergeCell ref="A110:A111"/>
    <mergeCell ref="B110:B111"/>
    <mergeCell ref="K110:K111"/>
    <mergeCell ref="A99:A100"/>
    <mergeCell ref="B99:B100"/>
    <mergeCell ref="K99:K100"/>
    <mergeCell ref="A102:A103"/>
    <mergeCell ref="B102:B103"/>
    <mergeCell ref="K102:K103"/>
    <mergeCell ref="A136:A137"/>
    <mergeCell ref="B136:B137"/>
    <mergeCell ref="N136:N137"/>
    <mergeCell ref="D141:J141"/>
    <mergeCell ref="K141:K145"/>
    <mergeCell ref="D142:F143"/>
    <mergeCell ref="G142:I143"/>
    <mergeCell ref="J142:J145"/>
    <mergeCell ref="D144:F144"/>
    <mergeCell ref="G144:I144"/>
    <mergeCell ref="A130:A131"/>
    <mergeCell ref="B130:B131"/>
    <mergeCell ref="N130:N131"/>
    <mergeCell ref="A133:A134"/>
    <mergeCell ref="B133:B134"/>
    <mergeCell ref="N133:N134"/>
    <mergeCell ref="G120:I120"/>
    <mergeCell ref="J120:L120"/>
    <mergeCell ref="A122:A123"/>
    <mergeCell ref="B122:B123"/>
    <mergeCell ref="N122:N123"/>
    <mergeCell ref="A125:A126"/>
    <mergeCell ref="B125:B126"/>
    <mergeCell ref="N125:N126"/>
    <mergeCell ref="A160:A161"/>
    <mergeCell ref="B160:B161"/>
    <mergeCell ref="K160:K161"/>
    <mergeCell ref="D164:J164"/>
    <mergeCell ref="K164:K168"/>
    <mergeCell ref="D165:F166"/>
    <mergeCell ref="G165:I166"/>
    <mergeCell ref="J165:J168"/>
    <mergeCell ref="D167:F167"/>
    <mergeCell ref="G167:I167"/>
    <mergeCell ref="A154:A155"/>
    <mergeCell ref="B154:B155"/>
    <mergeCell ref="K154:K155"/>
    <mergeCell ref="A157:A158"/>
    <mergeCell ref="B157:B158"/>
    <mergeCell ref="K157:K158"/>
    <mergeCell ref="A146:A147"/>
    <mergeCell ref="B146:B147"/>
    <mergeCell ref="K146:K147"/>
    <mergeCell ref="A149:A150"/>
    <mergeCell ref="B149:B150"/>
    <mergeCell ref="K149:K150"/>
    <mergeCell ref="A183:A184"/>
    <mergeCell ref="B183:B184"/>
    <mergeCell ref="K183:K184"/>
    <mergeCell ref="D187:J187"/>
    <mergeCell ref="K187:K191"/>
    <mergeCell ref="D188:F189"/>
    <mergeCell ref="G188:I189"/>
    <mergeCell ref="J188:J191"/>
    <mergeCell ref="D190:F190"/>
    <mergeCell ref="G190:I190"/>
    <mergeCell ref="A177:A178"/>
    <mergeCell ref="B177:B178"/>
    <mergeCell ref="K177:K178"/>
    <mergeCell ref="A180:A181"/>
    <mergeCell ref="B180:B181"/>
    <mergeCell ref="K180:K181"/>
    <mergeCell ref="A169:A170"/>
    <mergeCell ref="B169:B170"/>
    <mergeCell ref="K169:K170"/>
    <mergeCell ref="A172:A173"/>
    <mergeCell ref="B172:B173"/>
    <mergeCell ref="K172:K173"/>
    <mergeCell ref="A206:A207"/>
    <mergeCell ref="B206:B207"/>
    <mergeCell ref="K206:K207"/>
    <mergeCell ref="D210:J210"/>
    <mergeCell ref="K210:K214"/>
    <mergeCell ref="D211:F212"/>
    <mergeCell ref="G211:I212"/>
    <mergeCell ref="J211:J214"/>
    <mergeCell ref="D213:F213"/>
    <mergeCell ref="G213:I213"/>
    <mergeCell ref="A200:A201"/>
    <mergeCell ref="B200:B201"/>
    <mergeCell ref="K200:K201"/>
    <mergeCell ref="A203:A204"/>
    <mergeCell ref="B203:B204"/>
    <mergeCell ref="K203:K204"/>
    <mergeCell ref="A192:A193"/>
    <mergeCell ref="B192:B193"/>
    <mergeCell ref="K192:K193"/>
    <mergeCell ref="A195:A196"/>
    <mergeCell ref="B195:B196"/>
    <mergeCell ref="K195:K196"/>
    <mergeCell ref="A229:A230"/>
    <mergeCell ref="B229:B230"/>
    <mergeCell ref="K229:K230"/>
    <mergeCell ref="D233:J233"/>
    <mergeCell ref="K233:K237"/>
    <mergeCell ref="D234:F235"/>
    <mergeCell ref="G234:I235"/>
    <mergeCell ref="J234:J237"/>
    <mergeCell ref="D236:F236"/>
    <mergeCell ref="G236:I236"/>
    <mergeCell ref="A223:A224"/>
    <mergeCell ref="B223:B224"/>
    <mergeCell ref="K223:K224"/>
    <mergeCell ref="A226:A227"/>
    <mergeCell ref="B226:B227"/>
    <mergeCell ref="K226:K227"/>
    <mergeCell ref="A215:A216"/>
    <mergeCell ref="B215:B216"/>
    <mergeCell ref="K215:K216"/>
    <mergeCell ref="A218:A219"/>
    <mergeCell ref="B218:B219"/>
    <mergeCell ref="K218:K219"/>
    <mergeCell ref="A252:A253"/>
    <mergeCell ref="B252:B253"/>
    <mergeCell ref="K252:K253"/>
    <mergeCell ref="D256:O256"/>
    <mergeCell ref="P256:P260"/>
    <mergeCell ref="Q256:Q260"/>
    <mergeCell ref="D257:F258"/>
    <mergeCell ref="G257:I258"/>
    <mergeCell ref="J257:L258"/>
    <mergeCell ref="M257:O258"/>
    <mergeCell ref="A246:A247"/>
    <mergeCell ref="B246:B247"/>
    <mergeCell ref="K246:K247"/>
    <mergeCell ref="A249:A250"/>
    <mergeCell ref="B249:B250"/>
    <mergeCell ref="K249:K250"/>
    <mergeCell ref="A238:A239"/>
    <mergeCell ref="B238:B239"/>
    <mergeCell ref="K238:K239"/>
    <mergeCell ref="A241:A242"/>
    <mergeCell ref="B241:B242"/>
    <mergeCell ref="K241:K242"/>
    <mergeCell ref="A272:A273"/>
    <mergeCell ref="B272:B273"/>
    <mergeCell ref="Q272:Q273"/>
    <mergeCell ref="A275:A276"/>
    <mergeCell ref="B275:B276"/>
    <mergeCell ref="Q275:Q276"/>
    <mergeCell ref="Q261:Q262"/>
    <mergeCell ref="A264:A265"/>
    <mergeCell ref="B264:B265"/>
    <mergeCell ref="Q264:Q265"/>
    <mergeCell ref="A269:A270"/>
    <mergeCell ref="B269:B270"/>
    <mergeCell ref="Q269:Q270"/>
    <mergeCell ref="D259:F259"/>
    <mergeCell ref="G259:I259"/>
    <mergeCell ref="J259:L259"/>
    <mergeCell ref="M259:O259"/>
    <mergeCell ref="A261:A262"/>
    <mergeCell ref="B261:B262"/>
    <mergeCell ref="A293:A294"/>
    <mergeCell ref="B293:B294"/>
    <mergeCell ref="K293:K294"/>
    <mergeCell ref="A296:A297"/>
    <mergeCell ref="B296:B297"/>
    <mergeCell ref="K296:K297"/>
    <mergeCell ref="A285:A286"/>
    <mergeCell ref="B285:B286"/>
    <mergeCell ref="K285:K286"/>
    <mergeCell ref="A288:A289"/>
    <mergeCell ref="B288:B289"/>
    <mergeCell ref="K288:K289"/>
    <mergeCell ref="D280:J280"/>
    <mergeCell ref="K280:K284"/>
    <mergeCell ref="D281:F282"/>
    <mergeCell ref="G281:I282"/>
    <mergeCell ref="J281:J284"/>
    <mergeCell ref="D283:F283"/>
    <mergeCell ref="G283:I283"/>
    <mergeCell ref="A316:A317"/>
    <mergeCell ref="B316:B317"/>
    <mergeCell ref="N316:N317"/>
    <mergeCell ref="A319:A320"/>
    <mergeCell ref="B319:B320"/>
    <mergeCell ref="N319:N320"/>
    <mergeCell ref="G306:I306"/>
    <mergeCell ref="J306:L306"/>
    <mergeCell ref="A308:A309"/>
    <mergeCell ref="B308:B309"/>
    <mergeCell ref="N308:N309"/>
    <mergeCell ref="A311:A312"/>
    <mergeCell ref="B311:B312"/>
    <mergeCell ref="N311:N312"/>
    <mergeCell ref="A299:A300"/>
    <mergeCell ref="B299:B300"/>
    <mergeCell ref="K299:K300"/>
    <mergeCell ref="D303:L303"/>
    <mergeCell ref="M303:M307"/>
    <mergeCell ref="N303:N307"/>
    <mergeCell ref="D304:F305"/>
    <mergeCell ref="G304:I305"/>
    <mergeCell ref="J304:L305"/>
    <mergeCell ref="D306:F306"/>
    <mergeCell ref="A339:A340"/>
    <mergeCell ref="B339:B340"/>
    <mergeCell ref="K339:K340"/>
    <mergeCell ref="A342:A343"/>
    <mergeCell ref="B342:B343"/>
    <mergeCell ref="K342:K343"/>
    <mergeCell ref="A331:A332"/>
    <mergeCell ref="B331:B332"/>
    <mergeCell ref="K331:K332"/>
    <mergeCell ref="A334:A335"/>
    <mergeCell ref="B334:B335"/>
    <mergeCell ref="K334:K335"/>
    <mergeCell ref="A322:A323"/>
    <mergeCell ref="B322:B323"/>
    <mergeCell ref="N322:N323"/>
    <mergeCell ref="D326:J326"/>
    <mergeCell ref="K326:K330"/>
    <mergeCell ref="D327:F328"/>
    <mergeCell ref="G327:I328"/>
    <mergeCell ref="J327:J330"/>
    <mergeCell ref="D329:F329"/>
    <mergeCell ref="G329:I329"/>
    <mergeCell ref="A362:A363"/>
    <mergeCell ref="B362:B363"/>
    <mergeCell ref="K362:K363"/>
    <mergeCell ref="A365:A366"/>
    <mergeCell ref="B365:B366"/>
    <mergeCell ref="K365:K366"/>
    <mergeCell ref="A354:A355"/>
    <mergeCell ref="B354:B355"/>
    <mergeCell ref="K354:K355"/>
    <mergeCell ref="A357:A358"/>
    <mergeCell ref="B357:B358"/>
    <mergeCell ref="K357:K358"/>
    <mergeCell ref="A345:A346"/>
    <mergeCell ref="B345:B346"/>
    <mergeCell ref="K345:K346"/>
    <mergeCell ref="D349:J349"/>
    <mergeCell ref="K349:K353"/>
    <mergeCell ref="D350:F351"/>
    <mergeCell ref="G350:I351"/>
    <mergeCell ref="J350:J353"/>
    <mergeCell ref="D352:F352"/>
    <mergeCell ref="G352:I352"/>
    <mergeCell ref="A385:A386"/>
    <mergeCell ref="B385:B386"/>
    <mergeCell ref="K385:K386"/>
    <mergeCell ref="A388:A389"/>
    <mergeCell ref="B388:B389"/>
    <mergeCell ref="K388:K389"/>
    <mergeCell ref="A377:A378"/>
    <mergeCell ref="B377:B378"/>
    <mergeCell ref="K377:K378"/>
    <mergeCell ref="A380:A381"/>
    <mergeCell ref="B380:B381"/>
    <mergeCell ref="K380:K381"/>
    <mergeCell ref="A368:A369"/>
    <mergeCell ref="B368:B369"/>
    <mergeCell ref="K368:K369"/>
    <mergeCell ref="D372:J372"/>
    <mergeCell ref="K372:K376"/>
    <mergeCell ref="D373:F374"/>
    <mergeCell ref="G373:I374"/>
    <mergeCell ref="J373:J376"/>
    <mergeCell ref="D375:F375"/>
    <mergeCell ref="G375:I375"/>
    <mergeCell ref="A408:A409"/>
    <mergeCell ref="B408:B409"/>
    <mergeCell ref="K408:K409"/>
    <mergeCell ref="A411:A412"/>
    <mergeCell ref="B411:B412"/>
    <mergeCell ref="K411:K412"/>
    <mergeCell ref="A400:A401"/>
    <mergeCell ref="B400:B401"/>
    <mergeCell ref="K400:K401"/>
    <mergeCell ref="A403:A404"/>
    <mergeCell ref="B403:B404"/>
    <mergeCell ref="K403:K404"/>
    <mergeCell ref="A391:A392"/>
    <mergeCell ref="B391:B392"/>
    <mergeCell ref="K391:K392"/>
    <mergeCell ref="D395:J395"/>
    <mergeCell ref="K395:K399"/>
    <mergeCell ref="D396:F397"/>
    <mergeCell ref="G396:I397"/>
    <mergeCell ref="J396:J399"/>
    <mergeCell ref="D398:F398"/>
    <mergeCell ref="G398:I398"/>
    <mergeCell ref="A431:A432"/>
    <mergeCell ref="B431:B432"/>
    <mergeCell ref="N431:N432"/>
    <mergeCell ref="A434:A435"/>
    <mergeCell ref="B434:B435"/>
    <mergeCell ref="N434:N435"/>
    <mergeCell ref="G421:I421"/>
    <mergeCell ref="J421:L421"/>
    <mergeCell ref="A423:A424"/>
    <mergeCell ref="B423:B424"/>
    <mergeCell ref="N423:N424"/>
    <mergeCell ref="A426:A427"/>
    <mergeCell ref="B426:B427"/>
    <mergeCell ref="N426:N427"/>
    <mergeCell ref="A414:A415"/>
    <mergeCell ref="B414:B415"/>
    <mergeCell ref="K414:K415"/>
    <mergeCell ref="D418:L418"/>
    <mergeCell ref="M418:M422"/>
    <mergeCell ref="N418:N422"/>
    <mergeCell ref="D419:F420"/>
    <mergeCell ref="G419:I420"/>
    <mergeCell ref="J419:L420"/>
    <mergeCell ref="D421:F421"/>
    <mergeCell ref="A454:A455"/>
    <mergeCell ref="B454:B455"/>
    <mergeCell ref="K454:K455"/>
    <mergeCell ref="A457:A458"/>
    <mergeCell ref="B457:B458"/>
    <mergeCell ref="K457:K458"/>
    <mergeCell ref="A446:A447"/>
    <mergeCell ref="B446:B447"/>
    <mergeCell ref="K446:K447"/>
    <mergeCell ref="A449:A450"/>
    <mergeCell ref="B449:B450"/>
    <mergeCell ref="K449:K450"/>
    <mergeCell ref="A437:A438"/>
    <mergeCell ref="B437:B438"/>
    <mergeCell ref="N437:N438"/>
    <mergeCell ref="D441:J441"/>
    <mergeCell ref="K441:K445"/>
    <mergeCell ref="D442:F443"/>
    <mergeCell ref="G442:I443"/>
    <mergeCell ref="J442:J445"/>
    <mergeCell ref="D444:F444"/>
    <mergeCell ref="G444:I444"/>
    <mergeCell ref="A477:A478"/>
    <mergeCell ref="B477:B478"/>
    <mergeCell ref="N477:N478"/>
    <mergeCell ref="A480:A481"/>
    <mergeCell ref="B480:B481"/>
    <mergeCell ref="N480:N481"/>
    <mergeCell ref="G467:I467"/>
    <mergeCell ref="J467:L467"/>
    <mergeCell ref="A469:A470"/>
    <mergeCell ref="B469:B470"/>
    <mergeCell ref="N469:N470"/>
    <mergeCell ref="A472:A473"/>
    <mergeCell ref="B472:B473"/>
    <mergeCell ref="N472:N473"/>
    <mergeCell ref="A460:A461"/>
    <mergeCell ref="B460:B461"/>
    <mergeCell ref="K460:K461"/>
    <mergeCell ref="D464:L464"/>
    <mergeCell ref="M464:M468"/>
    <mergeCell ref="N464:N468"/>
    <mergeCell ref="D465:F466"/>
    <mergeCell ref="G465:I466"/>
    <mergeCell ref="J465:L466"/>
    <mergeCell ref="D467:F467"/>
    <mergeCell ref="A499:A500"/>
    <mergeCell ref="B499:B500"/>
    <mergeCell ref="K499:K500"/>
    <mergeCell ref="A502:A503"/>
    <mergeCell ref="B502:B503"/>
    <mergeCell ref="K502:K503"/>
    <mergeCell ref="A491:A492"/>
    <mergeCell ref="B491:B492"/>
    <mergeCell ref="K491:K492"/>
    <mergeCell ref="A494:A495"/>
    <mergeCell ref="B494:B495"/>
    <mergeCell ref="K494:K495"/>
    <mergeCell ref="A483:A484"/>
    <mergeCell ref="B483:B484"/>
    <mergeCell ref="N483:N484"/>
    <mergeCell ref="D486:J486"/>
    <mergeCell ref="K486:K490"/>
    <mergeCell ref="D487:F488"/>
    <mergeCell ref="G487:I488"/>
    <mergeCell ref="J487:J490"/>
    <mergeCell ref="D489:F489"/>
    <mergeCell ref="G489:I489"/>
    <mergeCell ref="A522:A523"/>
    <mergeCell ref="B522:B523"/>
    <mergeCell ref="N522:N523"/>
    <mergeCell ref="A525:A526"/>
    <mergeCell ref="B525:B526"/>
    <mergeCell ref="N525:N526"/>
    <mergeCell ref="G512:I512"/>
    <mergeCell ref="J512:L512"/>
    <mergeCell ref="A514:A515"/>
    <mergeCell ref="B514:B515"/>
    <mergeCell ref="N514:N515"/>
    <mergeCell ref="A517:A518"/>
    <mergeCell ref="B517:B518"/>
    <mergeCell ref="N517:N518"/>
    <mergeCell ref="A505:A506"/>
    <mergeCell ref="B505:B506"/>
    <mergeCell ref="K505:K506"/>
    <mergeCell ref="D509:L509"/>
    <mergeCell ref="M509:M513"/>
    <mergeCell ref="N509:N513"/>
    <mergeCell ref="D510:F511"/>
    <mergeCell ref="G510:I511"/>
    <mergeCell ref="J510:L511"/>
    <mergeCell ref="D512:F512"/>
    <mergeCell ref="A544:A545"/>
    <mergeCell ref="B544:B545"/>
    <mergeCell ref="K544:K545"/>
    <mergeCell ref="A547:A548"/>
    <mergeCell ref="B547:B548"/>
    <mergeCell ref="K547:K548"/>
    <mergeCell ref="A536:A537"/>
    <mergeCell ref="B536:B537"/>
    <mergeCell ref="K536:K537"/>
    <mergeCell ref="A539:A540"/>
    <mergeCell ref="B539:B540"/>
    <mergeCell ref="K539:K540"/>
    <mergeCell ref="A528:A529"/>
    <mergeCell ref="B528:B529"/>
    <mergeCell ref="N528:N529"/>
    <mergeCell ref="D531:J531"/>
    <mergeCell ref="K531:K535"/>
    <mergeCell ref="D532:F533"/>
    <mergeCell ref="G532:I533"/>
    <mergeCell ref="J532:J535"/>
    <mergeCell ref="D534:F534"/>
    <mergeCell ref="G534:I534"/>
    <mergeCell ref="A567:A568"/>
    <mergeCell ref="B567:B568"/>
    <mergeCell ref="K567:K568"/>
    <mergeCell ref="A570:A571"/>
    <mergeCell ref="B570:B571"/>
    <mergeCell ref="K570:K571"/>
    <mergeCell ref="A559:A560"/>
    <mergeCell ref="B559:B560"/>
    <mergeCell ref="K559:K560"/>
    <mergeCell ref="A562:A563"/>
    <mergeCell ref="B562:B563"/>
    <mergeCell ref="K562:K563"/>
    <mergeCell ref="A550:A551"/>
    <mergeCell ref="B550:B551"/>
    <mergeCell ref="K550:K551"/>
    <mergeCell ref="D554:J554"/>
    <mergeCell ref="K554:K558"/>
    <mergeCell ref="D555:F556"/>
    <mergeCell ref="G555:I556"/>
    <mergeCell ref="J555:J558"/>
    <mergeCell ref="D557:F557"/>
    <mergeCell ref="G557:I557"/>
    <mergeCell ref="A590:A591"/>
    <mergeCell ref="B590:B591"/>
    <mergeCell ref="K590:K591"/>
    <mergeCell ref="A593:A594"/>
    <mergeCell ref="B593:B594"/>
    <mergeCell ref="K593:K594"/>
    <mergeCell ref="A582:A583"/>
    <mergeCell ref="B582:B583"/>
    <mergeCell ref="K582:K583"/>
    <mergeCell ref="A585:A586"/>
    <mergeCell ref="B585:B586"/>
    <mergeCell ref="K585:K586"/>
    <mergeCell ref="A573:A574"/>
    <mergeCell ref="B573:B574"/>
    <mergeCell ref="K573:K574"/>
    <mergeCell ref="D577:J577"/>
    <mergeCell ref="K577:K581"/>
    <mergeCell ref="D578:F579"/>
    <mergeCell ref="G578:I579"/>
    <mergeCell ref="J578:J581"/>
    <mergeCell ref="D580:F580"/>
    <mergeCell ref="G580:I580"/>
    <mergeCell ref="A613:A614"/>
    <mergeCell ref="B613:B614"/>
    <mergeCell ref="K613:K614"/>
    <mergeCell ref="A616:A617"/>
    <mergeCell ref="B616:B617"/>
    <mergeCell ref="K616:K617"/>
    <mergeCell ref="A605:A606"/>
    <mergeCell ref="B605:B606"/>
    <mergeCell ref="K605:K606"/>
    <mergeCell ref="A608:A609"/>
    <mergeCell ref="B608:B609"/>
    <mergeCell ref="K608:K609"/>
    <mergeCell ref="A596:A597"/>
    <mergeCell ref="B596:B597"/>
    <mergeCell ref="K596:K597"/>
    <mergeCell ref="D600:J600"/>
    <mergeCell ref="K600:K604"/>
    <mergeCell ref="D601:F602"/>
    <mergeCell ref="G601:I602"/>
    <mergeCell ref="J601:J604"/>
    <mergeCell ref="D603:F603"/>
    <mergeCell ref="G603:I603"/>
    <mergeCell ref="A636:A637"/>
    <mergeCell ref="B636:B637"/>
    <mergeCell ref="K636:K637"/>
    <mergeCell ref="A639:A640"/>
    <mergeCell ref="B639:B640"/>
    <mergeCell ref="K639:K640"/>
    <mergeCell ref="A628:A629"/>
    <mergeCell ref="B628:B629"/>
    <mergeCell ref="K628:K629"/>
    <mergeCell ref="A631:A632"/>
    <mergeCell ref="B631:B632"/>
    <mergeCell ref="K631:K632"/>
    <mergeCell ref="A619:A620"/>
    <mergeCell ref="B619:B620"/>
    <mergeCell ref="K619:K620"/>
    <mergeCell ref="D623:J623"/>
    <mergeCell ref="K623:K627"/>
    <mergeCell ref="D624:F625"/>
    <mergeCell ref="G624:I625"/>
    <mergeCell ref="J624:J627"/>
    <mergeCell ref="D626:F626"/>
    <mergeCell ref="G626:I626"/>
    <mergeCell ref="A659:A660"/>
    <mergeCell ref="B659:B660"/>
    <mergeCell ref="N659:N660"/>
    <mergeCell ref="A662:A663"/>
    <mergeCell ref="B662:B663"/>
    <mergeCell ref="N662:N663"/>
    <mergeCell ref="G649:I649"/>
    <mergeCell ref="J649:L649"/>
    <mergeCell ref="A651:A652"/>
    <mergeCell ref="B651:B652"/>
    <mergeCell ref="N651:N652"/>
    <mergeCell ref="A654:A655"/>
    <mergeCell ref="B654:B655"/>
    <mergeCell ref="N654:N655"/>
    <mergeCell ref="A642:A643"/>
    <mergeCell ref="B642:B643"/>
    <mergeCell ref="K642:K643"/>
    <mergeCell ref="D646:L646"/>
    <mergeCell ref="M646:M650"/>
    <mergeCell ref="N646:N650"/>
    <mergeCell ref="D647:F648"/>
    <mergeCell ref="G647:I648"/>
    <mergeCell ref="J647:L648"/>
    <mergeCell ref="D649:F649"/>
    <mergeCell ref="A682:A683"/>
    <mergeCell ref="B682:B683"/>
    <mergeCell ref="N682:N683"/>
    <mergeCell ref="A685:A686"/>
    <mergeCell ref="B685:B686"/>
    <mergeCell ref="N685:N686"/>
    <mergeCell ref="G672:I672"/>
    <mergeCell ref="J672:L672"/>
    <mergeCell ref="A674:A675"/>
    <mergeCell ref="B674:B675"/>
    <mergeCell ref="N674:N675"/>
    <mergeCell ref="A677:A678"/>
    <mergeCell ref="B677:B678"/>
    <mergeCell ref="N677:N678"/>
    <mergeCell ref="A665:A666"/>
    <mergeCell ref="B665:B666"/>
    <mergeCell ref="N665:N666"/>
    <mergeCell ref="D669:L669"/>
    <mergeCell ref="M669:M673"/>
    <mergeCell ref="N669:N673"/>
    <mergeCell ref="D670:F671"/>
    <mergeCell ref="G670:I671"/>
    <mergeCell ref="J670:L671"/>
    <mergeCell ref="D672:F672"/>
    <mergeCell ref="A705:A706"/>
    <mergeCell ref="B705:B706"/>
    <mergeCell ref="K705:K706"/>
    <mergeCell ref="A708:A709"/>
    <mergeCell ref="B708:B709"/>
    <mergeCell ref="K708:K709"/>
    <mergeCell ref="A697:A698"/>
    <mergeCell ref="B697:B698"/>
    <mergeCell ref="K697:K698"/>
    <mergeCell ref="A700:A701"/>
    <mergeCell ref="B700:B701"/>
    <mergeCell ref="K700:K701"/>
    <mergeCell ref="A688:A689"/>
    <mergeCell ref="B688:B689"/>
    <mergeCell ref="N688:N689"/>
    <mergeCell ref="D692:J692"/>
    <mergeCell ref="K692:K696"/>
    <mergeCell ref="D693:F694"/>
    <mergeCell ref="G693:I694"/>
    <mergeCell ref="J693:J696"/>
    <mergeCell ref="D695:F695"/>
    <mergeCell ref="G695:I695"/>
    <mergeCell ref="A728:A729"/>
    <mergeCell ref="B728:B729"/>
    <mergeCell ref="K728:K729"/>
    <mergeCell ref="A731:A732"/>
    <mergeCell ref="B731:B732"/>
    <mergeCell ref="K731:K732"/>
    <mergeCell ref="A720:A721"/>
    <mergeCell ref="B720:B721"/>
    <mergeCell ref="K720:K721"/>
    <mergeCell ref="A723:A724"/>
    <mergeCell ref="B723:B724"/>
    <mergeCell ref="K723:K724"/>
    <mergeCell ref="A711:A712"/>
    <mergeCell ref="B711:B712"/>
    <mergeCell ref="K711:K712"/>
    <mergeCell ref="D715:J715"/>
    <mergeCell ref="K715:K719"/>
    <mergeCell ref="D716:F717"/>
    <mergeCell ref="G716:I717"/>
    <mergeCell ref="J716:J719"/>
    <mergeCell ref="D718:F718"/>
    <mergeCell ref="G718:I718"/>
    <mergeCell ref="A751:A752"/>
    <mergeCell ref="B751:B752"/>
    <mergeCell ref="K751:K752"/>
    <mergeCell ref="A754:A755"/>
    <mergeCell ref="B754:B755"/>
    <mergeCell ref="K754:K755"/>
    <mergeCell ref="A743:A744"/>
    <mergeCell ref="B743:B744"/>
    <mergeCell ref="K743:K744"/>
    <mergeCell ref="A746:A747"/>
    <mergeCell ref="B746:B747"/>
    <mergeCell ref="K746:K747"/>
    <mergeCell ref="A734:A735"/>
    <mergeCell ref="B734:B735"/>
    <mergeCell ref="K734:K735"/>
    <mergeCell ref="D738:J738"/>
    <mergeCell ref="K738:K742"/>
    <mergeCell ref="D739:F740"/>
    <mergeCell ref="G739:I740"/>
    <mergeCell ref="J739:J742"/>
    <mergeCell ref="D741:F741"/>
    <mergeCell ref="G741:I741"/>
    <mergeCell ref="A774:A775"/>
    <mergeCell ref="B774:B775"/>
    <mergeCell ref="K774:K775"/>
    <mergeCell ref="A777:A778"/>
    <mergeCell ref="B777:B778"/>
    <mergeCell ref="K777:K778"/>
    <mergeCell ref="A766:A767"/>
    <mergeCell ref="B766:B767"/>
    <mergeCell ref="K766:K767"/>
    <mergeCell ref="A769:A770"/>
    <mergeCell ref="B769:B770"/>
    <mergeCell ref="K769:K770"/>
    <mergeCell ref="A757:A758"/>
    <mergeCell ref="B757:B758"/>
    <mergeCell ref="K757:K758"/>
    <mergeCell ref="D761:J761"/>
    <mergeCell ref="K761:K765"/>
    <mergeCell ref="D762:F763"/>
    <mergeCell ref="G762:I763"/>
    <mergeCell ref="J762:J765"/>
    <mergeCell ref="D764:F764"/>
    <mergeCell ref="G764:I764"/>
    <mergeCell ref="A797:A798"/>
    <mergeCell ref="B797:B798"/>
    <mergeCell ref="N797:N798"/>
    <mergeCell ref="A800:A801"/>
    <mergeCell ref="B800:B801"/>
    <mergeCell ref="N800:N801"/>
    <mergeCell ref="G787:I787"/>
    <mergeCell ref="J787:L787"/>
    <mergeCell ref="A789:A790"/>
    <mergeCell ref="B789:B790"/>
    <mergeCell ref="N789:N790"/>
    <mergeCell ref="A792:A793"/>
    <mergeCell ref="B792:B793"/>
    <mergeCell ref="N792:N793"/>
    <mergeCell ref="A780:A781"/>
    <mergeCell ref="B780:B781"/>
    <mergeCell ref="K780:K781"/>
    <mergeCell ref="D784:L784"/>
    <mergeCell ref="M784:M788"/>
    <mergeCell ref="N784:N788"/>
    <mergeCell ref="D785:F786"/>
    <mergeCell ref="G785:I786"/>
    <mergeCell ref="J785:L786"/>
    <mergeCell ref="D787:F787"/>
    <mergeCell ref="A821:A822"/>
    <mergeCell ref="B821:B822"/>
    <mergeCell ref="K821:K822"/>
    <mergeCell ref="A824:A825"/>
    <mergeCell ref="B824:B825"/>
    <mergeCell ref="K824:K825"/>
    <mergeCell ref="A813:A814"/>
    <mergeCell ref="B813:B814"/>
    <mergeCell ref="K813:K814"/>
    <mergeCell ref="A816:A817"/>
    <mergeCell ref="B816:B817"/>
    <mergeCell ref="K816:K817"/>
    <mergeCell ref="A803:A804"/>
    <mergeCell ref="B803:B804"/>
    <mergeCell ref="N803:N804"/>
    <mergeCell ref="D808:J808"/>
    <mergeCell ref="K808:K812"/>
    <mergeCell ref="D809:F810"/>
    <mergeCell ref="G809:I810"/>
    <mergeCell ref="J809:J812"/>
    <mergeCell ref="D811:F811"/>
    <mergeCell ref="G811:I811"/>
    <mergeCell ref="A844:A845"/>
    <mergeCell ref="B844:B845"/>
    <mergeCell ref="K844:K845"/>
    <mergeCell ref="A847:A848"/>
    <mergeCell ref="B847:B848"/>
    <mergeCell ref="K847:K848"/>
    <mergeCell ref="A836:A837"/>
    <mergeCell ref="B836:B837"/>
    <mergeCell ref="K836:K837"/>
    <mergeCell ref="A839:A840"/>
    <mergeCell ref="B839:B840"/>
    <mergeCell ref="K839:K840"/>
    <mergeCell ref="A827:A828"/>
    <mergeCell ref="B827:B828"/>
    <mergeCell ref="K827:K828"/>
    <mergeCell ref="D831:J831"/>
    <mergeCell ref="K831:K835"/>
    <mergeCell ref="D832:F833"/>
    <mergeCell ref="G832:I833"/>
    <mergeCell ref="J832:J835"/>
    <mergeCell ref="D834:F834"/>
    <mergeCell ref="G834:I834"/>
    <mergeCell ref="A867:A868"/>
    <mergeCell ref="B867:B868"/>
    <mergeCell ref="N867:N868"/>
    <mergeCell ref="A870:A871"/>
    <mergeCell ref="B870:B871"/>
    <mergeCell ref="N870:N871"/>
    <mergeCell ref="G857:I857"/>
    <mergeCell ref="J857:L857"/>
    <mergeCell ref="A859:A860"/>
    <mergeCell ref="B859:B860"/>
    <mergeCell ref="N859:N860"/>
    <mergeCell ref="A862:A863"/>
    <mergeCell ref="B862:B863"/>
    <mergeCell ref="N862:N863"/>
    <mergeCell ref="A850:A851"/>
    <mergeCell ref="B850:B851"/>
    <mergeCell ref="K850:K851"/>
    <mergeCell ref="D854:L854"/>
    <mergeCell ref="M854:M858"/>
    <mergeCell ref="N854:N858"/>
    <mergeCell ref="D855:F856"/>
    <mergeCell ref="G855:I856"/>
    <mergeCell ref="J855:L856"/>
    <mergeCell ref="D857:F857"/>
    <mergeCell ref="A890:A891"/>
    <mergeCell ref="B890:B891"/>
    <mergeCell ref="K890:K891"/>
    <mergeCell ref="A893:A894"/>
    <mergeCell ref="B893:B894"/>
    <mergeCell ref="K893:K894"/>
    <mergeCell ref="A882:A883"/>
    <mergeCell ref="B882:B883"/>
    <mergeCell ref="K882:K883"/>
    <mergeCell ref="A885:A886"/>
    <mergeCell ref="B885:B886"/>
    <mergeCell ref="K885:K886"/>
    <mergeCell ref="A873:A874"/>
    <mergeCell ref="B873:B874"/>
    <mergeCell ref="N873:N874"/>
    <mergeCell ref="D877:J877"/>
    <mergeCell ref="K877:K881"/>
    <mergeCell ref="D878:F879"/>
    <mergeCell ref="G878:I879"/>
    <mergeCell ref="J878:J881"/>
    <mergeCell ref="D880:F880"/>
    <mergeCell ref="G880:I880"/>
    <mergeCell ref="A913:A914"/>
    <mergeCell ref="B913:B914"/>
    <mergeCell ref="K913:K914"/>
    <mergeCell ref="A916:A917"/>
    <mergeCell ref="B916:B917"/>
    <mergeCell ref="K916:K917"/>
    <mergeCell ref="A905:A906"/>
    <mergeCell ref="B905:B906"/>
    <mergeCell ref="K905:K906"/>
    <mergeCell ref="A908:A909"/>
    <mergeCell ref="B908:B909"/>
    <mergeCell ref="K908:K909"/>
    <mergeCell ref="A896:A897"/>
    <mergeCell ref="B896:B897"/>
    <mergeCell ref="K896:K897"/>
    <mergeCell ref="D900:J900"/>
    <mergeCell ref="K900:K904"/>
    <mergeCell ref="D901:F902"/>
    <mergeCell ref="G901:I902"/>
    <mergeCell ref="J901:J904"/>
    <mergeCell ref="D903:F903"/>
    <mergeCell ref="G903:I903"/>
    <mergeCell ref="A936:A937"/>
    <mergeCell ref="B936:B937"/>
    <mergeCell ref="K936:K937"/>
    <mergeCell ref="A939:A940"/>
    <mergeCell ref="B939:B940"/>
    <mergeCell ref="K939:K940"/>
    <mergeCell ref="A928:A929"/>
    <mergeCell ref="B928:B929"/>
    <mergeCell ref="K928:K929"/>
    <mergeCell ref="A931:A932"/>
    <mergeCell ref="B931:B932"/>
    <mergeCell ref="K931:K932"/>
    <mergeCell ref="A919:A920"/>
    <mergeCell ref="B919:B920"/>
    <mergeCell ref="K919:K920"/>
    <mergeCell ref="D923:J923"/>
    <mergeCell ref="K923:K927"/>
    <mergeCell ref="D924:F925"/>
    <mergeCell ref="G924:I925"/>
    <mergeCell ref="J924:J927"/>
    <mergeCell ref="D926:F926"/>
    <mergeCell ref="G926:I926"/>
    <mergeCell ref="A959:A960"/>
    <mergeCell ref="B959:B960"/>
    <mergeCell ref="K959:K960"/>
    <mergeCell ref="A962:A963"/>
    <mergeCell ref="B962:B963"/>
    <mergeCell ref="K962:K963"/>
    <mergeCell ref="A951:A952"/>
    <mergeCell ref="B951:B952"/>
    <mergeCell ref="K951:K952"/>
    <mergeCell ref="A954:A955"/>
    <mergeCell ref="B954:B955"/>
    <mergeCell ref="K954:K955"/>
    <mergeCell ref="A942:A943"/>
    <mergeCell ref="B942:B943"/>
    <mergeCell ref="K942:K943"/>
    <mergeCell ref="D946:J946"/>
    <mergeCell ref="K946:K950"/>
    <mergeCell ref="D947:F948"/>
    <mergeCell ref="G947:I948"/>
    <mergeCell ref="J947:J950"/>
    <mergeCell ref="D949:F949"/>
    <mergeCell ref="G949:I949"/>
    <mergeCell ref="A982:A983"/>
    <mergeCell ref="B982:B983"/>
    <mergeCell ref="K982:K983"/>
    <mergeCell ref="A985:A986"/>
    <mergeCell ref="B985:B986"/>
    <mergeCell ref="K985:K986"/>
    <mergeCell ref="A974:A975"/>
    <mergeCell ref="B974:B975"/>
    <mergeCell ref="K974:K975"/>
    <mergeCell ref="A977:A978"/>
    <mergeCell ref="B977:B978"/>
    <mergeCell ref="K977:K978"/>
    <mergeCell ref="A965:A966"/>
    <mergeCell ref="B965:B966"/>
    <mergeCell ref="K965:K966"/>
    <mergeCell ref="D969:J969"/>
    <mergeCell ref="K969:K973"/>
    <mergeCell ref="D970:F971"/>
    <mergeCell ref="G970:I971"/>
    <mergeCell ref="J970:J973"/>
    <mergeCell ref="D972:F972"/>
    <mergeCell ref="G972:I972"/>
    <mergeCell ref="A1005:A1006"/>
    <mergeCell ref="B1005:B1006"/>
    <mergeCell ref="K1005:K1006"/>
    <mergeCell ref="A1008:A1009"/>
    <mergeCell ref="B1008:B1009"/>
    <mergeCell ref="K1008:K1009"/>
    <mergeCell ref="A997:A998"/>
    <mergeCell ref="B997:B998"/>
    <mergeCell ref="K997:K998"/>
    <mergeCell ref="A1000:A1001"/>
    <mergeCell ref="B1000:B1001"/>
    <mergeCell ref="K1000:K1001"/>
    <mergeCell ref="A988:A989"/>
    <mergeCell ref="B988:B989"/>
    <mergeCell ref="K988:K989"/>
    <mergeCell ref="D992:J992"/>
    <mergeCell ref="K992:K996"/>
    <mergeCell ref="D993:F994"/>
    <mergeCell ref="G993:I994"/>
    <mergeCell ref="J993:J996"/>
    <mergeCell ref="D995:F995"/>
    <mergeCell ref="G995:I995"/>
    <mergeCell ref="A1034:A1035"/>
    <mergeCell ref="B1034:B1035"/>
    <mergeCell ref="K1034:K1035"/>
    <mergeCell ref="A1028:A1029"/>
    <mergeCell ref="B1028:B1029"/>
    <mergeCell ref="K1028:K1029"/>
    <mergeCell ref="A1031:A1032"/>
    <mergeCell ref="B1031:B1032"/>
    <mergeCell ref="K1031:K1032"/>
    <mergeCell ref="A1020:A1021"/>
    <mergeCell ref="B1020:B1021"/>
    <mergeCell ref="K1020:K1021"/>
    <mergeCell ref="A1023:A1024"/>
    <mergeCell ref="B1023:B1024"/>
    <mergeCell ref="K1023:K1024"/>
    <mergeCell ref="A1011:A1012"/>
    <mergeCell ref="B1011:B1012"/>
    <mergeCell ref="K1011:K1012"/>
    <mergeCell ref="D1015:J1015"/>
    <mergeCell ref="K1015:K1019"/>
    <mergeCell ref="D1016:F1017"/>
    <mergeCell ref="G1016:I1017"/>
    <mergeCell ref="J1016:J1019"/>
    <mergeCell ref="D1018:F1018"/>
    <mergeCell ref="G1018:I10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O459"/>
  <sheetViews>
    <sheetView zoomScale="55" zoomScaleNormal="55" workbookViewId="0">
      <selection activeCell="B6" sqref="B6:N6"/>
    </sheetView>
  </sheetViews>
  <sheetFormatPr baseColWidth="10" defaultRowHeight="15.75"/>
  <cols>
    <col min="1" max="1" width="6.5703125" style="102" customWidth="1"/>
    <col min="2" max="2" width="14" style="102" customWidth="1"/>
    <col min="3" max="3" width="37" style="102" customWidth="1"/>
    <col min="4" max="4" width="22.85546875" style="102" customWidth="1"/>
    <col min="5" max="5" width="27.5703125" style="102" customWidth="1"/>
    <col min="6" max="6" width="22.28515625" style="102" customWidth="1"/>
    <col min="7" max="7" width="15.7109375" style="102" customWidth="1"/>
    <col min="8" max="8" width="20.85546875" style="102" customWidth="1"/>
    <col min="9" max="9" width="25.85546875" style="102" customWidth="1"/>
    <col min="10" max="10" width="39.42578125" style="102" customWidth="1"/>
    <col min="11" max="11" width="49.140625" style="102" customWidth="1"/>
    <col min="12" max="12" width="43.140625" style="102" customWidth="1"/>
    <col min="13" max="13" width="17" style="102" bestFit="1" customWidth="1"/>
    <col min="14" max="14" width="70.85546875" style="102" customWidth="1"/>
    <col min="15" max="15" width="7.140625" style="101" customWidth="1"/>
    <col min="16" max="237" width="10.85546875" style="102"/>
    <col min="238" max="238" width="2.5703125" style="102" customWidth="1"/>
    <col min="239" max="239" width="13.7109375" style="102" customWidth="1"/>
    <col min="240" max="240" width="26.7109375" style="102" customWidth="1"/>
    <col min="241" max="241" width="38.42578125" style="102" customWidth="1"/>
    <col min="242" max="242" width="13.5703125" style="102" customWidth="1"/>
    <col min="243" max="243" width="13.85546875" style="102" customWidth="1"/>
    <col min="244" max="244" width="19.7109375" style="102" customWidth="1"/>
    <col min="245" max="247" width="10.85546875" style="102"/>
    <col min="248" max="248" width="17.5703125" style="102" customWidth="1"/>
    <col min="249" max="249" width="10.85546875" style="102"/>
    <col min="250" max="250" width="20.28515625" style="102" bestFit="1" customWidth="1"/>
    <col min="251" max="493" width="10.85546875" style="102"/>
    <col min="494" max="494" width="2.5703125" style="102" customWidth="1"/>
    <col min="495" max="495" width="13.7109375" style="102" customWidth="1"/>
    <col min="496" max="496" width="26.7109375" style="102" customWidth="1"/>
    <col min="497" max="497" width="38.42578125" style="102" customWidth="1"/>
    <col min="498" max="498" width="13.5703125" style="102" customWidth="1"/>
    <col min="499" max="499" width="13.85546875" style="102" customWidth="1"/>
    <col min="500" max="500" width="19.7109375" style="102" customWidth="1"/>
    <col min="501" max="503" width="10.85546875" style="102"/>
    <col min="504" max="504" width="17.5703125" style="102" customWidth="1"/>
    <col min="505" max="505" width="10.85546875" style="102"/>
    <col min="506" max="506" width="20.28515625" style="102" bestFit="1" customWidth="1"/>
    <col min="507" max="749" width="10.85546875" style="102"/>
    <col min="750" max="750" width="2.5703125" style="102" customWidth="1"/>
    <col min="751" max="751" width="13.7109375" style="102" customWidth="1"/>
    <col min="752" max="752" width="26.7109375" style="102" customWidth="1"/>
    <col min="753" max="753" width="38.42578125" style="102" customWidth="1"/>
    <col min="754" max="754" width="13.5703125" style="102" customWidth="1"/>
    <col min="755" max="755" width="13.85546875" style="102" customWidth="1"/>
    <col min="756" max="756" width="19.7109375" style="102" customWidth="1"/>
    <col min="757" max="759" width="10.85546875" style="102"/>
    <col min="760" max="760" width="17.5703125" style="102" customWidth="1"/>
    <col min="761" max="761" width="10.85546875" style="102"/>
    <col min="762" max="762" width="20.28515625" style="102" bestFit="1" customWidth="1"/>
    <col min="763" max="1005" width="10.85546875" style="102"/>
    <col min="1006" max="1006" width="2.5703125" style="102" customWidth="1"/>
    <col min="1007" max="1007" width="13.7109375" style="102" customWidth="1"/>
    <col min="1008" max="1008" width="26.7109375" style="102" customWidth="1"/>
    <col min="1009" max="1009" width="38.42578125" style="102" customWidth="1"/>
    <col min="1010" max="1010" width="13.5703125" style="102" customWidth="1"/>
    <col min="1011" max="1011" width="13.85546875" style="102" customWidth="1"/>
    <col min="1012" max="1012" width="19.7109375" style="102" customWidth="1"/>
    <col min="1013" max="1015" width="10.85546875" style="102"/>
    <col min="1016" max="1016" width="17.5703125" style="102" customWidth="1"/>
    <col min="1017" max="1017" width="10.85546875" style="102"/>
    <col min="1018" max="1018" width="20.28515625" style="102" bestFit="1" customWidth="1"/>
    <col min="1019" max="1261" width="10.85546875" style="102"/>
    <col min="1262" max="1262" width="2.5703125" style="102" customWidth="1"/>
    <col min="1263" max="1263" width="13.7109375" style="102" customWidth="1"/>
    <col min="1264" max="1264" width="26.7109375" style="102" customWidth="1"/>
    <col min="1265" max="1265" width="38.42578125" style="102" customWidth="1"/>
    <col min="1266" max="1266" width="13.5703125" style="102" customWidth="1"/>
    <col min="1267" max="1267" width="13.85546875" style="102" customWidth="1"/>
    <col min="1268" max="1268" width="19.7109375" style="102" customWidth="1"/>
    <col min="1269" max="1271" width="10.85546875" style="102"/>
    <col min="1272" max="1272" width="17.5703125" style="102" customWidth="1"/>
    <col min="1273" max="1273" width="10.85546875" style="102"/>
    <col min="1274" max="1274" width="20.28515625" style="102" bestFit="1" customWidth="1"/>
    <col min="1275" max="1517" width="10.85546875" style="102"/>
    <col min="1518" max="1518" width="2.5703125" style="102" customWidth="1"/>
    <col min="1519" max="1519" width="13.7109375" style="102" customWidth="1"/>
    <col min="1520" max="1520" width="26.7109375" style="102" customWidth="1"/>
    <col min="1521" max="1521" width="38.42578125" style="102" customWidth="1"/>
    <col min="1522" max="1522" width="13.5703125" style="102" customWidth="1"/>
    <col min="1523" max="1523" width="13.85546875" style="102" customWidth="1"/>
    <col min="1524" max="1524" width="19.7109375" style="102" customWidth="1"/>
    <col min="1525" max="1527" width="10.85546875" style="102"/>
    <col min="1528" max="1528" width="17.5703125" style="102" customWidth="1"/>
    <col min="1529" max="1529" width="10.85546875" style="102"/>
    <col min="1530" max="1530" width="20.28515625" style="102" bestFit="1" customWidth="1"/>
    <col min="1531" max="1773" width="10.85546875" style="102"/>
    <col min="1774" max="1774" width="2.5703125" style="102" customWidth="1"/>
    <col min="1775" max="1775" width="13.7109375" style="102" customWidth="1"/>
    <col min="1776" max="1776" width="26.7109375" style="102" customWidth="1"/>
    <col min="1777" max="1777" width="38.42578125" style="102" customWidth="1"/>
    <col min="1778" max="1778" width="13.5703125" style="102" customWidth="1"/>
    <col min="1779" max="1779" width="13.85546875" style="102" customWidth="1"/>
    <col min="1780" max="1780" width="19.7109375" style="102" customWidth="1"/>
    <col min="1781" max="1783" width="10.85546875" style="102"/>
    <col min="1784" max="1784" width="17.5703125" style="102" customWidth="1"/>
    <col min="1785" max="1785" width="10.85546875" style="102"/>
    <col min="1786" max="1786" width="20.28515625" style="102" bestFit="1" customWidth="1"/>
    <col min="1787" max="2029" width="10.85546875" style="102"/>
    <col min="2030" max="2030" width="2.5703125" style="102" customWidth="1"/>
    <col min="2031" max="2031" width="13.7109375" style="102" customWidth="1"/>
    <col min="2032" max="2032" width="26.7109375" style="102" customWidth="1"/>
    <col min="2033" max="2033" width="38.42578125" style="102" customWidth="1"/>
    <col min="2034" max="2034" width="13.5703125" style="102" customWidth="1"/>
    <col min="2035" max="2035" width="13.85546875" style="102" customWidth="1"/>
    <col min="2036" max="2036" width="19.7109375" style="102" customWidth="1"/>
    <col min="2037" max="2039" width="10.85546875" style="102"/>
    <col min="2040" max="2040" width="17.5703125" style="102" customWidth="1"/>
    <col min="2041" max="2041" width="10.85546875" style="102"/>
    <col min="2042" max="2042" width="20.28515625" style="102" bestFit="1" customWidth="1"/>
    <col min="2043" max="2285" width="10.85546875" style="102"/>
    <col min="2286" max="2286" width="2.5703125" style="102" customWidth="1"/>
    <col min="2287" max="2287" width="13.7109375" style="102" customWidth="1"/>
    <col min="2288" max="2288" width="26.7109375" style="102" customWidth="1"/>
    <col min="2289" max="2289" width="38.42578125" style="102" customWidth="1"/>
    <col min="2290" max="2290" width="13.5703125" style="102" customWidth="1"/>
    <col min="2291" max="2291" width="13.85546875" style="102" customWidth="1"/>
    <col min="2292" max="2292" width="19.7109375" style="102" customWidth="1"/>
    <col min="2293" max="2295" width="10.85546875" style="102"/>
    <col min="2296" max="2296" width="17.5703125" style="102" customWidth="1"/>
    <col min="2297" max="2297" width="10.85546875" style="102"/>
    <col min="2298" max="2298" width="20.28515625" style="102" bestFit="1" customWidth="1"/>
    <col min="2299" max="2541" width="10.85546875" style="102"/>
    <col min="2542" max="2542" width="2.5703125" style="102" customWidth="1"/>
    <col min="2543" max="2543" width="13.7109375" style="102" customWidth="1"/>
    <col min="2544" max="2544" width="26.7109375" style="102" customWidth="1"/>
    <col min="2545" max="2545" width="38.42578125" style="102" customWidth="1"/>
    <col min="2546" max="2546" width="13.5703125" style="102" customWidth="1"/>
    <col min="2547" max="2547" width="13.85546875" style="102" customWidth="1"/>
    <col min="2548" max="2548" width="19.7109375" style="102" customWidth="1"/>
    <col min="2549" max="2551" width="10.85546875" style="102"/>
    <col min="2552" max="2552" width="17.5703125" style="102" customWidth="1"/>
    <col min="2553" max="2553" width="10.85546875" style="102"/>
    <col min="2554" max="2554" width="20.28515625" style="102" bestFit="1" customWidth="1"/>
    <col min="2555" max="2797" width="10.85546875" style="102"/>
    <col min="2798" max="2798" width="2.5703125" style="102" customWidth="1"/>
    <col min="2799" max="2799" width="13.7109375" style="102" customWidth="1"/>
    <col min="2800" max="2800" width="26.7109375" style="102" customWidth="1"/>
    <col min="2801" max="2801" width="38.42578125" style="102" customWidth="1"/>
    <col min="2802" max="2802" width="13.5703125" style="102" customWidth="1"/>
    <col min="2803" max="2803" width="13.85546875" style="102" customWidth="1"/>
    <col min="2804" max="2804" width="19.7109375" style="102" customWidth="1"/>
    <col min="2805" max="2807" width="10.85546875" style="102"/>
    <col min="2808" max="2808" width="17.5703125" style="102" customWidth="1"/>
    <col min="2809" max="2809" width="10.85546875" style="102"/>
    <col min="2810" max="2810" width="20.28515625" style="102" bestFit="1" customWidth="1"/>
    <col min="2811" max="3053" width="10.85546875" style="102"/>
    <col min="3054" max="3054" width="2.5703125" style="102" customWidth="1"/>
    <col min="3055" max="3055" width="13.7109375" style="102" customWidth="1"/>
    <col min="3056" max="3056" width="26.7109375" style="102" customWidth="1"/>
    <col min="3057" max="3057" width="38.42578125" style="102" customWidth="1"/>
    <col min="3058" max="3058" width="13.5703125" style="102" customWidth="1"/>
    <col min="3059" max="3059" width="13.85546875" style="102" customWidth="1"/>
    <col min="3060" max="3060" width="19.7109375" style="102" customWidth="1"/>
    <col min="3061" max="3063" width="10.85546875" style="102"/>
    <col min="3064" max="3064" width="17.5703125" style="102" customWidth="1"/>
    <col min="3065" max="3065" width="10.85546875" style="102"/>
    <col min="3066" max="3066" width="20.28515625" style="102" bestFit="1" customWidth="1"/>
    <col min="3067" max="3309" width="10.85546875" style="102"/>
    <col min="3310" max="3310" width="2.5703125" style="102" customWidth="1"/>
    <col min="3311" max="3311" width="13.7109375" style="102" customWidth="1"/>
    <col min="3312" max="3312" width="26.7109375" style="102" customWidth="1"/>
    <col min="3313" max="3313" width="38.42578125" style="102" customWidth="1"/>
    <col min="3314" max="3314" width="13.5703125" style="102" customWidth="1"/>
    <col min="3315" max="3315" width="13.85546875" style="102" customWidth="1"/>
    <col min="3316" max="3316" width="19.7109375" style="102" customWidth="1"/>
    <col min="3317" max="3319" width="10.85546875" style="102"/>
    <col min="3320" max="3320" width="17.5703125" style="102" customWidth="1"/>
    <col min="3321" max="3321" width="10.85546875" style="102"/>
    <col min="3322" max="3322" width="20.28515625" style="102" bestFit="1" customWidth="1"/>
    <col min="3323" max="3565" width="10.85546875" style="102"/>
    <col min="3566" max="3566" width="2.5703125" style="102" customWidth="1"/>
    <col min="3567" max="3567" width="13.7109375" style="102" customWidth="1"/>
    <col min="3568" max="3568" width="26.7109375" style="102" customWidth="1"/>
    <col min="3569" max="3569" width="38.42578125" style="102" customWidth="1"/>
    <col min="3570" max="3570" width="13.5703125" style="102" customWidth="1"/>
    <col min="3571" max="3571" width="13.85546875" style="102" customWidth="1"/>
    <col min="3572" max="3572" width="19.7109375" style="102" customWidth="1"/>
    <col min="3573" max="3575" width="10.85546875" style="102"/>
    <col min="3576" max="3576" width="17.5703125" style="102" customWidth="1"/>
    <col min="3577" max="3577" width="10.85546875" style="102"/>
    <col min="3578" max="3578" width="20.28515625" style="102" bestFit="1" customWidth="1"/>
    <col min="3579" max="3821" width="10.85546875" style="102"/>
    <col min="3822" max="3822" width="2.5703125" style="102" customWidth="1"/>
    <col min="3823" max="3823" width="13.7109375" style="102" customWidth="1"/>
    <col min="3824" max="3824" width="26.7109375" style="102" customWidth="1"/>
    <col min="3825" max="3825" width="38.42578125" style="102" customWidth="1"/>
    <col min="3826" max="3826" width="13.5703125" style="102" customWidth="1"/>
    <col min="3827" max="3827" width="13.85546875" style="102" customWidth="1"/>
    <col min="3828" max="3828" width="19.7109375" style="102" customWidth="1"/>
    <col min="3829" max="3831" width="10.85546875" style="102"/>
    <col min="3832" max="3832" width="17.5703125" style="102" customWidth="1"/>
    <col min="3833" max="3833" width="10.85546875" style="102"/>
    <col min="3834" max="3834" width="20.28515625" style="102" bestFit="1" customWidth="1"/>
    <col min="3835" max="4077" width="10.85546875" style="102"/>
    <col min="4078" max="4078" width="2.5703125" style="102" customWidth="1"/>
    <col min="4079" max="4079" width="13.7109375" style="102" customWidth="1"/>
    <col min="4080" max="4080" width="26.7109375" style="102" customWidth="1"/>
    <col min="4081" max="4081" width="38.42578125" style="102" customWidth="1"/>
    <col min="4082" max="4082" width="13.5703125" style="102" customWidth="1"/>
    <col min="4083" max="4083" width="13.85546875" style="102" customWidth="1"/>
    <col min="4084" max="4084" width="19.7109375" style="102" customWidth="1"/>
    <col min="4085" max="4087" width="10.85546875" style="102"/>
    <col min="4088" max="4088" width="17.5703125" style="102" customWidth="1"/>
    <col min="4089" max="4089" width="10.85546875" style="102"/>
    <col min="4090" max="4090" width="20.28515625" style="102" bestFit="1" customWidth="1"/>
    <col min="4091" max="4333" width="10.85546875" style="102"/>
    <col min="4334" max="4334" width="2.5703125" style="102" customWidth="1"/>
    <col min="4335" max="4335" width="13.7109375" style="102" customWidth="1"/>
    <col min="4336" max="4336" width="26.7109375" style="102" customWidth="1"/>
    <col min="4337" max="4337" width="38.42578125" style="102" customWidth="1"/>
    <col min="4338" max="4338" width="13.5703125" style="102" customWidth="1"/>
    <col min="4339" max="4339" width="13.85546875" style="102" customWidth="1"/>
    <col min="4340" max="4340" width="19.7109375" style="102" customWidth="1"/>
    <col min="4341" max="4343" width="10.85546875" style="102"/>
    <col min="4344" max="4344" width="17.5703125" style="102" customWidth="1"/>
    <col min="4345" max="4345" width="10.85546875" style="102"/>
    <col min="4346" max="4346" width="20.28515625" style="102" bestFit="1" customWidth="1"/>
    <col min="4347" max="4589" width="10.85546875" style="102"/>
    <col min="4590" max="4590" width="2.5703125" style="102" customWidth="1"/>
    <col min="4591" max="4591" width="13.7109375" style="102" customWidth="1"/>
    <col min="4592" max="4592" width="26.7109375" style="102" customWidth="1"/>
    <col min="4593" max="4593" width="38.42578125" style="102" customWidth="1"/>
    <col min="4594" max="4594" width="13.5703125" style="102" customWidth="1"/>
    <col min="4595" max="4595" width="13.85546875" style="102" customWidth="1"/>
    <col min="4596" max="4596" width="19.7109375" style="102" customWidth="1"/>
    <col min="4597" max="4599" width="10.85546875" style="102"/>
    <col min="4600" max="4600" width="17.5703125" style="102" customWidth="1"/>
    <col min="4601" max="4601" width="10.85546875" style="102"/>
    <col min="4602" max="4602" width="20.28515625" style="102" bestFit="1" customWidth="1"/>
    <col min="4603" max="4845" width="10.85546875" style="102"/>
    <col min="4846" max="4846" width="2.5703125" style="102" customWidth="1"/>
    <col min="4847" max="4847" width="13.7109375" style="102" customWidth="1"/>
    <col min="4848" max="4848" width="26.7109375" style="102" customWidth="1"/>
    <col min="4849" max="4849" width="38.42578125" style="102" customWidth="1"/>
    <col min="4850" max="4850" width="13.5703125" style="102" customWidth="1"/>
    <col min="4851" max="4851" width="13.85546875" style="102" customWidth="1"/>
    <col min="4852" max="4852" width="19.7109375" style="102" customWidth="1"/>
    <col min="4853" max="4855" width="10.85546875" style="102"/>
    <col min="4856" max="4856" width="17.5703125" style="102" customWidth="1"/>
    <col min="4857" max="4857" width="10.85546875" style="102"/>
    <col min="4858" max="4858" width="20.28515625" style="102" bestFit="1" customWidth="1"/>
    <col min="4859" max="5101" width="10.85546875" style="102"/>
    <col min="5102" max="5102" width="2.5703125" style="102" customWidth="1"/>
    <col min="5103" max="5103" width="13.7109375" style="102" customWidth="1"/>
    <col min="5104" max="5104" width="26.7109375" style="102" customWidth="1"/>
    <col min="5105" max="5105" width="38.42578125" style="102" customWidth="1"/>
    <col min="5106" max="5106" width="13.5703125" style="102" customWidth="1"/>
    <col min="5107" max="5107" width="13.85546875" style="102" customWidth="1"/>
    <col min="5108" max="5108" width="19.7109375" style="102" customWidth="1"/>
    <col min="5109" max="5111" width="10.85546875" style="102"/>
    <col min="5112" max="5112" width="17.5703125" style="102" customWidth="1"/>
    <col min="5113" max="5113" width="10.85546875" style="102"/>
    <col min="5114" max="5114" width="20.28515625" style="102" bestFit="1" customWidth="1"/>
    <col min="5115" max="5357" width="10.85546875" style="102"/>
    <col min="5358" max="5358" width="2.5703125" style="102" customWidth="1"/>
    <col min="5359" max="5359" width="13.7109375" style="102" customWidth="1"/>
    <col min="5360" max="5360" width="26.7109375" style="102" customWidth="1"/>
    <col min="5361" max="5361" width="38.42578125" style="102" customWidth="1"/>
    <col min="5362" max="5362" width="13.5703125" style="102" customWidth="1"/>
    <col min="5363" max="5363" width="13.85546875" style="102" customWidth="1"/>
    <col min="5364" max="5364" width="19.7109375" style="102" customWidth="1"/>
    <col min="5365" max="5367" width="10.85546875" style="102"/>
    <col min="5368" max="5368" width="17.5703125" style="102" customWidth="1"/>
    <col min="5369" max="5369" width="10.85546875" style="102"/>
    <col min="5370" max="5370" width="20.28515625" style="102" bestFit="1" customWidth="1"/>
    <col min="5371" max="5613" width="10.85546875" style="102"/>
    <col min="5614" max="5614" width="2.5703125" style="102" customWidth="1"/>
    <col min="5615" max="5615" width="13.7109375" style="102" customWidth="1"/>
    <col min="5616" max="5616" width="26.7109375" style="102" customWidth="1"/>
    <col min="5617" max="5617" width="38.42578125" style="102" customWidth="1"/>
    <col min="5618" max="5618" width="13.5703125" style="102" customWidth="1"/>
    <col min="5619" max="5619" width="13.85546875" style="102" customWidth="1"/>
    <col min="5620" max="5620" width="19.7109375" style="102" customWidth="1"/>
    <col min="5621" max="5623" width="10.85546875" style="102"/>
    <col min="5624" max="5624" width="17.5703125" style="102" customWidth="1"/>
    <col min="5625" max="5625" width="10.85546875" style="102"/>
    <col min="5626" max="5626" width="20.28515625" style="102" bestFit="1" customWidth="1"/>
    <col min="5627" max="5869" width="10.85546875" style="102"/>
    <col min="5870" max="5870" width="2.5703125" style="102" customWidth="1"/>
    <col min="5871" max="5871" width="13.7109375" style="102" customWidth="1"/>
    <col min="5872" max="5872" width="26.7109375" style="102" customWidth="1"/>
    <col min="5873" max="5873" width="38.42578125" style="102" customWidth="1"/>
    <col min="5874" max="5874" width="13.5703125" style="102" customWidth="1"/>
    <col min="5875" max="5875" width="13.85546875" style="102" customWidth="1"/>
    <col min="5876" max="5876" width="19.7109375" style="102" customWidth="1"/>
    <col min="5877" max="5879" width="10.85546875" style="102"/>
    <col min="5880" max="5880" width="17.5703125" style="102" customWidth="1"/>
    <col min="5881" max="5881" width="10.85546875" style="102"/>
    <col min="5882" max="5882" width="20.28515625" style="102" bestFit="1" customWidth="1"/>
    <col min="5883" max="6125" width="10.85546875" style="102"/>
    <col min="6126" max="6126" width="2.5703125" style="102" customWidth="1"/>
    <col min="6127" max="6127" width="13.7109375" style="102" customWidth="1"/>
    <col min="6128" max="6128" width="26.7109375" style="102" customWidth="1"/>
    <col min="6129" max="6129" width="38.42578125" style="102" customWidth="1"/>
    <col min="6130" max="6130" width="13.5703125" style="102" customWidth="1"/>
    <col min="6131" max="6131" width="13.85546875" style="102" customWidth="1"/>
    <col min="6132" max="6132" width="19.7109375" style="102" customWidth="1"/>
    <col min="6133" max="6135" width="10.85546875" style="102"/>
    <col min="6136" max="6136" width="17.5703125" style="102" customWidth="1"/>
    <col min="6137" max="6137" width="10.85546875" style="102"/>
    <col min="6138" max="6138" width="20.28515625" style="102" bestFit="1" customWidth="1"/>
    <col min="6139" max="6381" width="10.85546875" style="102"/>
    <col min="6382" max="6382" width="2.5703125" style="102" customWidth="1"/>
    <col min="6383" max="6383" width="13.7109375" style="102" customWidth="1"/>
    <col min="6384" max="6384" width="26.7109375" style="102" customWidth="1"/>
    <col min="6385" max="6385" width="38.42578125" style="102" customWidth="1"/>
    <col min="6386" max="6386" width="13.5703125" style="102" customWidth="1"/>
    <col min="6387" max="6387" width="13.85546875" style="102" customWidth="1"/>
    <col min="6388" max="6388" width="19.7109375" style="102" customWidth="1"/>
    <col min="6389" max="6391" width="10.85546875" style="102"/>
    <col min="6392" max="6392" width="17.5703125" style="102" customWidth="1"/>
    <col min="6393" max="6393" width="10.85546875" style="102"/>
    <col min="6394" max="6394" width="20.28515625" style="102" bestFit="1" customWidth="1"/>
    <col min="6395" max="6637" width="10.85546875" style="102"/>
    <col min="6638" max="6638" width="2.5703125" style="102" customWidth="1"/>
    <col min="6639" max="6639" width="13.7109375" style="102" customWidth="1"/>
    <col min="6640" max="6640" width="26.7109375" style="102" customWidth="1"/>
    <col min="6641" max="6641" width="38.42578125" style="102" customWidth="1"/>
    <col min="6642" max="6642" width="13.5703125" style="102" customWidth="1"/>
    <col min="6643" max="6643" width="13.85546875" style="102" customWidth="1"/>
    <col min="6644" max="6644" width="19.7109375" style="102" customWidth="1"/>
    <col min="6645" max="6647" width="10.85546875" style="102"/>
    <col min="6648" max="6648" width="17.5703125" style="102" customWidth="1"/>
    <col min="6649" max="6649" width="10.85546875" style="102"/>
    <col min="6650" max="6650" width="20.28515625" style="102" bestFit="1" customWidth="1"/>
    <col min="6651" max="6893" width="10.85546875" style="102"/>
    <col min="6894" max="6894" width="2.5703125" style="102" customWidth="1"/>
    <col min="6895" max="6895" width="13.7109375" style="102" customWidth="1"/>
    <col min="6896" max="6896" width="26.7109375" style="102" customWidth="1"/>
    <col min="6897" max="6897" width="38.42578125" style="102" customWidth="1"/>
    <col min="6898" max="6898" width="13.5703125" style="102" customWidth="1"/>
    <col min="6899" max="6899" width="13.85546875" style="102" customWidth="1"/>
    <col min="6900" max="6900" width="19.7109375" style="102" customWidth="1"/>
    <col min="6901" max="6903" width="10.85546875" style="102"/>
    <col min="6904" max="6904" width="17.5703125" style="102" customWidth="1"/>
    <col min="6905" max="6905" width="10.85546875" style="102"/>
    <col min="6906" max="6906" width="20.28515625" style="102" bestFit="1" customWidth="1"/>
    <col min="6907" max="7149" width="10.85546875" style="102"/>
    <col min="7150" max="7150" width="2.5703125" style="102" customWidth="1"/>
    <col min="7151" max="7151" width="13.7109375" style="102" customWidth="1"/>
    <col min="7152" max="7152" width="26.7109375" style="102" customWidth="1"/>
    <col min="7153" max="7153" width="38.42578125" style="102" customWidth="1"/>
    <col min="7154" max="7154" width="13.5703125" style="102" customWidth="1"/>
    <col min="7155" max="7155" width="13.85546875" style="102" customWidth="1"/>
    <col min="7156" max="7156" width="19.7109375" style="102" customWidth="1"/>
    <col min="7157" max="7159" width="10.85546875" style="102"/>
    <col min="7160" max="7160" width="17.5703125" style="102" customWidth="1"/>
    <col min="7161" max="7161" width="10.85546875" style="102"/>
    <col min="7162" max="7162" width="20.28515625" style="102" bestFit="1" customWidth="1"/>
    <col min="7163" max="7405" width="10.85546875" style="102"/>
    <col min="7406" max="7406" width="2.5703125" style="102" customWidth="1"/>
    <col min="7407" max="7407" width="13.7109375" style="102" customWidth="1"/>
    <col min="7408" max="7408" width="26.7109375" style="102" customWidth="1"/>
    <col min="7409" max="7409" width="38.42578125" style="102" customWidth="1"/>
    <col min="7410" max="7410" width="13.5703125" style="102" customWidth="1"/>
    <col min="7411" max="7411" width="13.85546875" style="102" customWidth="1"/>
    <col min="7412" max="7412" width="19.7109375" style="102" customWidth="1"/>
    <col min="7413" max="7415" width="10.85546875" style="102"/>
    <col min="7416" max="7416" width="17.5703125" style="102" customWidth="1"/>
    <col min="7417" max="7417" width="10.85546875" style="102"/>
    <col min="7418" max="7418" width="20.28515625" style="102" bestFit="1" customWidth="1"/>
    <col min="7419" max="7661" width="10.85546875" style="102"/>
    <col min="7662" max="7662" width="2.5703125" style="102" customWidth="1"/>
    <col min="7663" max="7663" width="13.7109375" style="102" customWidth="1"/>
    <col min="7664" max="7664" width="26.7109375" style="102" customWidth="1"/>
    <col min="7665" max="7665" width="38.42578125" style="102" customWidth="1"/>
    <col min="7666" max="7666" width="13.5703125" style="102" customWidth="1"/>
    <col min="7667" max="7667" width="13.85546875" style="102" customWidth="1"/>
    <col min="7668" max="7668" width="19.7109375" style="102" customWidth="1"/>
    <col min="7669" max="7671" width="10.85546875" style="102"/>
    <col min="7672" max="7672" width="17.5703125" style="102" customWidth="1"/>
    <col min="7673" max="7673" width="10.85546875" style="102"/>
    <col min="7674" max="7674" width="20.28515625" style="102" bestFit="1" customWidth="1"/>
    <col min="7675" max="7917" width="10.85546875" style="102"/>
    <col min="7918" max="7918" width="2.5703125" style="102" customWidth="1"/>
    <col min="7919" max="7919" width="13.7109375" style="102" customWidth="1"/>
    <col min="7920" max="7920" width="26.7109375" style="102" customWidth="1"/>
    <col min="7921" max="7921" width="38.42578125" style="102" customWidth="1"/>
    <col min="7922" max="7922" width="13.5703125" style="102" customWidth="1"/>
    <col min="7923" max="7923" width="13.85546875" style="102" customWidth="1"/>
    <col min="7924" max="7924" width="19.7109375" style="102" customWidth="1"/>
    <col min="7925" max="7927" width="10.85546875" style="102"/>
    <col min="7928" max="7928" width="17.5703125" style="102" customWidth="1"/>
    <col min="7929" max="7929" width="10.85546875" style="102"/>
    <col min="7930" max="7930" width="20.28515625" style="102" bestFit="1" customWidth="1"/>
    <col min="7931" max="8173" width="10.85546875" style="102"/>
    <col min="8174" max="8174" width="2.5703125" style="102" customWidth="1"/>
    <col min="8175" max="8175" width="13.7109375" style="102" customWidth="1"/>
    <col min="8176" max="8176" width="26.7109375" style="102" customWidth="1"/>
    <col min="8177" max="8177" width="38.42578125" style="102" customWidth="1"/>
    <col min="8178" max="8178" width="13.5703125" style="102" customWidth="1"/>
    <col min="8179" max="8179" width="13.85546875" style="102" customWidth="1"/>
    <col min="8180" max="8180" width="19.7109375" style="102" customWidth="1"/>
    <col min="8181" max="8183" width="10.85546875" style="102"/>
    <col min="8184" max="8184" width="17.5703125" style="102" customWidth="1"/>
    <col min="8185" max="8185" width="10.85546875" style="102"/>
    <col min="8186" max="8186" width="20.28515625" style="102" bestFit="1" customWidth="1"/>
    <col min="8187" max="8429" width="10.85546875" style="102"/>
    <col min="8430" max="8430" width="2.5703125" style="102" customWidth="1"/>
    <col min="8431" max="8431" width="13.7109375" style="102" customWidth="1"/>
    <col min="8432" max="8432" width="26.7109375" style="102" customWidth="1"/>
    <col min="8433" max="8433" width="38.42578125" style="102" customWidth="1"/>
    <col min="8434" max="8434" width="13.5703125" style="102" customWidth="1"/>
    <col min="8435" max="8435" width="13.85546875" style="102" customWidth="1"/>
    <col min="8436" max="8436" width="19.7109375" style="102" customWidth="1"/>
    <col min="8437" max="8439" width="10.85546875" style="102"/>
    <col min="8440" max="8440" width="17.5703125" style="102" customWidth="1"/>
    <col min="8441" max="8441" width="10.85546875" style="102"/>
    <col min="8442" max="8442" width="20.28515625" style="102" bestFit="1" customWidth="1"/>
    <col min="8443" max="8685" width="10.85546875" style="102"/>
    <col min="8686" max="8686" width="2.5703125" style="102" customWidth="1"/>
    <col min="8687" max="8687" width="13.7109375" style="102" customWidth="1"/>
    <col min="8688" max="8688" width="26.7109375" style="102" customWidth="1"/>
    <col min="8689" max="8689" width="38.42578125" style="102" customWidth="1"/>
    <col min="8690" max="8690" width="13.5703125" style="102" customWidth="1"/>
    <col min="8691" max="8691" width="13.85546875" style="102" customWidth="1"/>
    <col min="8692" max="8692" width="19.7109375" style="102" customWidth="1"/>
    <col min="8693" max="8695" width="10.85546875" style="102"/>
    <col min="8696" max="8696" width="17.5703125" style="102" customWidth="1"/>
    <col min="8697" max="8697" width="10.85546875" style="102"/>
    <col min="8698" max="8698" width="20.28515625" style="102" bestFit="1" customWidth="1"/>
    <col min="8699" max="8941" width="10.85546875" style="102"/>
    <col min="8942" max="8942" width="2.5703125" style="102" customWidth="1"/>
    <col min="8943" max="8943" width="13.7109375" style="102" customWidth="1"/>
    <col min="8944" max="8944" width="26.7109375" style="102" customWidth="1"/>
    <col min="8945" max="8945" width="38.42578125" style="102" customWidth="1"/>
    <col min="8946" max="8946" width="13.5703125" style="102" customWidth="1"/>
    <col min="8947" max="8947" width="13.85546875" style="102" customWidth="1"/>
    <col min="8948" max="8948" width="19.7109375" style="102" customWidth="1"/>
    <col min="8949" max="8951" width="10.85546875" style="102"/>
    <col min="8952" max="8952" width="17.5703125" style="102" customWidth="1"/>
    <col min="8953" max="8953" width="10.85546875" style="102"/>
    <col min="8954" max="8954" width="20.28515625" style="102" bestFit="1" customWidth="1"/>
    <col min="8955" max="9197" width="10.85546875" style="102"/>
    <col min="9198" max="9198" width="2.5703125" style="102" customWidth="1"/>
    <col min="9199" max="9199" width="13.7109375" style="102" customWidth="1"/>
    <col min="9200" max="9200" width="26.7109375" style="102" customWidth="1"/>
    <col min="9201" max="9201" width="38.42578125" style="102" customWidth="1"/>
    <col min="9202" max="9202" width="13.5703125" style="102" customWidth="1"/>
    <col min="9203" max="9203" width="13.85546875" style="102" customWidth="1"/>
    <col min="9204" max="9204" width="19.7109375" style="102" customWidth="1"/>
    <col min="9205" max="9207" width="10.85546875" style="102"/>
    <col min="9208" max="9208" width="17.5703125" style="102" customWidth="1"/>
    <col min="9209" max="9209" width="10.85546875" style="102"/>
    <col min="9210" max="9210" width="20.28515625" style="102" bestFit="1" customWidth="1"/>
    <col min="9211" max="9453" width="10.85546875" style="102"/>
    <col min="9454" max="9454" width="2.5703125" style="102" customWidth="1"/>
    <col min="9455" max="9455" width="13.7109375" style="102" customWidth="1"/>
    <col min="9456" max="9456" width="26.7109375" style="102" customWidth="1"/>
    <col min="9457" max="9457" width="38.42578125" style="102" customWidth="1"/>
    <col min="9458" max="9458" width="13.5703125" style="102" customWidth="1"/>
    <col min="9459" max="9459" width="13.85546875" style="102" customWidth="1"/>
    <col min="9460" max="9460" width="19.7109375" style="102" customWidth="1"/>
    <col min="9461" max="9463" width="10.85546875" style="102"/>
    <col min="9464" max="9464" width="17.5703125" style="102" customWidth="1"/>
    <col min="9465" max="9465" width="10.85546875" style="102"/>
    <col min="9466" max="9466" width="20.28515625" style="102" bestFit="1" customWidth="1"/>
    <col min="9467" max="9709" width="10.85546875" style="102"/>
    <col min="9710" max="9710" width="2.5703125" style="102" customWidth="1"/>
    <col min="9711" max="9711" width="13.7109375" style="102" customWidth="1"/>
    <col min="9712" max="9712" width="26.7109375" style="102" customWidth="1"/>
    <col min="9713" max="9713" width="38.42578125" style="102" customWidth="1"/>
    <col min="9714" max="9714" width="13.5703125" style="102" customWidth="1"/>
    <col min="9715" max="9715" width="13.85546875" style="102" customWidth="1"/>
    <col min="9716" max="9716" width="19.7109375" style="102" customWidth="1"/>
    <col min="9717" max="9719" width="10.85546875" style="102"/>
    <col min="9720" max="9720" width="17.5703125" style="102" customWidth="1"/>
    <col min="9721" max="9721" width="10.85546875" style="102"/>
    <col min="9722" max="9722" width="20.28515625" style="102" bestFit="1" customWidth="1"/>
    <col min="9723" max="9965" width="10.85546875" style="102"/>
    <col min="9966" max="9966" width="2.5703125" style="102" customWidth="1"/>
    <col min="9967" max="9967" width="13.7109375" style="102" customWidth="1"/>
    <col min="9968" max="9968" width="26.7109375" style="102" customWidth="1"/>
    <col min="9969" max="9969" width="38.42578125" style="102" customWidth="1"/>
    <col min="9970" max="9970" width="13.5703125" style="102" customWidth="1"/>
    <col min="9971" max="9971" width="13.85546875" style="102" customWidth="1"/>
    <col min="9972" max="9972" width="19.7109375" style="102" customWidth="1"/>
    <col min="9973" max="9975" width="10.85546875" style="102"/>
    <col min="9976" max="9976" width="17.5703125" style="102" customWidth="1"/>
    <col min="9977" max="9977" width="10.85546875" style="102"/>
    <col min="9978" max="9978" width="20.28515625" style="102" bestFit="1" customWidth="1"/>
    <col min="9979" max="10221" width="10.85546875" style="102"/>
    <col min="10222" max="10222" width="2.5703125" style="102" customWidth="1"/>
    <col min="10223" max="10223" width="13.7109375" style="102" customWidth="1"/>
    <col min="10224" max="10224" width="26.7109375" style="102" customWidth="1"/>
    <col min="10225" max="10225" width="38.42578125" style="102" customWidth="1"/>
    <col min="10226" max="10226" width="13.5703125" style="102" customWidth="1"/>
    <col min="10227" max="10227" width="13.85546875" style="102" customWidth="1"/>
    <col min="10228" max="10228" width="19.7109375" style="102" customWidth="1"/>
    <col min="10229" max="10231" width="10.85546875" style="102"/>
    <col min="10232" max="10232" width="17.5703125" style="102" customWidth="1"/>
    <col min="10233" max="10233" width="10.85546875" style="102"/>
    <col min="10234" max="10234" width="20.28515625" style="102" bestFit="1" customWidth="1"/>
    <col min="10235" max="10477" width="10.85546875" style="102"/>
    <col min="10478" max="10478" width="2.5703125" style="102" customWidth="1"/>
    <col min="10479" max="10479" width="13.7109375" style="102" customWidth="1"/>
    <col min="10480" max="10480" width="26.7109375" style="102" customWidth="1"/>
    <col min="10481" max="10481" width="38.42578125" style="102" customWidth="1"/>
    <col min="10482" max="10482" width="13.5703125" style="102" customWidth="1"/>
    <col min="10483" max="10483" width="13.85546875" style="102" customWidth="1"/>
    <col min="10484" max="10484" width="19.7109375" style="102" customWidth="1"/>
    <col min="10485" max="10487" width="10.85546875" style="102"/>
    <col min="10488" max="10488" width="17.5703125" style="102" customWidth="1"/>
    <col min="10489" max="10489" width="10.85546875" style="102"/>
    <col min="10490" max="10490" width="20.28515625" style="102" bestFit="1" customWidth="1"/>
    <col min="10491" max="10733" width="10.85546875" style="102"/>
    <col min="10734" max="10734" width="2.5703125" style="102" customWidth="1"/>
    <col min="10735" max="10735" width="13.7109375" style="102" customWidth="1"/>
    <col min="10736" max="10736" width="26.7109375" style="102" customWidth="1"/>
    <col min="10737" max="10737" width="38.42578125" style="102" customWidth="1"/>
    <col min="10738" max="10738" width="13.5703125" style="102" customWidth="1"/>
    <col min="10739" max="10739" width="13.85546875" style="102" customWidth="1"/>
    <col min="10740" max="10740" width="19.7109375" style="102" customWidth="1"/>
    <col min="10741" max="10743" width="10.85546875" style="102"/>
    <col min="10744" max="10744" width="17.5703125" style="102" customWidth="1"/>
    <col min="10745" max="10745" width="10.85546875" style="102"/>
    <col min="10746" max="10746" width="20.28515625" style="102" bestFit="1" customWidth="1"/>
    <col min="10747" max="10989" width="10.85546875" style="102"/>
    <col min="10990" max="10990" width="2.5703125" style="102" customWidth="1"/>
    <col min="10991" max="10991" width="13.7109375" style="102" customWidth="1"/>
    <col min="10992" max="10992" width="26.7109375" style="102" customWidth="1"/>
    <col min="10993" max="10993" width="38.42578125" style="102" customWidth="1"/>
    <col min="10994" max="10994" width="13.5703125" style="102" customWidth="1"/>
    <col min="10995" max="10995" width="13.85546875" style="102" customWidth="1"/>
    <col min="10996" max="10996" width="19.7109375" style="102" customWidth="1"/>
    <col min="10997" max="10999" width="10.85546875" style="102"/>
    <col min="11000" max="11000" width="17.5703125" style="102" customWidth="1"/>
    <col min="11001" max="11001" width="10.85546875" style="102"/>
    <col min="11002" max="11002" width="20.28515625" style="102" bestFit="1" customWidth="1"/>
    <col min="11003" max="11245" width="10.85546875" style="102"/>
    <col min="11246" max="11246" width="2.5703125" style="102" customWidth="1"/>
    <col min="11247" max="11247" width="13.7109375" style="102" customWidth="1"/>
    <col min="11248" max="11248" width="26.7109375" style="102" customWidth="1"/>
    <col min="11249" max="11249" width="38.42578125" style="102" customWidth="1"/>
    <col min="11250" max="11250" width="13.5703125" style="102" customWidth="1"/>
    <col min="11251" max="11251" width="13.85546875" style="102" customWidth="1"/>
    <col min="11252" max="11252" width="19.7109375" style="102" customWidth="1"/>
    <col min="11253" max="11255" width="10.85546875" style="102"/>
    <col min="11256" max="11256" width="17.5703125" style="102" customWidth="1"/>
    <col min="11257" max="11257" width="10.85546875" style="102"/>
    <col min="11258" max="11258" width="20.28515625" style="102" bestFit="1" customWidth="1"/>
    <col min="11259" max="11501" width="10.85546875" style="102"/>
    <col min="11502" max="11502" width="2.5703125" style="102" customWidth="1"/>
    <col min="11503" max="11503" width="13.7109375" style="102" customWidth="1"/>
    <col min="11504" max="11504" width="26.7109375" style="102" customWidth="1"/>
    <col min="11505" max="11505" width="38.42578125" style="102" customWidth="1"/>
    <col min="11506" max="11506" width="13.5703125" style="102" customWidth="1"/>
    <col min="11507" max="11507" width="13.85546875" style="102" customWidth="1"/>
    <col min="11508" max="11508" width="19.7109375" style="102" customWidth="1"/>
    <col min="11509" max="11511" width="10.85546875" style="102"/>
    <col min="11512" max="11512" width="17.5703125" style="102" customWidth="1"/>
    <col min="11513" max="11513" width="10.85546875" style="102"/>
    <col min="11514" max="11514" width="20.28515625" style="102" bestFit="1" customWidth="1"/>
    <col min="11515" max="11757" width="10.85546875" style="102"/>
    <col min="11758" max="11758" width="2.5703125" style="102" customWidth="1"/>
    <col min="11759" max="11759" width="13.7109375" style="102" customWidth="1"/>
    <col min="11760" max="11760" width="26.7109375" style="102" customWidth="1"/>
    <col min="11761" max="11761" width="38.42578125" style="102" customWidth="1"/>
    <col min="11762" max="11762" width="13.5703125" style="102" customWidth="1"/>
    <col min="11763" max="11763" width="13.85546875" style="102" customWidth="1"/>
    <col min="11764" max="11764" width="19.7109375" style="102" customWidth="1"/>
    <col min="11765" max="11767" width="10.85546875" style="102"/>
    <col min="11768" max="11768" width="17.5703125" style="102" customWidth="1"/>
    <col min="11769" max="11769" width="10.85546875" style="102"/>
    <col min="11770" max="11770" width="20.28515625" style="102" bestFit="1" customWidth="1"/>
    <col min="11771" max="12013" width="10.85546875" style="102"/>
    <col min="12014" max="12014" width="2.5703125" style="102" customWidth="1"/>
    <col min="12015" max="12015" width="13.7109375" style="102" customWidth="1"/>
    <col min="12016" max="12016" width="26.7109375" style="102" customWidth="1"/>
    <col min="12017" max="12017" width="38.42578125" style="102" customWidth="1"/>
    <col min="12018" max="12018" width="13.5703125" style="102" customWidth="1"/>
    <col min="12019" max="12019" width="13.85546875" style="102" customWidth="1"/>
    <col min="12020" max="12020" width="19.7109375" style="102" customWidth="1"/>
    <col min="12021" max="12023" width="10.85546875" style="102"/>
    <col min="12024" max="12024" width="17.5703125" style="102" customWidth="1"/>
    <col min="12025" max="12025" width="10.85546875" style="102"/>
    <col min="12026" max="12026" width="20.28515625" style="102" bestFit="1" customWidth="1"/>
    <col min="12027" max="12269" width="10.85546875" style="102"/>
    <col min="12270" max="12270" width="2.5703125" style="102" customWidth="1"/>
    <col min="12271" max="12271" width="13.7109375" style="102" customWidth="1"/>
    <col min="12272" max="12272" width="26.7109375" style="102" customWidth="1"/>
    <col min="12273" max="12273" width="38.42578125" style="102" customWidth="1"/>
    <col min="12274" max="12274" width="13.5703125" style="102" customWidth="1"/>
    <col min="12275" max="12275" width="13.85546875" style="102" customWidth="1"/>
    <col min="12276" max="12276" width="19.7109375" style="102" customWidth="1"/>
    <col min="12277" max="12279" width="10.85546875" style="102"/>
    <col min="12280" max="12280" width="17.5703125" style="102" customWidth="1"/>
    <col min="12281" max="12281" width="10.85546875" style="102"/>
    <col min="12282" max="12282" width="20.28515625" style="102" bestFit="1" customWidth="1"/>
    <col min="12283" max="12525" width="10.85546875" style="102"/>
    <col min="12526" max="12526" width="2.5703125" style="102" customWidth="1"/>
    <col min="12527" max="12527" width="13.7109375" style="102" customWidth="1"/>
    <col min="12528" max="12528" width="26.7109375" style="102" customWidth="1"/>
    <col min="12529" max="12529" width="38.42578125" style="102" customWidth="1"/>
    <col min="12530" max="12530" width="13.5703125" style="102" customWidth="1"/>
    <col min="12531" max="12531" width="13.85546875" style="102" customWidth="1"/>
    <col min="12532" max="12532" width="19.7109375" style="102" customWidth="1"/>
    <col min="12533" max="12535" width="10.85546875" style="102"/>
    <col min="12536" max="12536" width="17.5703125" style="102" customWidth="1"/>
    <col min="12537" max="12537" width="10.85546875" style="102"/>
    <col min="12538" max="12538" width="20.28515625" style="102" bestFit="1" customWidth="1"/>
    <col min="12539" max="12781" width="10.85546875" style="102"/>
    <col min="12782" max="12782" width="2.5703125" style="102" customWidth="1"/>
    <col min="12783" max="12783" width="13.7109375" style="102" customWidth="1"/>
    <col min="12784" max="12784" width="26.7109375" style="102" customWidth="1"/>
    <col min="12785" max="12785" width="38.42578125" style="102" customWidth="1"/>
    <col min="12786" max="12786" width="13.5703125" style="102" customWidth="1"/>
    <col min="12787" max="12787" width="13.85546875" style="102" customWidth="1"/>
    <col min="12788" max="12788" width="19.7109375" style="102" customWidth="1"/>
    <col min="12789" max="12791" width="10.85546875" style="102"/>
    <col min="12792" max="12792" width="17.5703125" style="102" customWidth="1"/>
    <col min="12793" max="12793" width="10.85546875" style="102"/>
    <col min="12794" max="12794" width="20.28515625" style="102" bestFit="1" customWidth="1"/>
    <col min="12795" max="13037" width="10.85546875" style="102"/>
    <col min="13038" max="13038" width="2.5703125" style="102" customWidth="1"/>
    <col min="13039" max="13039" width="13.7109375" style="102" customWidth="1"/>
    <col min="13040" max="13040" width="26.7109375" style="102" customWidth="1"/>
    <col min="13041" max="13041" width="38.42578125" style="102" customWidth="1"/>
    <col min="13042" max="13042" width="13.5703125" style="102" customWidth="1"/>
    <col min="13043" max="13043" width="13.85546875" style="102" customWidth="1"/>
    <col min="13044" max="13044" width="19.7109375" style="102" customWidth="1"/>
    <col min="13045" max="13047" width="10.85546875" style="102"/>
    <col min="13048" max="13048" width="17.5703125" style="102" customWidth="1"/>
    <col min="13049" max="13049" width="10.85546875" style="102"/>
    <col min="13050" max="13050" width="20.28515625" style="102" bestFit="1" customWidth="1"/>
    <col min="13051" max="13293" width="10.85546875" style="102"/>
    <col min="13294" max="13294" width="2.5703125" style="102" customWidth="1"/>
    <col min="13295" max="13295" width="13.7109375" style="102" customWidth="1"/>
    <col min="13296" max="13296" width="26.7109375" style="102" customWidth="1"/>
    <col min="13297" max="13297" width="38.42578125" style="102" customWidth="1"/>
    <col min="13298" max="13298" width="13.5703125" style="102" customWidth="1"/>
    <col min="13299" max="13299" width="13.85546875" style="102" customWidth="1"/>
    <col min="13300" max="13300" width="19.7109375" style="102" customWidth="1"/>
    <col min="13301" max="13303" width="10.85546875" style="102"/>
    <col min="13304" max="13304" width="17.5703125" style="102" customWidth="1"/>
    <col min="13305" max="13305" width="10.85546875" style="102"/>
    <col min="13306" max="13306" width="20.28515625" style="102" bestFit="1" customWidth="1"/>
    <col min="13307" max="13549" width="10.85546875" style="102"/>
    <col min="13550" max="13550" width="2.5703125" style="102" customWidth="1"/>
    <col min="13551" max="13551" width="13.7109375" style="102" customWidth="1"/>
    <col min="13552" max="13552" width="26.7109375" style="102" customWidth="1"/>
    <col min="13553" max="13553" width="38.42578125" style="102" customWidth="1"/>
    <col min="13554" max="13554" width="13.5703125" style="102" customWidth="1"/>
    <col min="13555" max="13555" width="13.85546875" style="102" customWidth="1"/>
    <col min="13556" max="13556" width="19.7109375" style="102" customWidth="1"/>
    <col min="13557" max="13559" width="10.85546875" style="102"/>
    <col min="13560" max="13560" width="17.5703125" style="102" customWidth="1"/>
    <col min="13561" max="13561" width="10.85546875" style="102"/>
    <col min="13562" max="13562" width="20.28515625" style="102" bestFit="1" customWidth="1"/>
    <col min="13563" max="13805" width="10.85546875" style="102"/>
    <col min="13806" max="13806" width="2.5703125" style="102" customWidth="1"/>
    <col min="13807" max="13807" width="13.7109375" style="102" customWidth="1"/>
    <col min="13808" max="13808" width="26.7109375" style="102" customWidth="1"/>
    <col min="13809" max="13809" width="38.42578125" style="102" customWidth="1"/>
    <col min="13810" max="13810" width="13.5703125" style="102" customWidth="1"/>
    <col min="13811" max="13811" width="13.85546875" style="102" customWidth="1"/>
    <col min="13812" max="13812" width="19.7109375" style="102" customWidth="1"/>
    <col min="13813" max="13815" width="10.85546875" style="102"/>
    <col min="13816" max="13816" width="17.5703125" style="102" customWidth="1"/>
    <col min="13817" max="13817" width="10.85546875" style="102"/>
    <col min="13818" max="13818" width="20.28515625" style="102" bestFit="1" customWidth="1"/>
    <col min="13819" max="14061" width="10.85546875" style="102"/>
    <col min="14062" max="14062" width="2.5703125" style="102" customWidth="1"/>
    <col min="14063" max="14063" width="13.7109375" style="102" customWidth="1"/>
    <col min="14064" max="14064" width="26.7109375" style="102" customWidth="1"/>
    <col min="14065" max="14065" width="38.42578125" style="102" customWidth="1"/>
    <col min="14066" max="14066" width="13.5703125" style="102" customWidth="1"/>
    <col min="14067" max="14067" width="13.85546875" style="102" customWidth="1"/>
    <col min="14068" max="14068" width="19.7109375" style="102" customWidth="1"/>
    <col min="14069" max="14071" width="10.85546875" style="102"/>
    <col min="14072" max="14072" width="17.5703125" style="102" customWidth="1"/>
    <col min="14073" max="14073" width="10.85546875" style="102"/>
    <col min="14074" max="14074" width="20.28515625" style="102" bestFit="1" customWidth="1"/>
    <col min="14075" max="14317" width="10.85546875" style="102"/>
    <col min="14318" max="14318" width="2.5703125" style="102" customWidth="1"/>
    <col min="14319" max="14319" width="13.7109375" style="102" customWidth="1"/>
    <col min="14320" max="14320" width="26.7109375" style="102" customWidth="1"/>
    <col min="14321" max="14321" width="38.42578125" style="102" customWidth="1"/>
    <col min="14322" max="14322" width="13.5703125" style="102" customWidth="1"/>
    <col min="14323" max="14323" width="13.85546875" style="102" customWidth="1"/>
    <col min="14324" max="14324" width="19.7109375" style="102" customWidth="1"/>
    <col min="14325" max="14327" width="10.85546875" style="102"/>
    <col min="14328" max="14328" width="17.5703125" style="102" customWidth="1"/>
    <col min="14329" max="14329" width="10.85546875" style="102"/>
    <col min="14330" max="14330" width="20.28515625" style="102" bestFit="1" customWidth="1"/>
    <col min="14331" max="14573" width="10.85546875" style="102"/>
    <col min="14574" max="14574" width="2.5703125" style="102" customWidth="1"/>
    <col min="14575" max="14575" width="13.7109375" style="102" customWidth="1"/>
    <col min="14576" max="14576" width="26.7109375" style="102" customWidth="1"/>
    <col min="14577" max="14577" width="38.42578125" style="102" customWidth="1"/>
    <col min="14578" max="14578" width="13.5703125" style="102" customWidth="1"/>
    <col min="14579" max="14579" width="13.85546875" style="102" customWidth="1"/>
    <col min="14580" max="14580" width="19.7109375" style="102" customWidth="1"/>
    <col min="14581" max="14583" width="10.85546875" style="102"/>
    <col min="14584" max="14584" width="17.5703125" style="102" customWidth="1"/>
    <col min="14585" max="14585" width="10.85546875" style="102"/>
    <col min="14586" max="14586" width="20.28515625" style="102" bestFit="1" customWidth="1"/>
    <col min="14587" max="14829" width="10.85546875" style="102"/>
    <col min="14830" max="14830" width="2.5703125" style="102" customWidth="1"/>
    <col min="14831" max="14831" width="13.7109375" style="102" customWidth="1"/>
    <col min="14832" max="14832" width="26.7109375" style="102" customWidth="1"/>
    <col min="14833" max="14833" width="38.42578125" style="102" customWidth="1"/>
    <col min="14834" max="14834" width="13.5703125" style="102" customWidth="1"/>
    <col min="14835" max="14835" width="13.85546875" style="102" customWidth="1"/>
    <col min="14836" max="14836" width="19.7109375" style="102" customWidth="1"/>
    <col min="14837" max="14839" width="10.85546875" style="102"/>
    <col min="14840" max="14840" width="17.5703125" style="102" customWidth="1"/>
    <col min="14841" max="14841" width="10.85546875" style="102"/>
    <col min="14842" max="14842" width="20.28515625" style="102" bestFit="1" customWidth="1"/>
    <col min="14843" max="15085" width="10.85546875" style="102"/>
    <col min="15086" max="15086" width="2.5703125" style="102" customWidth="1"/>
    <col min="15087" max="15087" width="13.7109375" style="102" customWidth="1"/>
    <col min="15088" max="15088" width="26.7109375" style="102" customWidth="1"/>
    <col min="15089" max="15089" width="38.42578125" style="102" customWidth="1"/>
    <col min="15090" max="15090" width="13.5703125" style="102" customWidth="1"/>
    <col min="15091" max="15091" width="13.85546875" style="102" customWidth="1"/>
    <col min="15092" max="15092" width="19.7109375" style="102" customWidth="1"/>
    <col min="15093" max="15095" width="10.85546875" style="102"/>
    <col min="15096" max="15096" width="17.5703125" style="102" customWidth="1"/>
    <col min="15097" max="15097" width="10.85546875" style="102"/>
    <col min="15098" max="15098" width="20.28515625" style="102" bestFit="1" customWidth="1"/>
    <col min="15099" max="15341" width="10.85546875" style="102"/>
    <col min="15342" max="15342" width="2.5703125" style="102" customWidth="1"/>
    <col min="15343" max="15343" width="13.7109375" style="102" customWidth="1"/>
    <col min="15344" max="15344" width="26.7109375" style="102" customWidth="1"/>
    <col min="15345" max="15345" width="38.42578125" style="102" customWidth="1"/>
    <col min="15346" max="15346" width="13.5703125" style="102" customWidth="1"/>
    <col min="15347" max="15347" width="13.85546875" style="102" customWidth="1"/>
    <col min="15348" max="15348" width="19.7109375" style="102" customWidth="1"/>
    <col min="15349" max="15351" width="10.85546875" style="102"/>
    <col min="15352" max="15352" width="17.5703125" style="102" customWidth="1"/>
    <col min="15353" max="15353" width="10.85546875" style="102"/>
    <col min="15354" max="15354" width="20.28515625" style="102" bestFit="1" customWidth="1"/>
    <col min="15355" max="15597" width="10.85546875" style="102"/>
    <col min="15598" max="15598" width="2.5703125" style="102" customWidth="1"/>
    <col min="15599" max="15599" width="13.7109375" style="102" customWidth="1"/>
    <col min="15600" max="15600" width="26.7109375" style="102" customWidth="1"/>
    <col min="15601" max="15601" width="38.42578125" style="102" customWidth="1"/>
    <col min="15602" max="15602" width="13.5703125" style="102" customWidth="1"/>
    <col min="15603" max="15603" width="13.85546875" style="102" customWidth="1"/>
    <col min="15604" max="15604" width="19.7109375" style="102" customWidth="1"/>
    <col min="15605" max="15607" width="10.85546875" style="102"/>
    <col min="15608" max="15608" width="17.5703125" style="102" customWidth="1"/>
    <col min="15609" max="15609" width="10.85546875" style="102"/>
    <col min="15610" max="15610" width="20.28515625" style="102" bestFit="1" customWidth="1"/>
    <col min="15611" max="15853" width="10.85546875" style="102"/>
    <col min="15854" max="15854" width="2.5703125" style="102" customWidth="1"/>
    <col min="15855" max="15855" width="13.7109375" style="102" customWidth="1"/>
    <col min="15856" max="15856" width="26.7109375" style="102" customWidth="1"/>
    <col min="15857" max="15857" width="38.42578125" style="102" customWidth="1"/>
    <col min="15858" max="15858" width="13.5703125" style="102" customWidth="1"/>
    <col min="15859" max="15859" width="13.85546875" style="102" customWidth="1"/>
    <col min="15860" max="15860" width="19.7109375" style="102" customWidth="1"/>
    <col min="15861" max="15863" width="10.85546875" style="102"/>
    <col min="15864" max="15864" width="17.5703125" style="102" customWidth="1"/>
    <col min="15865" max="15865" width="10.85546875" style="102"/>
    <col min="15866" max="15866" width="20.28515625" style="102" bestFit="1" customWidth="1"/>
    <col min="15867" max="16109" width="10.85546875" style="102"/>
    <col min="16110" max="16110" width="2.5703125" style="102" customWidth="1"/>
    <col min="16111" max="16111" width="13.7109375" style="102" customWidth="1"/>
    <col min="16112" max="16112" width="26.7109375" style="102" customWidth="1"/>
    <col min="16113" max="16113" width="38.42578125" style="102" customWidth="1"/>
    <col min="16114" max="16114" width="13.5703125" style="102" customWidth="1"/>
    <col min="16115" max="16115" width="13.85546875" style="102" customWidth="1"/>
    <col min="16116" max="16116" width="19.7109375" style="102" customWidth="1"/>
    <col min="16117" max="16119" width="10.85546875" style="102"/>
    <col min="16120" max="16120" width="17.5703125" style="102" customWidth="1"/>
    <col min="16121" max="16121" width="10.85546875" style="102"/>
    <col min="16122" max="16122" width="20.28515625" style="102" bestFit="1" customWidth="1"/>
    <col min="16123" max="16384" width="10.85546875" style="102"/>
  </cols>
  <sheetData>
    <row r="2" spans="2:15">
      <c r="B2" s="313" t="s">
        <v>0</v>
      </c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</row>
    <row r="3" spans="2:15">
      <c r="B3" s="313" t="s">
        <v>250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</row>
    <row r="4" spans="2:15">
      <c r="B4" s="313" t="s">
        <v>2</v>
      </c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</row>
    <row r="5" spans="2:15"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</row>
    <row r="6" spans="2:15" ht="27.75" customHeight="1">
      <c r="B6" s="314" t="s">
        <v>69</v>
      </c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</row>
    <row r="7" spans="2:15" ht="51.75" customHeight="1">
      <c r="B7" s="315" t="s">
        <v>665</v>
      </c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7"/>
    </row>
    <row r="8" spans="2:15">
      <c r="B8" s="191"/>
      <c r="C8" s="192"/>
      <c r="D8" s="192"/>
      <c r="E8" s="192"/>
      <c r="F8" s="192"/>
      <c r="G8" s="192"/>
      <c r="H8" s="192"/>
      <c r="I8" s="193">
        <v>0.75</v>
      </c>
      <c r="J8" s="193">
        <v>1.2</v>
      </c>
      <c r="K8" s="193">
        <v>1.5</v>
      </c>
      <c r="L8" s="192"/>
      <c r="M8" s="192"/>
      <c r="N8" s="192"/>
    </row>
    <row r="9" spans="2:15" ht="16.5" customHeight="1">
      <c r="B9" s="318" t="s">
        <v>666</v>
      </c>
      <c r="C9" s="319"/>
      <c r="D9" s="194">
        <v>15731986635</v>
      </c>
      <c r="E9" s="195"/>
      <c r="F9" s="196">
        <f>+D9/1750905</f>
        <v>8985.060088925442</v>
      </c>
      <c r="G9" s="197" t="s">
        <v>667</v>
      </c>
      <c r="H9" s="198"/>
      <c r="I9" s="199">
        <f>$F$9*75%</f>
        <v>6738.7950666940815</v>
      </c>
      <c r="J9" s="199">
        <f>$F$9*120%</f>
        <v>10782.07210671053</v>
      </c>
      <c r="K9" s="199">
        <f>$F$9*150%</f>
        <v>13477.590133388163</v>
      </c>
      <c r="O9" s="200"/>
    </row>
    <row r="10" spans="2:15">
      <c r="B10" s="201"/>
      <c r="C10" s="201"/>
      <c r="D10" s="201"/>
      <c r="E10" s="201"/>
      <c r="F10" s="202"/>
      <c r="G10" s="202"/>
      <c r="H10" s="202"/>
      <c r="I10" s="202"/>
      <c r="J10" s="202"/>
      <c r="K10" s="202"/>
      <c r="L10" s="202"/>
      <c r="M10" s="202"/>
      <c r="N10" s="201"/>
    </row>
    <row r="11" spans="2:15" ht="36" customHeight="1">
      <c r="B11" s="203" t="s">
        <v>668</v>
      </c>
      <c r="C11" s="282" t="s">
        <v>669</v>
      </c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</row>
    <row r="12" spans="2:15" s="206" customFormat="1" ht="41.25" customHeight="1">
      <c r="B12" s="283" t="s">
        <v>670</v>
      </c>
      <c r="C12" s="283"/>
      <c r="D12" s="283"/>
      <c r="E12" s="283"/>
      <c r="F12" s="283"/>
      <c r="G12" s="283"/>
      <c r="H12" s="283"/>
      <c r="I12" s="283"/>
      <c r="J12" s="204" t="s">
        <v>671</v>
      </c>
      <c r="K12" s="204" t="s">
        <v>672</v>
      </c>
      <c r="L12" s="204" t="s">
        <v>673</v>
      </c>
      <c r="M12" s="284" t="s">
        <v>674</v>
      </c>
      <c r="N12" s="204" t="s">
        <v>3</v>
      </c>
      <c r="O12" s="205"/>
    </row>
    <row r="13" spans="2:15" ht="103.5" customHeight="1">
      <c r="B13" s="207" t="s">
        <v>675</v>
      </c>
      <c r="C13" s="208" t="s">
        <v>676</v>
      </c>
      <c r="D13" s="208" t="s">
        <v>677</v>
      </c>
      <c r="E13" s="208" t="s">
        <v>678</v>
      </c>
      <c r="F13" s="209" t="s">
        <v>679</v>
      </c>
      <c r="G13" s="209" t="s">
        <v>680</v>
      </c>
      <c r="H13" s="209" t="s">
        <v>681</v>
      </c>
      <c r="I13" s="209" t="s">
        <v>682</v>
      </c>
      <c r="J13" s="210" t="s">
        <v>683</v>
      </c>
      <c r="K13" s="210" t="s">
        <v>684</v>
      </c>
      <c r="L13" s="210" t="s">
        <v>685</v>
      </c>
      <c r="M13" s="285"/>
      <c r="N13" s="298" t="s">
        <v>242</v>
      </c>
    </row>
    <row r="14" spans="2:15" ht="97.5" customHeight="1">
      <c r="B14" s="211">
        <v>1</v>
      </c>
      <c r="C14" s="208" t="s">
        <v>686</v>
      </c>
      <c r="D14" s="212" t="s">
        <v>242</v>
      </c>
      <c r="E14" s="212" t="s">
        <v>687</v>
      </c>
      <c r="F14" s="213">
        <f>37153.18*0.65</f>
        <v>24149.567000000003</v>
      </c>
      <c r="G14" s="212">
        <v>1</v>
      </c>
      <c r="H14" s="214">
        <v>44896</v>
      </c>
      <c r="I14" s="212"/>
      <c r="J14" s="212" t="s">
        <v>242</v>
      </c>
      <c r="K14" s="212"/>
      <c r="L14" s="212" t="s">
        <v>242</v>
      </c>
      <c r="M14" s="212" t="s">
        <v>242</v>
      </c>
      <c r="N14" s="298"/>
    </row>
    <row r="15" spans="2:15" ht="53.25" customHeight="1">
      <c r="B15" s="207">
        <v>2</v>
      </c>
      <c r="C15" s="208" t="s">
        <v>688</v>
      </c>
      <c r="D15" s="211" t="s">
        <v>242</v>
      </c>
      <c r="E15" s="211" t="s">
        <v>251</v>
      </c>
      <c r="F15" s="213">
        <f>72329.46*0.5</f>
        <v>36164.730000000003</v>
      </c>
      <c r="G15" s="212">
        <v>2</v>
      </c>
      <c r="H15" s="214">
        <v>41512</v>
      </c>
      <c r="I15" s="212"/>
      <c r="J15" s="212" t="s">
        <v>242</v>
      </c>
      <c r="K15" s="212" t="s">
        <v>242</v>
      </c>
      <c r="L15" s="212" t="s">
        <v>242</v>
      </c>
      <c r="M15" s="212" t="s">
        <v>242</v>
      </c>
      <c r="N15" s="298"/>
    </row>
    <row r="16" spans="2:15" ht="53.25" customHeight="1">
      <c r="B16" s="207">
        <v>3</v>
      </c>
      <c r="C16" s="208" t="s">
        <v>686</v>
      </c>
      <c r="D16" s="211" t="s">
        <v>242</v>
      </c>
      <c r="E16" s="211" t="s">
        <v>251</v>
      </c>
      <c r="F16" s="213">
        <f>23869.71*0.2</f>
        <v>4773.942</v>
      </c>
      <c r="G16" s="212">
        <v>4</v>
      </c>
      <c r="H16" s="214">
        <v>43925</v>
      </c>
      <c r="I16" s="212"/>
      <c r="J16" s="212" t="s">
        <v>242</v>
      </c>
      <c r="K16" s="212"/>
      <c r="L16" s="212" t="s">
        <v>242</v>
      </c>
      <c r="M16" s="212" t="s">
        <v>242</v>
      </c>
      <c r="N16" s="298"/>
    </row>
    <row r="17" spans="2:15" ht="18.75" customHeight="1">
      <c r="B17" s="287" t="s">
        <v>689</v>
      </c>
      <c r="C17" s="287"/>
      <c r="D17" s="287"/>
      <c r="E17" s="215"/>
      <c r="F17" s="216">
        <f>SUM(F14:F16)</f>
        <v>65088.239000000009</v>
      </c>
      <c r="G17" s="217"/>
      <c r="H17" s="217"/>
      <c r="I17" s="217" t="s">
        <v>242</v>
      </c>
      <c r="J17" s="217"/>
      <c r="K17" s="217"/>
      <c r="L17" s="217"/>
      <c r="M17" s="217"/>
      <c r="N17" s="298"/>
      <c r="O17" s="101">
        <v>49</v>
      </c>
    </row>
    <row r="19" spans="2:15" ht="36" customHeight="1">
      <c r="B19" s="203" t="s">
        <v>668</v>
      </c>
      <c r="C19" s="282" t="s">
        <v>54</v>
      </c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</row>
    <row r="20" spans="2:15" s="206" customFormat="1" ht="31.5">
      <c r="B20" s="283" t="s">
        <v>670</v>
      </c>
      <c r="C20" s="283"/>
      <c r="D20" s="283"/>
      <c r="E20" s="283"/>
      <c r="F20" s="283"/>
      <c r="G20" s="283"/>
      <c r="H20" s="283"/>
      <c r="I20" s="283"/>
      <c r="J20" s="204" t="s">
        <v>671</v>
      </c>
      <c r="K20" s="204" t="s">
        <v>672</v>
      </c>
      <c r="L20" s="204" t="s">
        <v>673</v>
      </c>
      <c r="M20" s="284" t="s">
        <v>674</v>
      </c>
      <c r="N20" s="204" t="s">
        <v>3</v>
      </c>
      <c r="O20" s="205"/>
    </row>
    <row r="21" spans="2:15" ht="103.5" customHeight="1">
      <c r="B21" s="207" t="s">
        <v>675</v>
      </c>
      <c r="C21" s="208" t="s">
        <v>676</v>
      </c>
      <c r="D21" s="208" t="s">
        <v>677</v>
      </c>
      <c r="E21" s="208" t="s">
        <v>678</v>
      </c>
      <c r="F21" s="209" t="s">
        <v>679</v>
      </c>
      <c r="G21" s="209" t="s">
        <v>680</v>
      </c>
      <c r="H21" s="209" t="s">
        <v>681</v>
      </c>
      <c r="I21" s="209" t="s">
        <v>682</v>
      </c>
      <c r="J21" s="210" t="s">
        <v>683</v>
      </c>
      <c r="K21" s="210" t="s">
        <v>684</v>
      </c>
      <c r="L21" s="210" t="s">
        <v>685</v>
      </c>
      <c r="M21" s="285"/>
      <c r="N21" s="288" t="s">
        <v>690</v>
      </c>
    </row>
    <row r="22" spans="2:15" ht="97.5" customHeight="1">
      <c r="B22" s="211">
        <v>1</v>
      </c>
      <c r="C22" s="208" t="s">
        <v>688</v>
      </c>
      <c r="D22" s="212"/>
      <c r="E22" s="212" t="s">
        <v>252</v>
      </c>
      <c r="F22" s="213">
        <f>36164.73*0</f>
        <v>0</v>
      </c>
      <c r="G22" s="212">
        <v>1</v>
      </c>
      <c r="H22" s="214">
        <v>41512</v>
      </c>
      <c r="I22" s="212"/>
      <c r="J22" s="212" t="s">
        <v>242</v>
      </c>
      <c r="K22" s="212" t="s">
        <v>242</v>
      </c>
      <c r="L22" s="212" t="s">
        <v>242</v>
      </c>
      <c r="M22" s="212" t="s">
        <v>242</v>
      </c>
      <c r="N22" s="288"/>
    </row>
    <row r="23" spans="2:15" ht="53.25" customHeight="1">
      <c r="B23" s="207">
        <v>2</v>
      </c>
      <c r="C23" s="208"/>
      <c r="D23" s="211"/>
      <c r="E23" s="211"/>
      <c r="F23" s="213"/>
      <c r="G23" s="212"/>
      <c r="H23" s="214"/>
      <c r="I23" s="212"/>
      <c r="J23" s="218"/>
      <c r="K23" s="212"/>
      <c r="L23" s="212"/>
      <c r="M23" s="218"/>
      <c r="N23" s="288"/>
    </row>
    <row r="24" spans="2:15" ht="18.75" customHeight="1">
      <c r="B24" s="287" t="s">
        <v>689</v>
      </c>
      <c r="C24" s="287"/>
      <c r="D24" s="287"/>
      <c r="E24" s="215"/>
      <c r="F24" s="216">
        <f>SUM(F22:F23)</f>
        <v>0</v>
      </c>
      <c r="G24" s="217"/>
      <c r="H24" s="217"/>
      <c r="I24" s="217"/>
      <c r="J24" s="217"/>
      <c r="K24" s="217"/>
      <c r="L24" s="217"/>
      <c r="M24" s="217"/>
      <c r="N24" s="288"/>
      <c r="O24" s="101">
        <v>48</v>
      </c>
    </row>
    <row r="26" spans="2:15" ht="36" customHeight="1">
      <c r="B26" s="203" t="s">
        <v>668</v>
      </c>
      <c r="C26" s="282" t="s">
        <v>691</v>
      </c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</row>
    <row r="27" spans="2:15" s="206" customFormat="1" ht="31.5">
      <c r="B27" s="283" t="s">
        <v>670</v>
      </c>
      <c r="C27" s="283"/>
      <c r="D27" s="283"/>
      <c r="E27" s="283"/>
      <c r="F27" s="283"/>
      <c r="G27" s="283"/>
      <c r="H27" s="283"/>
      <c r="I27" s="283"/>
      <c r="J27" s="204" t="s">
        <v>671</v>
      </c>
      <c r="K27" s="204" t="s">
        <v>672</v>
      </c>
      <c r="L27" s="204" t="s">
        <v>673</v>
      </c>
      <c r="M27" s="284" t="s">
        <v>674</v>
      </c>
      <c r="N27" s="204" t="s">
        <v>3</v>
      </c>
      <c r="O27" s="205"/>
    </row>
    <row r="28" spans="2:15" ht="103.5" customHeight="1">
      <c r="B28" s="207" t="s">
        <v>675</v>
      </c>
      <c r="C28" s="208" t="s">
        <v>676</v>
      </c>
      <c r="D28" s="208" t="s">
        <v>677</v>
      </c>
      <c r="E28" s="208" t="s">
        <v>678</v>
      </c>
      <c r="F28" s="209" t="s">
        <v>679</v>
      </c>
      <c r="G28" s="209" t="s">
        <v>680</v>
      </c>
      <c r="H28" s="209" t="s">
        <v>681</v>
      </c>
      <c r="I28" s="209" t="s">
        <v>682</v>
      </c>
      <c r="J28" s="210" t="s">
        <v>683</v>
      </c>
      <c r="K28" s="210" t="s">
        <v>684</v>
      </c>
      <c r="L28" s="210" t="s">
        <v>685</v>
      </c>
      <c r="M28" s="285"/>
      <c r="N28" s="308" t="s">
        <v>745</v>
      </c>
    </row>
    <row r="29" spans="2:15" ht="97.5" customHeight="1">
      <c r="B29" s="211">
        <v>1</v>
      </c>
      <c r="C29" s="311"/>
      <c r="D29" s="301"/>
      <c r="E29" s="212" t="s">
        <v>692</v>
      </c>
      <c r="F29" s="304"/>
      <c r="G29" s="212"/>
      <c r="H29" s="306"/>
      <c r="I29" s="301"/>
      <c r="J29" s="301"/>
      <c r="K29" s="301"/>
      <c r="L29" s="301"/>
      <c r="M29" s="212"/>
      <c r="N29" s="309"/>
    </row>
    <row r="30" spans="2:15" ht="97.5" customHeight="1">
      <c r="B30" s="211">
        <v>2</v>
      </c>
      <c r="C30" s="312"/>
      <c r="D30" s="302"/>
      <c r="E30" s="211" t="s">
        <v>693</v>
      </c>
      <c r="F30" s="305"/>
      <c r="G30" s="212"/>
      <c r="H30" s="307"/>
      <c r="I30" s="302"/>
      <c r="J30" s="302"/>
      <c r="K30" s="302"/>
      <c r="L30" s="302"/>
      <c r="M30" s="212"/>
      <c r="N30" s="309"/>
    </row>
    <row r="31" spans="2:15" ht="53.25" customHeight="1">
      <c r="B31" s="207">
        <v>3</v>
      </c>
      <c r="C31" s="208"/>
      <c r="D31" s="211"/>
      <c r="E31" s="211" t="s">
        <v>693</v>
      </c>
      <c r="F31" s="213"/>
      <c r="G31" s="212"/>
      <c r="H31" s="214"/>
      <c r="I31" s="212"/>
      <c r="J31" s="212"/>
      <c r="K31" s="212"/>
      <c r="L31" s="212"/>
      <c r="M31" s="212"/>
      <c r="N31" s="309"/>
    </row>
    <row r="32" spans="2:15" ht="18.75" customHeight="1">
      <c r="B32" s="287" t="s">
        <v>689</v>
      </c>
      <c r="C32" s="287"/>
      <c r="D32" s="287"/>
      <c r="E32" s="215"/>
      <c r="F32" s="216">
        <f>+F29+F31</f>
        <v>0</v>
      </c>
      <c r="G32" s="217"/>
      <c r="H32" s="217"/>
      <c r="I32" s="217" t="s">
        <v>242</v>
      </c>
      <c r="J32" s="217"/>
      <c r="K32" s="217"/>
      <c r="L32" s="217"/>
      <c r="M32" s="217"/>
      <c r="N32" s="310"/>
      <c r="O32" s="101">
        <v>47</v>
      </c>
    </row>
    <row r="34" spans="2:15" ht="36" customHeight="1">
      <c r="B34" s="203" t="s">
        <v>668</v>
      </c>
      <c r="C34" s="282" t="s">
        <v>53</v>
      </c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</row>
    <row r="35" spans="2:15" s="206" customFormat="1" ht="31.5">
      <c r="B35" s="283" t="s">
        <v>670</v>
      </c>
      <c r="C35" s="283"/>
      <c r="D35" s="283"/>
      <c r="E35" s="283"/>
      <c r="F35" s="283"/>
      <c r="G35" s="283"/>
      <c r="H35" s="283"/>
      <c r="I35" s="283"/>
      <c r="J35" s="204" t="s">
        <v>671</v>
      </c>
      <c r="K35" s="204" t="s">
        <v>672</v>
      </c>
      <c r="L35" s="204" t="s">
        <v>673</v>
      </c>
      <c r="M35" s="284" t="s">
        <v>674</v>
      </c>
      <c r="N35" s="204" t="s">
        <v>3</v>
      </c>
      <c r="O35" s="205"/>
    </row>
    <row r="36" spans="2:15" ht="103.5" customHeight="1">
      <c r="B36" s="207" t="s">
        <v>675</v>
      </c>
      <c r="C36" s="208" t="s">
        <v>676</v>
      </c>
      <c r="D36" s="208" t="s">
        <v>677</v>
      </c>
      <c r="E36" s="208" t="s">
        <v>678</v>
      </c>
      <c r="F36" s="209" t="s">
        <v>679</v>
      </c>
      <c r="G36" s="209" t="s">
        <v>680</v>
      </c>
      <c r="H36" s="209" t="s">
        <v>681</v>
      </c>
      <c r="I36" s="209" t="s">
        <v>682</v>
      </c>
      <c r="J36" s="210" t="s">
        <v>683</v>
      </c>
      <c r="K36" s="210" t="s">
        <v>684</v>
      </c>
      <c r="L36" s="210" t="s">
        <v>685</v>
      </c>
      <c r="M36" s="285"/>
      <c r="N36" s="286" t="s">
        <v>242</v>
      </c>
    </row>
    <row r="37" spans="2:15" ht="97.5" customHeight="1">
      <c r="B37" s="211">
        <v>1</v>
      </c>
      <c r="C37" s="208" t="s">
        <v>694</v>
      </c>
      <c r="D37" s="212" t="s">
        <v>242</v>
      </c>
      <c r="E37" s="212" t="s">
        <v>695</v>
      </c>
      <c r="F37" s="213">
        <f>4860.49*0.95</f>
        <v>4617.4654999999993</v>
      </c>
      <c r="G37" s="212">
        <v>12</v>
      </c>
      <c r="H37" s="214">
        <v>41639</v>
      </c>
      <c r="I37" s="212"/>
      <c r="J37" s="212" t="s">
        <v>242</v>
      </c>
      <c r="K37" s="212" t="s">
        <v>128</v>
      </c>
      <c r="L37" s="212" t="s">
        <v>242</v>
      </c>
      <c r="M37" s="212" t="s">
        <v>242</v>
      </c>
      <c r="N37" s="286"/>
    </row>
    <row r="38" spans="2:15" ht="53.25" customHeight="1">
      <c r="B38" s="207">
        <v>2</v>
      </c>
      <c r="C38" s="208" t="s">
        <v>696</v>
      </c>
      <c r="D38" s="211" t="s">
        <v>242</v>
      </c>
      <c r="E38" s="212" t="s">
        <v>695</v>
      </c>
      <c r="F38" s="213">
        <v>6149.85</v>
      </c>
      <c r="G38" s="212">
        <v>2</v>
      </c>
      <c r="H38" s="214">
        <v>41179</v>
      </c>
      <c r="I38" s="212"/>
      <c r="J38" s="212" t="s">
        <v>242</v>
      </c>
      <c r="K38" s="212" t="s">
        <v>242</v>
      </c>
      <c r="L38" s="212" t="s">
        <v>242</v>
      </c>
      <c r="M38" s="212" t="s">
        <v>242</v>
      </c>
      <c r="N38" s="286"/>
    </row>
    <row r="39" spans="2:15" ht="18.75" customHeight="1">
      <c r="B39" s="287" t="s">
        <v>689</v>
      </c>
      <c r="C39" s="287"/>
      <c r="D39" s="287"/>
      <c r="E39" s="215"/>
      <c r="F39" s="216">
        <f>+F37+F38</f>
        <v>10767.315500000001</v>
      </c>
      <c r="G39" s="217"/>
      <c r="H39" s="217"/>
      <c r="I39" s="217" t="s">
        <v>242</v>
      </c>
      <c r="J39" s="217"/>
      <c r="K39" s="217"/>
      <c r="L39" s="217"/>
      <c r="M39" s="217"/>
      <c r="N39" s="286"/>
      <c r="O39" s="101">
        <v>46</v>
      </c>
    </row>
    <row r="41" spans="2:15" ht="36" customHeight="1">
      <c r="B41" s="203" t="s">
        <v>668</v>
      </c>
      <c r="C41" s="282" t="s">
        <v>52</v>
      </c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</row>
    <row r="42" spans="2:15" s="206" customFormat="1" ht="31.5">
      <c r="B42" s="283" t="s">
        <v>670</v>
      </c>
      <c r="C42" s="283"/>
      <c r="D42" s="283"/>
      <c r="E42" s="283"/>
      <c r="F42" s="283"/>
      <c r="G42" s="283"/>
      <c r="H42" s="283"/>
      <c r="I42" s="283"/>
      <c r="J42" s="204" t="s">
        <v>671</v>
      </c>
      <c r="K42" s="204" t="s">
        <v>672</v>
      </c>
      <c r="L42" s="204" t="s">
        <v>673</v>
      </c>
      <c r="M42" s="284" t="s">
        <v>674</v>
      </c>
      <c r="N42" s="204" t="s">
        <v>3</v>
      </c>
      <c r="O42" s="205"/>
    </row>
    <row r="43" spans="2:15" ht="103.5" customHeight="1">
      <c r="B43" s="207" t="s">
        <v>675</v>
      </c>
      <c r="C43" s="208" t="s">
        <v>676</v>
      </c>
      <c r="D43" s="208" t="s">
        <v>677</v>
      </c>
      <c r="E43" s="208" t="s">
        <v>678</v>
      </c>
      <c r="F43" s="209" t="s">
        <v>679</v>
      </c>
      <c r="G43" s="209" t="s">
        <v>680</v>
      </c>
      <c r="H43" s="209" t="s">
        <v>681</v>
      </c>
      <c r="I43" s="209" t="s">
        <v>682</v>
      </c>
      <c r="J43" s="210" t="s">
        <v>683</v>
      </c>
      <c r="K43" s="210" t="s">
        <v>684</v>
      </c>
      <c r="L43" s="210" t="s">
        <v>685</v>
      </c>
      <c r="M43" s="285"/>
      <c r="N43" s="286" t="s">
        <v>242</v>
      </c>
    </row>
    <row r="44" spans="2:15" ht="97.5" customHeight="1">
      <c r="B44" s="211">
        <v>1</v>
      </c>
      <c r="C44" s="208" t="s">
        <v>697</v>
      </c>
      <c r="D44" s="212" t="s">
        <v>242</v>
      </c>
      <c r="E44" s="212" t="s">
        <v>52</v>
      </c>
      <c r="F44" s="213">
        <v>19874.73</v>
      </c>
      <c r="G44" s="212">
        <v>70</v>
      </c>
      <c r="H44" s="214">
        <v>36997</v>
      </c>
      <c r="I44" s="212"/>
      <c r="J44" s="212" t="s">
        <v>242</v>
      </c>
      <c r="K44" s="212" t="s">
        <v>242</v>
      </c>
      <c r="L44" s="212" t="s">
        <v>242</v>
      </c>
      <c r="M44" s="212" t="s">
        <v>242</v>
      </c>
      <c r="N44" s="286"/>
    </row>
    <row r="45" spans="2:15" ht="97.5" customHeight="1">
      <c r="B45" s="211">
        <v>2</v>
      </c>
      <c r="C45" s="208" t="s">
        <v>698</v>
      </c>
      <c r="D45" s="213" t="s">
        <v>242</v>
      </c>
      <c r="E45" s="212" t="s">
        <v>52</v>
      </c>
      <c r="F45" s="213">
        <v>11719.44</v>
      </c>
      <c r="G45" s="212">
        <v>74</v>
      </c>
      <c r="H45" s="214">
        <v>44228</v>
      </c>
      <c r="I45" s="212"/>
      <c r="J45" s="212" t="s">
        <v>242</v>
      </c>
      <c r="K45" s="212" t="s">
        <v>242</v>
      </c>
      <c r="L45" s="212" t="s">
        <v>242</v>
      </c>
      <c r="M45" s="212" t="s">
        <v>242</v>
      </c>
      <c r="N45" s="286"/>
    </row>
    <row r="46" spans="2:15" ht="18.75" customHeight="1">
      <c r="B46" s="287" t="s">
        <v>689</v>
      </c>
      <c r="C46" s="287"/>
      <c r="D46" s="287"/>
      <c r="E46" s="215"/>
      <c r="F46" s="216">
        <f>+F45+F44</f>
        <v>31594.17</v>
      </c>
      <c r="G46" s="217"/>
      <c r="H46" s="217"/>
      <c r="I46" s="217" t="s">
        <v>242</v>
      </c>
      <c r="J46" s="217"/>
      <c r="K46" s="217"/>
      <c r="L46" s="217"/>
      <c r="M46" s="217"/>
      <c r="N46" s="286"/>
      <c r="O46" s="101">
        <v>45</v>
      </c>
    </row>
    <row r="48" spans="2:15" ht="36" customHeight="1">
      <c r="B48" s="203" t="s">
        <v>668</v>
      </c>
      <c r="C48" s="282" t="s">
        <v>51</v>
      </c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</row>
    <row r="49" spans="2:15" s="206" customFormat="1" ht="31.5">
      <c r="B49" s="283" t="s">
        <v>670</v>
      </c>
      <c r="C49" s="283"/>
      <c r="D49" s="283"/>
      <c r="E49" s="283"/>
      <c r="F49" s="283"/>
      <c r="G49" s="283"/>
      <c r="H49" s="283"/>
      <c r="I49" s="283"/>
      <c r="J49" s="204" t="s">
        <v>671</v>
      </c>
      <c r="K49" s="204" t="s">
        <v>672</v>
      </c>
      <c r="L49" s="204" t="s">
        <v>673</v>
      </c>
      <c r="M49" s="284" t="s">
        <v>674</v>
      </c>
      <c r="N49" s="204" t="s">
        <v>3</v>
      </c>
      <c r="O49" s="205"/>
    </row>
    <row r="50" spans="2:15" ht="103.5" customHeight="1">
      <c r="B50" s="207" t="s">
        <v>675</v>
      </c>
      <c r="C50" s="208" t="s">
        <v>676</v>
      </c>
      <c r="D50" s="208" t="s">
        <v>677</v>
      </c>
      <c r="E50" s="208" t="s">
        <v>678</v>
      </c>
      <c r="F50" s="209" t="s">
        <v>679</v>
      </c>
      <c r="G50" s="209" t="s">
        <v>680</v>
      </c>
      <c r="H50" s="209" t="s">
        <v>681</v>
      </c>
      <c r="I50" s="209" t="s">
        <v>682</v>
      </c>
      <c r="J50" s="210" t="s">
        <v>683</v>
      </c>
      <c r="K50" s="210" t="s">
        <v>684</v>
      </c>
      <c r="L50" s="210" t="s">
        <v>685</v>
      </c>
      <c r="M50" s="285"/>
      <c r="N50" s="288" t="s">
        <v>699</v>
      </c>
    </row>
    <row r="51" spans="2:15" ht="97.5" customHeight="1">
      <c r="B51" s="211">
        <v>1</v>
      </c>
      <c r="C51" s="208" t="s">
        <v>700</v>
      </c>
      <c r="D51" s="212" t="s">
        <v>242</v>
      </c>
      <c r="E51" s="212" t="s">
        <v>51</v>
      </c>
      <c r="F51" s="213">
        <v>54829.22</v>
      </c>
      <c r="G51" s="212">
        <v>33</v>
      </c>
      <c r="H51" s="214" t="s">
        <v>701</v>
      </c>
      <c r="I51" s="212"/>
      <c r="J51" s="212" t="s">
        <v>242</v>
      </c>
      <c r="K51" s="212" t="s">
        <v>242</v>
      </c>
      <c r="L51" s="212" t="s">
        <v>242</v>
      </c>
      <c r="M51" s="301" t="s">
        <v>242</v>
      </c>
      <c r="N51" s="288"/>
    </row>
    <row r="52" spans="2:15" ht="53.25" customHeight="1">
      <c r="B52" s="207">
        <v>2</v>
      </c>
      <c r="C52" s="208" t="s">
        <v>702</v>
      </c>
      <c r="D52" s="212" t="s">
        <v>242</v>
      </c>
      <c r="E52" s="212" t="s">
        <v>51</v>
      </c>
      <c r="F52" s="213">
        <v>43762.79</v>
      </c>
      <c r="G52" s="212">
        <v>37</v>
      </c>
      <c r="H52" s="214" t="s">
        <v>703</v>
      </c>
      <c r="I52" s="212"/>
      <c r="J52" s="212" t="s">
        <v>242</v>
      </c>
      <c r="K52" s="212" t="s">
        <v>242</v>
      </c>
      <c r="L52" s="212" t="s">
        <v>242</v>
      </c>
      <c r="M52" s="302"/>
      <c r="N52" s="288"/>
    </row>
    <row r="53" spans="2:15" ht="44.25" customHeight="1">
      <c r="B53" s="287" t="s">
        <v>689</v>
      </c>
      <c r="C53" s="287"/>
      <c r="D53" s="287"/>
      <c r="E53" s="215"/>
      <c r="F53" s="216">
        <v>0</v>
      </c>
      <c r="G53" s="217"/>
      <c r="H53" s="220" t="s">
        <v>128</v>
      </c>
      <c r="I53" s="220"/>
      <c r="J53" s="217"/>
      <c r="K53" s="217"/>
      <c r="L53" s="217"/>
      <c r="M53" s="217"/>
      <c r="N53" s="288"/>
      <c r="O53" s="101">
        <v>44</v>
      </c>
    </row>
    <row r="55" spans="2:15" ht="36" customHeight="1">
      <c r="B55" s="203" t="s">
        <v>668</v>
      </c>
      <c r="C55" s="282" t="s">
        <v>50</v>
      </c>
      <c r="D55" s="282"/>
      <c r="E55" s="282"/>
      <c r="F55" s="282"/>
      <c r="G55" s="282"/>
      <c r="H55" s="282"/>
      <c r="I55" s="282"/>
      <c r="J55" s="282"/>
      <c r="K55" s="282"/>
      <c r="L55" s="282"/>
      <c r="M55" s="282"/>
      <c r="N55" s="282"/>
    </row>
    <row r="56" spans="2:15" s="206" customFormat="1" ht="31.5">
      <c r="B56" s="283" t="s">
        <v>670</v>
      </c>
      <c r="C56" s="283"/>
      <c r="D56" s="283"/>
      <c r="E56" s="283"/>
      <c r="F56" s="283"/>
      <c r="G56" s="283"/>
      <c r="H56" s="283"/>
      <c r="I56" s="283"/>
      <c r="J56" s="204" t="s">
        <v>671</v>
      </c>
      <c r="K56" s="204" t="s">
        <v>672</v>
      </c>
      <c r="L56" s="204" t="s">
        <v>673</v>
      </c>
      <c r="M56" s="284" t="s">
        <v>674</v>
      </c>
      <c r="N56" s="204" t="s">
        <v>3</v>
      </c>
      <c r="O56" s="205"/>
    </row>
    <row r="57" spans="2:15" ht="103.5" customHeight="1">
      <c r="B57" s="207" t="s">
        <v>675</v>
      </c>
      <c r="C57" s="208" t="s">
        <v>676</v>
      </c>
      <c r="D57" s="208" t="s">
        <v>677</v>
      </c>
      <c r="E57" s="208" t="s">
        <v>678</v>
      </c>
      <c r="F57" s="209" t="s">
        <v>679</v>
      </c>
      <c r="G57" s="209" t="s">
        <v>680</v>
      </c>
      <c r="H57" s="209" t="s">
        <v>681</v>
      </c>
      <c r="I57" s="209" t="s">
        <v>682</v>
      </c>
      <c r="J57" s="210" t="s">
        <v>683</v>
      </c>
      <c r="K57" s="210" t="s">
        <v>684</v>
      </c>
      <c r="L57" s="210" t="s">
        <v>685</v>
      </c>
      <c r="M57" s="285"/>
      <c r="N57" s="298" t="s">
        <v>242</v>
      </c>
    </row>
    <row r="58" spans="2:15" ht="97.5" customHeight="1">
      <c r="B58" s="211">
        <v>1</v>
      </c>
      <c r="C58" s="208" t="s">
        <v>704</v>
      </c>
      <c r="D58" s="212" t="s">
        <v>242</v>
      </c>
      <c r="E58" s="212" t="s">
        <v>255</v>
      </c>
      <c r="F58" s="213">
        <f>46909.99*0.8</f>
        <v>37527.991999999998</v>
      </c>
      <c r="G58" s="212">
        <v>125</v>
      </c>
      <c r="H58" s="214">
        <v>44159</v>
      </c>
      <c r="I58" s="212"/>
      <c r="J58" s="212" t="s">
        <v>242</v>
      </c>
      <c r="K58" s="212" t="s">
        <v>242</v>
      </c>
      <c r="L58" s="212" t="s">
        <v>242</v>
      </c>
      <c r="M58" s="301" t="s">
        <v>242</v>
      </c>
      <c r="N58" s="298"/>
    </row>
    <row r="59" spans="2:15" ht="53.25" customHeight="1">
      <c r="B59" s="207">
        <v>2</v>
      </c>
      <c r="C59" s="208" t="s">
        <v>705</v>
      </c>
      <c r="D59" s="212" t="s">
        <v>242</v>
      </c>
      <c r="E59" s="212" t="s">
        <v>255</v>
      </c>
      <c r="F59" s="213">
        <v>18054.22</v>
      </c>
      <c r="G59" s="212">
        <v>113</v>
      </c>
      <c r="H59" s="214">
        <v>42402</v>
      </c>
      <c r="I59" s="212"/>
      <c r="J59" s="212" t="s">
        <v>242</v>
      </c>
      <c r="K59" s="212" t="s">
        <v>242</v>
      </c>
      <c r="L59" s="212"/>
      <c r="M59" s="303"/>
      <c r="N59" s="298"/>
    </row>
    <row r="60" spans="2:15" ht="63" customHeight="1">
      <c r="B60" s="207">
        <v>3</v>
      </c>
      <c r="C60" s="208" t="s">
        <v>706</v>
      </c>
      <c r="D60" s="212" t="s">
        <v>242</v>
      </c>
      <c r="E60" s="212" t="s">
        <v>255</v>
      </c>
      <c r="F60" s="213">
        <v>18759.5</v>
      </c>
      <c r="G60" s="212">
        <v>112</v>
      </c>
      <c r="H60" s="214" t="s">
        <v>128</v>
      </c>
      <c r="I60" s="212"/>
      <c r="J60" s="212" t="s">
        <v>242</v>
      </c>
      <c r="K60" s="212"/>
      <c r="L60" s="212" t="s">
        <v>242</v>
      </c>
      <c r="M60" s="302"/>
      <c r="N60" s="298"/>
    </row>
    <row r="61" spans="2:15" ht="18.75" customHeight="1">
      <c r="B61" s="287" t="s">
        <v>689</v>
      </c>
      <c r="C61" s="287"/>
      <c r="D61" s="287"/>
      <c r="E61" s="215"/>
      <c r="F61" s="216">
        <f>+F58+F59</f>
        <v>55582.212</v>
      </c>
      <c r="G61" s="217"/>
      <c r="H61" s="217" t="s">
        <v>242</v>
      </c>
      <c r="I61" s="217" t="s">
        <v>242</v>
      </c>
      <c r="J61" s="217"/>
      <c r="K61" s="217"/>
      <c r="L61" s="217"/>
      <c r="M61" s="217"/>
      <c r="N61" s="298"/>
      <c r="O61" s="101">
        <v>43</v>
      </c>
    </row>
    <row r="63" spans="2:15" ht="36" customHeight="1">
      <c r="B63" s="203" t="s">
        <v>668</v>
      </c>
      <c r="C63" s="282" t="s">
        <v>49</v>
      </c>
      <c r="D63" s="282"/>
      <c r="E63" s="282"/>
      <c r="F63" s="282"/>
      <c r="G63" s="282"/>
      <c r="H63" s="282"/>
      <c r="I63" s="282"/>
      <c r="J63" s="282"/>
      <c r="K63" s="282"/>
      <c r="L63" s="282"/>
      <c r="M63" s="282"/>
      <c r="N63" s="282"/>
    </row>
    <row r="64" spans="2:15" s="206" customFormat="1" ht="31.5">
      <c r="B64" s="283" t="s">
        <v>670</v>
      </c>
      <c r="C64" s="283"/>
      <c r="D64" s="283"/>
      <c r="E64" s="283"/>
      <c r="F64" s="283"/>
      <c r="G64" s="283"/>
      <c r="H64" s="283"/>
      <c r="I64" s="283"/>
      <c r="J64" s="204" t="s">
        <v>671</v>
      </c>
      <c r="K64" s="204" t="s">
        <v>672</v>
      </c>
      <c r="L64" s="204" t="s">
        <v>673</v>
      </c>
      <c r="M64" s="284" t="s">
        <v>674</v>
      </c>
      <c r="N64" s="204" t="s">
        <v>3</v>
      </c>
      <c r="O64" s="205"/>
    </row>
    <row r="65" spans="2:15" ht="103.5" customHeight="1">
      <c r="B65" s="207" t="s">
        <v>675</v>
      </c>
      <c r="C65" s="208" t="s">
        <v>676</v>
      </c>
      <c r="D65" s="208" t="s">
        <v>677</v>
      </c>
      <c r="E65" s="208" t="s">
        <v>678</v>
      </c>
      <c r="F65" s="209" t="s">
        <v>679</v>
      </c>
      <c r="G65" s="209" t="s">
        <v>680</v>
      </c>
      <c r="H65" s="209" t="s">
        <v>681</v>
      </c>
      <c r="I65" s="209" t="s">
        <v>682</v>
      </c>
      <c r="J65" s="210" t="s">
        <v>683</v>
      </c>
      <c r="K65" s="210" t="s">
        <v>684</v>
      </c>
      <c r="L65" s="210" t="s">
        <v>685</v>
      </c>
      <c r="M65" s="285"/>
      <c r="N65" s="288" t="s">
        <v>707</v>
      </c>
    </row>
    <row r="66" spans="2:15" ht="97.5" customHeight="1">
      <c r="B66" s="211">
        <v>1</v>
      </c>
      <c r="C66" s="208"/>
      <c r="D66" s="212"/>
      <c r="E66" s="212" t="s">
        <v>256</v>
      </c>
      <c r="F66" s="213"/>
      <c r="G66" s="212"/>
      <c r="H66" s="214"/>
      <c r="I66" s="212"/>
      <c r="J66" s="212"/>
      <c r="K66" s="212"/>
      <c r="L66" s="212"/>
      <c r="M66" s="301"/>
      <c r="N66" s="288"/>
    </row>
    <row r="67" spans="2:15" ht="53.25" customHeight="1">
      <c r="B67" s="207">
        <v>2</v>
      </c>
      <c r="C67" s="208"/>
      <c r="D67" s="212"/>
      <c r="E67" s="212" t="s">
        <v>256</v>
      </c>
      <c r="F67" s="213"/>
      <c r="G67" s="212"/>
      <c r="H67" s="214"/>
      <c r="I67" s="212"/>
      <c r="J67" s="212"/>
      <c r="K67" s="212"/>
      <c r="L67" s="212"/>
      <c r="M67" s="302"/>
      <c r="N67" s="288"/>
    </row>
    <row r="68" spans="2:15" ht="18.75" customHeight="1">
      <c r="B68" s="287" t="s">
        <v>689</v>
      </c>
      <c r="C68" s="287"/>
      <c r="D68" s="287"/>
      <c r="E68" s="215"/>
      <c r="F68" s="216">
        <f>+F66+F67</f>
        <v>0</v>
      </c>
      <c r="G68" s="217"/>
      <c r="H68" s="217"/>
      <c r="I68" s="217"/>
      <c r="J68" s="217"/>
      <c r="K68" s="217"/>
      <c r="L68" s="217"/>
      <c r="M68" s="217"/>
      <c r="N68" s="288"/>
      <c r="O68" s="101">
        <v>42</v>
      </c>
    </row>
    <row r="70" spans="2:15" ht="36" customHeight="1">
      <c r="B70" s="203" t="s">
        <v>668</v>
      </c>
      <c r="C70" s="282" t="s">
        <v>48</v>
      </c>
      <c r="D70" s="282"/>
      <c r="E70" s="282"/>
      <c r="F70" s="282"/>
      <c r="G70" s="282"/>
      <c r="H70" s="282"/>
      <c r="I70" s="282"/>
      <c r="J70" s="282"/>
      <c r="K70" s="282"/>
      <c r="L70" s="282"/>
      <c r="M70" s="282"/>
      <c r="N70" s="282"/>
    </row>
    <row r="71" spans="2:15" s="206" customFormat="1" ht="48.6" customHeight="1">
      <c r="B71" s="283" t="s">
        <v>670</v>
      </c>
      <c r="C71" s="283"/>
      <c r="D71" s="283"/>
      <c r="E71" s="283"/>
      <c r="F71" s="283"/>
      <c r="G71" s="283"/>
      <c r="H71" s="283"/>
      <c r="I71" s="283"/>
      <c r="J71" s="204" t="s">
        <v>671</v>
      </c>
      <c r="K71" s="204" t="s">
        <v>672</v>
      </c>
      <c r="L71" s="204" t="s">
        <v>673</v>
      </c>
      <c r="M71" s="284" t="s">
        <v>674</v>
      </c>
      <c r="N71" s="204" t="s">
        <v>3</v>
      </c>
      <c r="O71" s="205"/>
    </row>
    <row r="72" spans="2:15" ht="103.5" customHeight="1">
      <c r="B72" s="207" t="s">
        <v>675</v>
      </c>
      <c r="C72" s="208" t="s">
        <v>676</v>
      </c>
      <c r="D72" s="208" t="s">
        <v>677</v>
      </c>
      <c r="E72" s="208" t="s">
        <v>678</v>
      </c>
      <c r="F72" s="209" t="s">
        <v>679</v>
      </c>
      <c r="G72" s="209" t="s">
        <v>680</v>
      </c>
      <c r="H72" s="209" t="s">
        <v>681</v>
      </c>
      <c r="I72" s="209" t="s">
        <v>682</v>
      </c>
      <c r="J72" s="210" t="s">
        <v>683</v>
      </c>
      <c r="K72" s="210" t="s">
        <v>684</v>
      </c>
      <c r="L72" s="210" t="s">
        <v>685</v>
      </c>
      <c r="M72" s="285"/>
      <c r="N72" s="298" t="s">
        <v>242</v>
      </c>
    </row>
    <row r="73" spans="2:15" ht="97.5" customHeight="1">
      <c r="B73" s="211">
        <v>1</v>
      </c>
      <c r="C73" s="208" t="s">
        <v>708</v>
      </c>
      <c r="D73" s="212" t="s">
        <v>242</v>
      </c>
      <c r="E73" s="212" t="s">
        <v>48</v>
      </c>
      <c r="F73" s="213">
        <v>27548.41</v>
      </c>
      <c r="G73" s="212">
        <v>38</v>
      </c>
      <c r="H73" s="214">
        <v>37712</v>
      </c>
      <c r="J73" s="212" t="s">
        <v>242</v>
      </c>
      <c r="K73" s="212" t="s">
        <v>242</v>
      </c>
      <c r="L73" s="212" t="s">
        <v>242</v>
      </c>
      <c r="M73" s="219" t="s">
        <v>242</v>
      </c>
      <c r="N73" s="298"/>
    </row>
    <row r="74" spans="2:15" ht="97.5" customHeight="1">
      <c r="B74" s="211">
        <v>2</v>
      </c>
      <c r="C74" s="208" t="s">
        <v>709</v>
      </c>
      <c r="D74" s="212" t="s">
        <v>242</v>
      </c>
      <c r="E74" s="212" t="s">
        <v>48</v>
      </c>
      <c r="F74" s="213">
        <v>4660.1499999999996</v>
      </c>
      <c r="G74" s="212">
        <v>5</v>
      </c>
      <c r="H74" s="214">
        <v>41701</v>
      </c>
      <c r="I74" s="212"/>
      <c r="J74" s="212" t="s">
        <v>242</v>
      </c>
      <c r="K74" s="212" t="s">
        <v>242</v>
      </c>
      <c r="L74" s="212" t="s">
        <v>242</v>
      </c>
      <c r="M74" s="219" t="s">
        <v>242</v>
      </c>
      <c r="N74" s="298"/>
    </row>
    <row r="75" spans="2:15" ht="18.75" customHeight="1">
      <c r="B75" s="287" t="s">
        <v>689</v>
      </c>
      <c r="C75" s="287"/>
      <c r="D75" s="287"/>
      <c r="E75" s="215"/>
      <c r="F75" s="216">
        <f>+F73+F74</f>
        <v>32208.559999999998</v>
      </c>
      <c r="G75" s="217"/>
      <c r="H75" s="220"/>
      <c r="I75" s="221" t="s">
        <v>242</v>
      </c>
      <c r="J75" s="217"/>
      <c r="K75" s="217"/>
      <c r="L75" s="217"/>
      <c r="M75" s="217"/>
      <c r="N75" s="298"/>
      <c r="O75" s="101">
        <v>41</v>
      </c>
    </row>
    <row r="77" spans="2:15" ht="36" customHeight="1">
      <c r="B77" s="203" t="s">
        <v>668</v>
      </c>
      <c r="C77" s="282" t="s">
        <v>710</v>
      </c>
      <c r="D77" s="282"/>
      <c r="E77" s="282"/>
      <c r="F77" s="282"/>
      <c r="G77" s="282"/>
      <c r="H77" s="282"/>
      <c r="I77" s="282"/>
      <c r="J77" s="282"/>
      <c r="K77" s="282"/>
      <c r="L77" s="282"/>
      <c r="M77" s="282"/>
      <c r="N77" s="282"/>
    </row>
    <row r="78" spans="2:15" s="206" customFormat="1" ht="43.5" customHeight="1">
      <c r="B78" s="283" t="s">
        <v>670</v>
      </c>
      <c r="C78" s="283"/>
      <c r="D78" s="283"/>
      <c r="E78" s="283"/>
      <c r="F78" s="283"/>
      <c r="G78" s="283"/>
      <c r="H78" s="283"/>
      <c r="I78" s="283"/>
      <c r="J78" s="204" t="s">
        <v>671</v>
      </c>
      <c r="K78" s="204" t="s">
        <v>672</v>
      </c>
      <c r="L78" s="204" t="s">
        <v>673</v>
      </c>
      <c r="M78" s="284" t="s">
        <v>674</v>
      </c>
      <c r="N78" s="204" t="s">
        <v>3</v>
      </c>
      <c r="O78" s="205"/>
    </row>
    <row r="79" spans="2:15" ht="103.5" customHeight="1">
      <c r="B79" s="207" t="s">
        <v>675</v>
      </c>
      <c r="C79" s="208" t="s">
        <v>676</v>
      </c>
      <c r="D79" s="208" t="s">
        <v>677</v>
      </c>
      <c r="E79" s="208" t="s">
        <v>678</v>
      </c>
      <c r="F79" s="209" t="s">
        <v>679</v>
      </c>
      <c r="G79" s="209" t="s">
        <v>680</v>
      </c>
      <c r="H79" s="209" t="s">
        <v>681</v>
      </c>
      <c r="I79" s="209" t="s">
        <v>682</v>
      </c>
      <c r="J79" s="210" t="s">
        <v>683</v>
      </c>
      <c r="K79" s="210" t="s">
        <v>684</v>
      </c>
      <c r="L79" s="210" t="s">
        <v>685</v>
      </c>
      <c r="M79" s="285"/>
      <c r="N79" s="286" t="s">
        <v>242</v>
      </c>
    </row>
    <row r="80" spans="2:15" ht="97.5" customHeight="1">
      <c r="B80" s="211">
        <v>1</v>
      </c>
      <c r="C80" s="208" t="s">
        <v>711</v>
      </c>
      <c r="D80" s="212" t="s">
        <v>242</v>
      </c>
      <c r="E80" s="212" t="s">
        <v>712</v>
      </c>
      <c r="F80" s="213">
        <f>45622.75*0.2</f>
        <v>9124.5500000000011</v>
      </c>
      <c r="G80" s="212">
        <v>21</v>
      </c>
      <c r="H80" s="214">
        <v>41255</v>
      </c>
      <c r="I80" s="212" t="s">
        <v>242</v>
      </c>
      <c r="J80" s="212" t="s">
        <v>242</v>
      </c>
      <c r="K80" s="212" t="s">
        <v>242</v>
      </c>
      <c r="L80" s="212" t="s">
        <v>242</v>
      </c>
      <c r="M80" s="212" t="s">
        <v>242</v>
      </c>
      <c r="N80" s="286"/>
    </row>
    <row r="81" spans="2:15" ht="53.25" customHeight="1">
      <c r="B81" s="207">
        <v>2</v>
      </c>
      <c r="C81" s="208"/>
      <c r="D81" s="212"/>
      <c r="E81" s="212"/>
      <c r="F81" s="213"/>
      <c r="G81" s="212"/>
      <c r="H81" s="214"/>
      <c r="I81" s="212"/>
      <c r="J81" s="212"/>
      <c r="K81" s="212"/>
      <c r="L81" s="212"/>
      <c r="M81" s="222"/>
      <c r="N81" s="286"/>
    </row>
    <row r="82" spans="2:15" ht="18.75" customHeight="1">
      <c r="B82" s="287" t="s">
        <v>689</v>
      </c>
      <c r="C82" s="287"/>
      <c r="D82" s="287"/>
      <c r="E82" s="215"/>
      <c r="F82" s="216">
        <f>+F80+F81</f>
        <v>9124.5500000000011</v>
      </c>
      <c r="G82" s="217"/>
      <c r="H82" s="217"/>
      <c r="I82" s="217" t="s">
        <v>242</v>
      </c>
      <c r="J82" s="217"/>
      <c r="K82" s="217"/>
      <c r="L82" s="217"/>
      <c r="M82" s="217"/>
      <c r="N82" s="286"/>
      <c r="O82" s="101">
        <v>40</v>
      </c>
    </row>
    <row r="84" spans="2:15" ht="36" customHeight="1">
      <c r="B84" s="203" t="s">
        <v>668</v>
      </c>
      <c r="C84" s="282" t="s">
        <v>46</v>
      </c>
      <c r="D84" s="282"/>
      <c r="E84" s="282"/>
      <c r="F84" s="282"/>
      <c r="G84" s="282"/>
      <c r="H84" s="282"/>
      <c r="I84" s="282"/>
      <c r="J84" s="282"/>
      <c r="K84" s="282"/>
      <c r="L84" s="282"/>
      <c r="M84" s="282"/>
      <c r="N84" s="282"/>
    </row>
    <row r="85" spans="2:15" s="206" customFormat="1" ht="31.5">
      <c r="B85" s="283" t="s">
        <v>670</v>
      </c>
      <c r="C85" s="283"/>
      <c r="D85" s="283"/>
      <c r="E85" s="283"/>
      <c r="F85" s="283"/>
      <c r="G85" s="283"/>
      <c r="H85" s="283"/>
      <c r="I85" s="283"/>
      <c r="J85" s="204" t="s">
        <v>671</v>
      </c>
      <c r="K85" s="204" t="s">
        <v>672</v>
      </c>
      <c r="L85" s="204" t="s">
        <v>673</v>
      </c>
      <c r="M85" s="284" t="s">
        <v>674</v>
      </c>
      <c r="N85" s="204" t="s">
        <v>3</v>
      </c>
      <c r="O85" s="205"/>
    </row>
    <row r="86" spans="2:15" ht="103.5" customHeight="1">
      <c r="B86" s="207" t="s">
        <v>675</v>
      </c>
      <c r="C86" s="208" t="s">
        <v>676</v>
      </c>
      <c r="D86" s="208" t="s">
        <v>677</v>
      </c>
      <c r="E86" s="208" t="s">
        <v>678</v>
      </c>
      <c r="F86" s="209" t="s">
        <v>679</v>
      </c>
      <c r="G86" s="209" t="s">
        <v>680</v>
      </c>
      <c r="H86" s="209" t="s">
        <v>681</v>
      </c>
      <c r="I86" s="209" t="s">
        <v>682</v>
      </c>
      <c r="J86" s="210" t="s">
        <v>683</v>
      </c>
      <c r="K86" s="210" t="s">
        <v>684</v>
      </c>
      <c r="L86" s="210" t="s">
        <v>685</v>
      </c>
      <c r="M86" s="285"/>
      <c r="N86" s="286" t="s">
        <v>242</v>
      </c>
    </row>
    <row r="87" spans="2:15" ht="97.5" customHeight="1">
      <c r="B87" s="211">
        <v>1</v>
      </c>
      <c r="C87" s="208" t="s">
        <v>713</v>
      </c>
      <c r="D87" s="212" t="s">
        <v>242</v>
      </c>
      <c r="E87" s="212" t="s">
        <v>258</v>
      </c>
      <c r="F87" s="213">
        <f>6344.05*0.35</f>
        <v>2220.4175</v>
      </c>
      <c r="G87" s="212">
        <v>70</v>
      </c>
      <c r="H87" s="214">
        <v>43682</v>
      </c>
      <c r="I87" s="212"/>
      <c r="J87" s="212" t="s">
        <v>242</v>
      </c>
      <c r="K87" s="212"/>
      <c r="L87" s="212"/>
      <c r="M87" s="212" t="s">
        <v>242</v>
      </c>
      <c r="N87" s="286"/>
    </row>
    <row r="88" spans="2:15" ht="97.5" customHeight="1">
      <c r="B88" s="290">
        <v>2</v>
      </c>
      <c r="C88" s="290" t="s">
        <v>714</v>
      </c>
      <c r="D88" s="290" t="s">
        <v>242</v>
      </c>
      <c r="E88" s="212" t="s">
        <v>258</v>
      </c>
      <c r="F88" s="299">
        <f>8231.07*0.53</f>
        <v>4362.4670999999998</v>
      </c>
      <c r="G88" s="212">
        <v>57</v>
      </c>
      <c r="H88" s="292">
        <v>42674</v>
      </c>
      <c r="I88" s="290"/>
      <c r="J88" s="290" t="s">
        <v>242</v>
      </c>
      <c r="K88" s="290"/>
      <c r="L88" s="290"/>
      <c r="M88" s="212" t="s">
        <v>242</v>
      </c>
      <c r="N88" s="286"/>
    </row>
    <row r="89" spans="2:15" ht="53.25" customHeight="1">
      <c r="B89" s="291"/>
      <c r="C89" s="291"/>
      <c r="D89" s="291"/>
      <c r="E89" s="212" t="s">
        <v>715</v>
      </c>
      <c r="F89" s="300"/>
      <c r="G89" s="212">
        <v>63</v>
      </c>
      <c r="H89" s="291"/>
      <c r="I89" s="291"/>
      <c r="J89" s="291"/>
      <c r="K89" s="291"/>
      <c r="L89" s="291"/>
      <c r="M89" s="212" t="s">
        <v>242</v>
      </c>
      <c r="N89" s="286"/>
    </row>
    <row r="90" spans="2:15" ht="86.25" customHeight="1">
      <c r="B90" s="211">
        <v>3</v>
      </c>
      <c r="C90" s="208" t="s">
        <v>716</v>
      </c>
      <c r="D90" s="212" t="s">
        <v>242</v>
      </c>
      <c r="E90" s="212" t="s">
        <v>258</v>
      </c>
      <c r="F90" s="213">
        <f>3208.36*0.49</f>
        <v>1572.0964000000001</v>
      </c>
      <c r="G90" s="212">
        <v>56</v>
      </c>
      <c r="H90" s="214">
        <v>42704</v>
      </c>
      <c r="I90" s="212"/>
      <c r="J90" s="212" t="s">
        <v>242</v>
      </c>
      <c r="K90" s="212"/>
      <c r="L90" s="212"/>
      <c r="M90" s="212" t="s">
        <v>242</v>
      </c>
      <c r="N90" s="286"/>
    </row>
    <row r="91" spans="2:15" ht="97.5" customHeight="1">
      <c r="B91" s="211">
        <v>4</v>
      </c>
      <c r="C91" s="208" t="s">
        <v>717</v>
      </c>
      <c r="D91" s="212" t="s">
        <v>242</v>
      </c>
      <c r="E91" s="212" t="s">
        <v>715</v>
      </c>
      <c r="F91" s="213">
        <f>12866.83*0.6</f>
        <v>7720.098</v>
      </c>
      <c r="G91" s="212">
        <v>52</v>
      </c>
      <c r="H91" s="214">
        <v>43813</v>
      </c>
      <c r="I91" s="212"/>
      <c r="J91" s="212" t="s">
        <v>242</v>
      </c>
      <c r="K91" s="212" t="s">
        <v>242</v>
      </c>
      <c r="L91" s="212" t="s">
        <v>242</v>
      </c>
      <c r="M91" s="212" t="s">
        <v>242</v>
      </c>
      <c r="N91" s="286"/>
    </row>
    <row r="92" spans="2:15" ht="53.25" customHeight="1">
      <c r="B92" s="211">
        <v>5</v>
      </c>
      <c r="C92" s="208" t="s">
        <v>718</v>
      </c>
      <c r="D92" s="212" t="s">
        <v>242</v>
      </c>
      <c r="E92" s="212" t="s">
        <v>395</v>
      </c>
      <c r="F92" s="213">
        <f>2279.29*0.5</f>
        <v>1139.645</v>
      </c>
      <c r="G92" s="212">
        <v>67</v>
      </c>
      <c r="H92" s="214">
        <v>41304</v>
      </c>
      <c r="I92" s="212"/>
      <c r="J92" s="212" t="s">
        <v>242</v>
      </c>
      <c r="K92" s="212"/>
      <c r="L92" s="212"/>
      <c r="M92" s="212" t="s">
        <v>242</v>
      </c>
      <c r="N92" s="286"/>
    </row>
    <row r="93" spans="2:15" ht="18.75" customHeight="1">
      <c r="B93" s="287" t="s">
        <v>689</v>
      </c>
      <c r="C93" s="287"/>
      <c r="D93" s="287"/>
      <c r="E93" s="215"/>
      <c r="F93" s="216">
        <f>SUM(F87:F92)</f>
        <v>17014.723999999998</v>
      </c>
      <c r="G93" s="217"/>
      <c r="H93" s="217"/>
      <c r="I93" s="217" t="s">
        <v>242</v>
      </c>
      <c r="J93" s="217"/>
      <c r="K93" s="217"/>
      <c r="L93" s="217"/>
      <c r="M93" s="217"/>
      <c r="N93" s="286"/>
      <c r="O93" s="101">
        <v>39</v>
      </c>
    </row>
    <row r="95" spans="2:15" ht="36" customHeight="1">
      <c r="B95" s="203" t="s">
        <v>668</v>
      </c>
      <c r="C95" s="282" t="s">
        <v>45</v>
      </c>
      <c r="D95" s="282"/>
      <c r="E95" s="282"/>
      <c r="F95" s="282"/>
      <c r="G95" s="282"/>
      <c r="H95" s="282"/>
      <c r="I95" s="282"/>
      <c r="J95" s="282"/>
      <c r="K95" s="282"/>
      <c r="L95" s="282"/>
      <c r="M95" s="282"/>
      <c r="N95" s="282"/>
    </row>
    <row r="96" spans="2:15" s="206" customFormat="1" ht="31.5">
      <c r="B96" s="283" t="s">
        <v>670</v>
      </c>
      <c r="C96" s="283"/>
      <c r="D96" s="283"/>
      <c r="E96" s="283"/>
      <c r="F96" s="283"/>
      <c r="G96" s="283"/>
      <c r="H96" s="283"/>
      <c r="I96" s="283"/>
      <c r="J96" s="204" t="s">
        <v>671</v>
      </c>
      <c r="K96" s="204" t="s">
        <v>672</v>
      </c>
      <c r="L96" s="204" t="s">
        <v>673</v>
      </c>
      <c r="M96" s="284" t="s">
        <v>674</v>
      </c>
      <c r="N96" s="204" t="s">
        <v>3</v>
      </c>
      <c r="O96" s="205"/>
    </row>
    <row r="97" spans="2:15" ht="103.5" customHeight="1">
      <c r="B97" s="207" t="s">
        <v>675</v>
      </c>
      <c r="C97" s="208" t="s">
        <v>676</v>
      </c>
      <c r="D97" s="208" t="s">
        <v>677</v>
      </c>
      <c r="E97" s="208" t="s">
        <v>678</v>
      </c>
      <c r="F97" s="209" t="s">
        <v>679</v>
      </c>
      <c r="G97" s="209" t="s">
        <v>680</v>
      </c>
      <c r="H97" s="209" t="s">
        <v>681</v>
      </c>
      <c r="I97" s="209" t="s">
        <v>682</v>
      </c>
      <c r="J97" s="210" t="s">
        <v>683</v>
      </c>
      <c r="K97" s="210" t="s">
        <v>684</v>
      </c>
      <c r="L97" s="210" t="s">
        <v>685</v>
      </c>
      <c r="M97" s="285"/>
      <c r="N97" s="286" t="s">
        <v>242</v>
      </c>
    </row>
    <row r="98" spans="2:15" ht="97.5" customHeight="1">
      <c r="B98" s="211">
        <v>1</v>
      </c>
      <c r="C98" s="208" t="s">
        <v>719</v>
      </c>
      <c r="D98" s="212" t="s">
        <v>242</v>
      </c>
      <c r="E98" s="212" t="s">
        <v>720</v>
      </c>
      <c r="F98" s="213">
        <f>33019.76*0.4</f>
        <v>13207.904000000002</v>
      </c>
      <c r="G98" s="212">
        <v>76</v>
      </c>
      <c r="H98" s="214">
        <v>40836</v>
      </c>
      <c r="I98" s="212"/>
      <c r="J98" s="212" t="s">
        <v>242</v>
      </c>
      <c r="K98" s="212" t="s">
        <v>242</v>
      </c>
      <c r="L98" s="212" t="s">
        <v>242</v>
      </c>
      <c r="M98" s="212" t="s">
        <v>242</v>
      </c>
      <c r="N98" s="286"/>
    </row>
    <row r="99" spans="2:15" ht="97.5" customHeight="1">
      <c r="B99" s="211">
        <v>2</v>
      </c>
      <c r="C99" s="208" t="s">
        <v>721</v>
      </c>
      <c r="D99" s="212" t="s">
        <v>242</v>
      </c>
      <c r="E99" s="212" t="s">
        <v>720</v>
      </c>
      <c r="F99" s="213">
        <v>10707.5</v>
      </c>
      <c r="G99" s="212">
        <v>81</v>
      </c>
      <c r="H99" s="214">
        <v>42863</v>
      </c>
      <c r="I99" s="212"/>
      <c r="J99" s="212" t="s">
        <v>242</v>
      </c>
      <c r="K99" s="212"/>
      <c r="L99" s="212" t="s">
        <v>242</v>
      </c>
      <c r="M99" s="212" t="s">
        <v>242</v>
      </c>
      <c r="N99" s="286"/>
    </row>
    <row r="100" spans="2:15" ht="97.5" customHeight="1">
      <c r="B100" s="211">
        <v>3</v>
      </c>
      <c r="C100" s="208" t="s">
        <v>722</v>
      </c>
      <c r="D100" s="212" t="s">
        <v>242</v>
      </c>
      <c r="E100" s="212" t="s">
        <v>720</v>
      </c>
      <c r="F100" s="213">
        <v>5963.09</v>
      </c>
      <c r="G100" s="212" t="s">
        <v>723</v>
      </c>
      <c r="H100" s="214">
        <v>43641</v>
      </c>
      <c r="I100" s="212"/>
      <c r="J100" s="212" t="s">
        <v>242</v>
      </c>
      <c r="K100" s="212"/>
      <c r="L100" s="212" t="s">
        <v>242</v>
      </c>
      <c r="M100" s="212" t="s">
        <v>242</v>
      </c>
      <c r="N100" s="286"/>
    </row>
    <row r="101" spans="2:15" ht="97.5" customHeight="1">
      <c r="B101" s="211">
        <v>4</v>
      </c>
      <c r="C101" s="208" t="s">
        <v>724</v>
      </c>
      <c r="D101" s="212" t="s">
        <v>242</v>
      </c>
      <c r="E101" s="212" t="s">
        <v>720</v>
      </c>
      <c r="F101" s="213">
        <f>11084.29*0.6</f>
        <v>6650.5740000000005</v>
      </c>
      <c r="G101" s="212" t="s">
        <v>725</v>
      </c>
      <c r="H101" s="214">
        <v>41029</v>
      </c>
      <c r="I101" s="212"/>
      <c r="J101" s="212" t="s">
        <v>242</v>
      </c>
      <c r="K101" s="212"/>
      <c r="L101" s="212" t="s">
        <v>242</v>
      </c>
      <c r="M101" s="212" t="s">
        <v>242</v>
      </c>
      <c r="N101" s="286"/>
    </row>
    <row r="102" spans="2:15" ht="18.75" customHeight="1">
      <c r="B102" s="287" t="s">
        <v>689</v>
      </c>
      <c r="C102" s="287"/>
      <c r="D102" s="287"/>
      <c r="E102" s="215"/>
      <c r="F102" s="216" t="e">
        <f>+F98+#REF!</f>
        <v>#REF!</v>
      </c>
      <c r="G102" s="217"/>
      <c r="H102" s="217"/>
      <c r="I102" s="217" t="s">
        <v>242</v>
      </c>
      <c r="J102" s="217"/>
      <c r="K102" s="217"/>
      <c r="L102" s="217"/>
      <c r="M102" s="217"/>
      <c r="N102" s="286"/>
      <c r="O102" s="101">
        <v>38</v>
      </c>
    </row>
    <row r="104" spans="2:15" ht="36" customHeight="1">
      <c r="B104" s="203" t="s">
        <v>668</v>
      </c>
      <c r="C104" s="282" t="s">
        <v>44</v>
      </c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N104" s="282"/>
    </row>
    <row r="105" spans="2:15" s="206" customFormat="1" ht="31.5">
      <c r="B105" s="283" t="s">
        <v>670</v>
      </c>
      <c r="C105" s="283"/>
      <c r="D105" s="283"/>
      <c r="E105" s="283"/>
      <c r="F105" s="283"/>
      <c r="G105" s="283"/>
      <c r="H105" s="283"/>
      <c r="I105" s="283"/>
      <c r="J105" s="204" t="s">
        <v>671</v>
      </c>
      <c r="K105" s="204" t="s">
        <v>672</v>
      </c>
      <c r="L105" s="204" t="s">
        <v>673</v>
      </c>
      <c r="M105" s="284" t="s">
        <v>674</v>
      </c>
      <c r="N105" s="204" t="s">
        <v>3</v>
      </c>
      <c r="O105" s="205"/>
    </row>
    <row r="106" spans="2:15" ht="103.5" customHeight="1">
      <c r="B106" s="207" t="s">
        <v>675</v>
      </c>
      <c r="C106" s="208" t="s">
        <v>676</v>
      </c>
      <c r="D106" s="208" t="s">
        <v>677</v>
      </c>
      <c r="E106" s="208" t="s">
        <v>678</v>
      </c>
      <c r="F106" s="209" t="s">
        <v>679</v>
      </c>
      <c r="G106" s="209" t="s">
        <v>680</v>
      </c>
      <c r="H106" s="209" t="s">
        <v>681</v>
      </c>
      <c r="I106" s="209" t="s">
        <v>682</v>
      </c>
      <c r="J106" s="210" t="s">
        <v>683</v>
      </c>
      <c r="K106" s="210" t="s">
        <v>684</v>
      </c>
      <c r="L106" s="210" t="s">
        <v>685</v>
      </c>
      <c r="M106" s="285"/>
      <c r="N106" s="286" t="s">
        <v>242</v>
      </c>
    </row>
    <row r="107" spans="2:15" ht="103.5" customHeight="1">
      <c r="B107" s="207">
        <v>1</v>
      </c>
      <c r="C107" s="208" t="s">
        <v>726</v>
      </c>
      <c r="D107" s="212" t="s">
        <v>242</v>
      </c>
      <c r="E107" s="212" t="s">
        <v>592</v>
      </c>
      <c r="F107" s="213">
        <v>72152.34</v>
      </c>
      <c r="G107" s="212">
        <v>33</v>
      </c>
      <c r="H107" s="214"/>
      <c r="I107" s="212"/>
      <c r="J107" s="212" t="s">
        <v>242</v>
      </c>
      <c r="K107" s="212" t="s">
        <v>242</v>
      </c>
      <c r="L107" s="212" t="s">
        <v>242</v>
      </c>
      <c r="M107" s="212" t="s">
        <v>242</v>
      </c>
      <c r="N107" s="286"/>
    </row>
    <row r="108" spans="2:15" ht="97.5" customHeight="1">
      <c r="B108" s="211">
        <v>2</v>
      </c>
      <c r="C108" s="208" t="s">
        <v>727</v>
      </c>
      <c r="D108" s="212" t="s">
        <v>242</v>
      </c>
      <c r="E108" s="212" t="s">
        <v>591</v>
      </c>
      <c r="F108" s="213">
        <v>929.8</v>
      </c>
      <c r="G108" s="212">
        <v>19</v>
      </c>
      <c r="H108" s="214"/>
      <c r="I108" s="212"/>
      <c r="J108" s="212" t="s">
        <v>242</v>
      </c>
      <c r="K108" s="212"/>
      <c r="L108" s="212" t="s">
        <v>242</v>
      </c>
      <c r="M108" s="212" t="s">
        <v>242</v>
      </c>
      <c r="N108" s="286"/>
    </row>
    <row r="109" spans="2:15" ht="18.75" customHeight="1">
      <c r="B109" s="287" t="s">
        <v>689</v>
      </c>
      <c r="C109" s="287"/>
      <c r="D109" s="287"/>
      <c r="E109" s="215"/>
      <c r="F109" s="216">
        <f>+F107+F108</f>
        <v>73082.14</v>
      </c>
      <c r="G109" s="217"/>
      <c r="H109" s="217"/>
      <c r="I109" s="217" t="s">
        <v>242</v>
      </c>
      <c r="J109" s="217"/>
      <c r="K109" s="217"/>
      <c r="L109" s="217"/>
      <c r="M109" s="217"/>
      <c r="N109" s="286"/>
      <c r="O109" s="101">
        <v>37</v>
      </c>
    </row>
    <row r="111" spans="2:15" ht="36" customHeight="1">
      <c r="B111" s="203" t="s">
        <v>668</v>
      </c>
      <c r="C111" s="282" t="s">
        <v>43</v>
      </c>
      <c r="D111" s="282"/>
      <c r="E111" s="282"/>
      <c r="F111" s="282"/>
      <c r="G111" s="282"/>
      <c r="H111" s="282"/>
      <c r="I111" s="282"/>
      <c r="J111" s="282"/>
      <c r="K111" s="282"/>
      <c r="L111" s="282"/>
      <c r="M111" s="282"/>
      <c r="N111" s="282"/>
    </row>
    <row r="112" spans="2:15" s="206" customFormat="1" ht="41.25" customHeight="1">
      <c r="B112" s="283" t="s">
        <v>670</v>
      </c>
      <c r="C112" s="283"/>
      <c r="D112" s="283"/>
      <c r="E112" s="283"/>
      <c r="F112" s="283"/>
      <c r="G112" s="283"/>
      <c r="H112" s="283"/>
      <c r="I112" s="283"/>
      <c r="J112" s="204" t="s">
        <v>671</v>
      </c>
      <c r="K112" s="204" t="s">
        <v>672</v>
      </c>
      <c r="L112" s="204" t="s">
        <v>673</v>
      </c>
      <c r="M112" s="284" t="s">
        <v>674</v>
      </c>
      <c r="N112" s="204" t="s">
        <v>3</v>
      </c>
      <c r="O112" s="205"/>
    </row>
    <row r="113" spans="2:15" ht="103.5" customHeight="1">
      <c r="B113" s="207" t="s">
        <v>675</v>
      </c>
      <c r="C113" s="208" t="s">
        <v>676</v>
      </c>
      <c r="D113" s="208" t="s">
        <v>677</v>
      </c>
      <c r="E113" s="208" t="s">
        <v>678</v>
      </c>
      <c r="F113" s="209" t="s">
        <v>679</v>
      </c>
      <c r="G113" s="209" t="s">
        <v>680</v>
      </c>
      <c r="H113" s="209" t="s">
        <v>681</v>
      </c>
      <c r="I113" s="209" t="s">
        <v>682</v>
      </c>
      <c r="J113" s="210" t="s">
        <v>683</v>
      </c>
      <c r="K113" s="210" t="s">
        <v>684</v>
      </c>
      <c r="L113" s="210" t="s">
        <v>685</v>
      </c>
      <c r="M113" s="285"/>
      <c r="N113" s="286" t="s">
        <v>242</v>
      </c>
    </row>
    <row r="114" spans="2:15" ht="97.5" customHeight="1">
      <c r="B114" s="211">
        <v>1</v>
      </c>
      <c r="C114" s="208" t="s">
        <v>706</v>
      </c>
      <c r="D114" s="212" t="s">
        <v>242</v>
      </c>
      <c r="E114" s="212" t="s">
        <v>728</v>
      </c>
      <c r="F114" s="213">
        <f>8449.96*0.5</f>
        <v>4224.9799999999996</v>
      </c>
      <c r="G114" s="212">
        <v>48</v>
      </c>
      <c r="H114" s="214">
        <v>44068</v>
      </c>
      <c r="I114" s="212"/>
      <c r="J114" s="212" t="s">
        <v>242</v>
      </c>
      <c r="K114" s="212"/>
      <c r="L114" s="212" t="s">
        <v>242</v>
      </c>
      <c r="M114" s="212" t="s">
        <v>242</v>
      </c>
      <c r="N114" s="286"/>
    </row>
    <row r="115" spans="2:15" ht="97.5" customHeight="1">
      <c r="B115" s="211">
        <v>2</v>
      </c>
      <c r="C115" s="208" t="s">
        <v>729</v>
      </c>
      <c r="D115" s="212" t="s">
        <v>242</v>
      </c>
      <c r="E115" s="212" t="s">
        <v>261</v>
      </c>
      <c r="F115" s="213">
        <v>27749.07</v>
      </c>
      <c r="G115" s="212">
        <v>1</v>
      </c>
      <c r="H115" s="214">
        <v>41598</v>
      </c>
      <c r="I115" s="212"/>
      <c r="J115" s="212" t="s">
        <v>242</v>
      </c>
      <c r="K115" s="212" t="s">
        <v>242</v>
      </c>
      <c r="L115" s="212" t="s">
        <v>242</v>
      </c>
      <c r="M115" s="212" t="s">
        <v>242</v>
      </c>
      <c r="N115" s="286"/>
    </row>
    <row r="116" spans="2:15" ht="69.75" customHeight="1">
      <c r="B116" s="207">
        <v>3</v>
      </c>
      <c r="C116" s="208" t="s">
        <v>730</v>
      </c>
      <c r="D116" s="212" t="s">
        <v>242</v>
      </c>
      <c r="E116" s="212" t="s">
        <v>261</v>
      </c>
      <c r="F116" s="213">
        <v>12847.36</v>
      </c>
      <c r="G116" s="212">
        <v>2</v>
      </c>
      <c r="H116" s="214">
        <v>41261</v>
      </c>
      <c r="I116" s="212"/>
      <c r="J116" s="212" t="s">
        <v>242</v>
      </c>
      <c r="K116" s="212" t="s">
        <v>242</v>
      </c>
      <c r="L116" s="212" t="s">
        <v>242</v>
      </c>
      <c r="M116" s="212" t="s">
        <v>242</v>
      </c>
      <c r="N116" s="286"/>
    </row>
    <row r="117" spans="2:15" ht="18.75" customHeight="1">
      <c r="B117" s="287" t="s">
        <v>689</v>
      </c>
      <c r="C117" s="287"/>
      <c r="D117" s="287"/>
      <c r="E117" s="215"/>
      <c r="F117" s="216">
        <f>SUM(F114:F116)</f>
        <v>44821.41</v>
      </c>
      <c r="G117" s="217"/>
      <c r="H117" s="217"/>
      <c r="I117" s="217" t="s">
        <v>242</v>
      </c>
      <c r="J117" s="217"/>
      <c r="K117" s="217"/>
      <c r="L117" s="217"/>
      <c r="M117" s="217"/>
      <c r="N117" s="286"/>
      <c r="O117" s="101">
        <v>36</v>
      </c>
    </row>
    <row r="119" spans="2:15" ht="36" customHeight="1">
      <c r="B119" s="203" t="s">
        <v>668</v>
      </c>
      <c r="C119" s="282" t="s">
        <v>42</v>
      </c>
      <c r="D119" s="282"/>
      <c r="E119" s="282"/>
      <c r="F119" s="282"/>
      <c r="G119" s="282"/>
      <c r="H119" s="282"/>
      <c r="I119" s="282"/>
      <c r="J119" s="282"/>
      <c r="K119" s="282"/>
      <c r="L119" s="282"/>
      <c r="M119" s="282"/>
      <c r="N119" s="282"/>
    </row>
    <row r="120" spans="2:15" s="206" customFormat="1" ht="41.25" customHeight="1">
      <c r="B120" s="283" t="s">
        <v>670</v>
      </c>
      <c r="C120" s="283"/>
      <c r="D120" s="283"/>
      <c r="E120" s="283"/>
      <c r="F120" s="283"/>
      <c r="G120" s="283"/>
      <c r="H120" s="283"/>
      <c r="I120" s="283"/>
      <c r="J120" s="204" t="s">
        <v>671</v>
      </c>
      <c r="K120" s="204" t="s">
        <v>672</v>
      </c>
      <c r="L120" s="204" t="s">
        <v>673</v>
      </c>
      <c r="M120" s="284" t="s">
        <v>674</v>
      </c>
      <c r="N120" s="204" t="s">
        <v>3</v>
      </c>
      <c r="O120" s="205"/>
    </row>
    <row r="121" spans="2:15" ht="103.5" customHeight="1">
      <c r="B121" s="207" t="s">
        <v>675</v>
      </c>
      <c r="C121" s="208" t="s">
        <v>676</v>
      </c>
      <c r="D121" s="208" t="s">
        <v>677</v>
      </c>
      <c r="E121" s="208" t="s">
        <v>678</v>
      </c>
      <c r="F121" s="209" t="s">
        <v>679</v>
      </c>
      <c r="G121" s="209" t="s">
        <v>680</v>
      </c>
      <c r="H121" s="209" t="s">
        <v>681</v>
      </c>
      <c r="I121" s="209" t="s">
        <v>682</v>
      </c>
      <c r="J121" s="210" t="s">
        <v>683</v>
      </c>
      <c r="K121" s="210" t="s">
        <v>684</v>
      </c>
      <c r="L121" s="210" t="s">
        <v>685</v>
      </c>
      <c r="M121" s="285"/>
      <c r="N121" s="288" t="s">
        <v>731</v>
      </c>
    </row>
    <row r="122" spans="2:15" ht="97.5" customHeight="1">
      <c r="B122" s="211">
        <v>1</v>
      </c>
      <c r="C122" s="208"/>
      <c r="D122" s="212"/>
      <c r="E122" s="212"/>
      <c r="F122" s="213"/>
      <c r="G122" s="212"/>
      <c r="H122" s="214"/>
      <c r="I122" s="212"/>
      <c r="J122" s="212"/>
      <c r="K122" s="212"/>
      <c r="L122" s="212"/>
      <c r="M122" s="218"/>
      <c r="N122" s="288"/>
    </row>
    <row r="123" spans="2:15" ht="97.5" customHeight="1">
      <c r="B123" s="211">
        <v>2</v>
      </c>
      <c r="C123" s="208"/>
      <c r="D123" s="212"/>
      <c r="E123" s="212"/>
      <c r="F123" s="213"/>
      <c r="G123" s="212"/>
      <c r="H123" s="214"/>
      <c r="I123" s="212"/>
      <c r="J123" s="212"/>
      <c r="K123" s="212"/>
      <c r="L123" s="212"/>
      <c r="M123" s="218"/>
      <c r="N123" s="288"/>
    </row>
    <row r="124" spans="2:15" ht="18.75" customHeight="1">
      <c r="B124" s="287" t="s">
        <v>689</v>
      </c>
      <c r="C124" s="287"/>
      <c r="D124" s="287"/>
      <c r="E124" s="215"/>
      <c r="F124" s="216"/>
      <c r="G124" s="217"/>
      <c r="H124" s="217"/>
      <c r="I124" s="217"/>
      <c r="J124" s="217"/>
      <c r="K124" s="217"/>
      <c r="L124" s="217"/>
      <c r="M124" s="217"/>
      <c r="N124" s="288"/>
      <c r="O124" s="101">
        <v>35</v>
      </c>
    </row>
    <row r="126" spans="2:15" ht="36" customHeight="1">
      <c r="B126" s="203" t="s">
        <v>668</v>
      </c>
      <c r="C126" s="282" t="s">
        <v>41</v>
      </c>
      <c r="D126" s="282"/>
      <c r="E126" s="282"/>
      <c r="F126" s="282"/>
      <c r="G126" s="282"/>
      <c r="H126" s="282"/>
      <c r="I126" s="282"/>
      <c r="J126" s="282"/>
      <c r="K126" s="282"/>
      <c r="L126" s="282"/>
      <c r="M126" s="282"/>
      <c r="N126" s="282"/>
    </row>
    <row r="127" spans="2:15" s="206" customFormat="1" ht="41.25" customHeight="1">
      <c r="B127" s="283" t="s">
        <v>670</v>
      </c>
      <c r="C127" s="283"/>
      <c r="D127" s="283"/>
      <c r="E127" s="283"/>
      <c r="F127" s="283"/>
      <c r="G127" s="283"/>
      <c r="H127" s="283"/>
      <c r="I127" s="283"/>
      <c r="J127" s="204" t="s">
        <v>671</v>
      </c>
      <c r="K127" s="204" t="s">
        <v>672</v>
      </c>
      <c r="L127" s="204" t="s">
        <v>673</v>
      </c>
      <c r="M127" s="284" t="s">
        <v>674</v>
      </c>
      <c r="N127" s="204" t="s">
        <v>3</v>
      </c>
      <c r="O127" s="205"/>
    </row>
    <row r="128" spans="2:15" ht="103.5" customHeight="1">
      <c r="B128" s="207" t="s">
        <v>675</v>
      </c>
      <c r="C128" s="208" t="s">
        <v>676</v>
      </c>
      <c r="D128" s="208" t="s">
        <v>677</v>
      </c>
      <c r="E128" s="208" t="s">
        <v>678</v>
      </c>
      <c r="F128" s="209" t="s">
        <v>679</v>
      </c>
      <c r="G128" s="209" t="s">
        <v>680</v>
      </c>
      <c r="H128" s="209" t="s">
        <v>681</v>
      </c>
      <c r="I128" s="209" t="s">
        <v>682</v>
      </c>
      <c r="J128" s="210" t="s">
        <v>683</v>
      </c>
      <c r="K128" s="210" t="s">
        <v>684</v>
      </c>
      <c r="L128" s="210" t="s">
        <v>685</v>
      </c>
      <c r="M128" s="285"/>
      <c r="N128" s="298" t="s">
        <v>242</v>
      </c>
    </row>
    <row r="129" spans="2:15" ht="97.5" customHeight="1">
      <c r="B129" s="211">
        <v>1</v>
      </c>
      <c r="C129" s="208" t="s">
        <v>732</v>
      </c>
      <c r="D129" s="212" t="s">
        <v>242</v>
      </c>
      <c r="E129" s="212" t="s">
        <v>733</v>
      </c>
      <c r="F129" s="213">
        <f>28890.23*0.25</f>
        <v>7222.5574999999999</v>
      </c>
      <c r="G129" s="212">
        <v>44</v>
      </c>
      <c r="H129" s="214" t="s">
        <v>734</v>
      </c>
      <c r="I129" s="212"/>
      <c r="J129" s="212" t="s">
        <v>242</v>
      </c>
      <c r="K129" s="212" t="s">
        <v>242</v>
      </c>
      <c r="L129" s="212"/>
      <c r="M129" s="212" t="s">
        <v>242</v>
      </c>
      <c r="N129" s="298"/>
    </row>
    <row r="130" spans="2:15" ht="97.5" customHeight="1">
      <c r="B130" s="211">
        <v>2</v>
      </c>
      <c r="C130" s="208" t="s">
        <v>735</v>
      </c>
      <c r="D130" s="212" t="s">
        <v>242</v>
      </c>
      <c r="E130" s="212" t="s">
        <v>264</v>
      </c>
      <c r="F130" s="213">
        <f>13835.25*0.6</f>
        <v>8301.15</v>
      </c>
      <c r="G130" s="212">
        <v>61</v>
      </c>
      <c r="H130" s="214">
        <v>44767</v>
      </c>
      <c r="I130" s="212"/>
      <c r="J130" s="212" t="s">
        <v>242</v>
      </c>
      <c r="K130" s="212" t="s">
        <v>242</v>
      </c>
      <c r="L130" s="212" t="s">
        <v>242</v>
      </c>
      <c r="M130" s="212" t="s">
        <v>242</v>
      </c>
      <c r="N130" s="298"/>
    </row>
    <row r="131" spans="2:15" ht="18.75" customHeight="1">
      <c r="B131" s="287" t="s">
        <v>689</v>
      </c>
      <c r="C131" s="287"/>
      <c r="D131" s="287"/>
      <c r="E131" s="215"/>
      <c r="F131" s="216">
        <f>+F130+F129</f>
        <v>15523.7075</v>
      </c>
      <c r="G131" s="217"/>
      <c r="H131" s="217"/>
      <c r="I131" s="217" t="s">
        <v>242</v>
      </c>
      <c r="J131" s="217"/>
      <c r="K131" s="217"/>
      <c r="L131" s="217"/>
      <c r="M131" s="217"/>
      <c r="N131" s="298"/>
      <c r="O131" s="101">
        <v>34</v>
      </c>
    </row>
    <row r="133" spans="2:15" ht="36" customHeight="1">
      <c r="B133" s="203" t="s">
        <v>668</v>
      </c>
      <c r="C133" s="282" t="s">
        <v>40</v>
      </c>
      <c r="D133" s="282"/>
      <c r="E133" s="282"/>
      <c r="F133" s="282"/>
      <c r="G133" s="282"/>
      <c r="H133" s="282"/>
      <c r="I133" s="282"/>
      <c r="J133" s="282"/>
      <c r="K133" s="282"/>
      <c r="L133" s="282"/>
      <c r="M133" s="282"/>
      <c r="N133" s="282"/>
    </row>
    <row r="134" spans="2:15" s="206" customFormat="1" ht="41.25" customHeight="1">
      <c r="B134" s="283" t="s">
        <v>670</v>
      </c>
      <c r="C134" s="283"/>
      <c r="D134" s="283"/>
      <c r="E134" s="283"/>
      <c r="F134" s="283"/>
      <c r="G134" s="283"/>
      <c r="H134" s="283"/>
      <c r="I134" s="283"/>
      <c r="J134" s="204" t="s">
        <v>671</v>
      </c>
      <c r="K134" s="204" t="s">
        <v>672</v>
      </c>
      <c r="L134" s="204" t="s">
        <v>673</v>
      </c>
      <c r="M134" s="284" t="s">
        <v>674</v>
      </c>
      <c r="N134" s="204" t="s">
        <v>3</v>
      </c>
      <c r="O134" s="205"/>
    </row>
    <row r="135" spans="2:15" ht="103.5" customHeight="1">
      <c r="B135" s="207" t="s">
        <v>675</v>
      </c>
      <c r="C135" s="208" t="s">
        <v>676</v>
      </c>
      <c r="D135" s="208" t="s">
        <v>677</v>
      </c>
      <c r="E135" s="208" t="s">
        <v>678</v>
      </c>
      <c r="F135" s="209" t="s">
        <v>679</v>
      </c>
      <c r="G135" s="209" t="s">
        <v>680</v>
      </c>
      <c r="H135" s="209" t="s">
        <v>681</v>
      </c>
      <c r="I135" s="209" t="s">
        <v>682</v>
      </c>
      <c r="J135" s="210" t="s">
        <v>683</v>
      </c>
      <c r="K135" s="210" t="s">
        <v>684</v>
      </c>
      <c r="L135" s="210" t="s">
        <v>685</v>
      </c>
      <c r="M135" s="285"/>
      <c r="N135" s="298" t="s">
        <v>242</v>
      </c>
    </row>
    <row r="136" spans="2:15" ht="97.5" customHeight="1">
      <c r="B136" s="211">
        <v>1</v>
      </c>
      <c r="C136" s="208" t="s">
        <v>736</v>
      </c>
      <c r="D136" s="212" t="s">
        <v>242</v>
      </c>
      <c r="E136" s="212" t="s">
        <v>265</v>
      </c>
      <c r="F136" s="213">
        <v>14960.34</v>
      </c>
      <c r="G136" s="212">
        <v>37</v>
      </c>
      <c r="H136" s="214">
        <v>43747</v>
      </c>
      <c r="I136" s="212"/>
      <c r="J136" s="212" t="s">
        <v>242</v>
      </c>
      <c r="K136" s="212"/>
      <c r="L136" s="212" t="s">
        <v>242</v>
      </c>
      <c r="M136" s="212" t="s">
        <v>242</v>
      </c>
      <c r="N136" s="298"/>
    </row>
    <row r="137" spans="2:15" ht="97.5" customHeight="1">
      <c r="B137" s="211">
        <v>2</v>
      </c>
      <c r="C137" s="208" t="s">
        <v>737</v>
      </c>
      <c r="D137" s="212" t="s">
        <v>242</v>
      </c>
      <c r="E137" s="212" t="s">
        <v>265</v>
      </c>
      <c r="F137" s="213">
        <f>26703.27*0.5</f>
        <v>13351.635</v>
      </c>
      <c r="G137" s="212">
        <v>62</v>
      </c>
      <c r="H137" s="214">
        <v>44620</v>
      </c>
      <c r="I137" s="212"/>
      <c r="J137" s="212" t="s">
        <v>242</v>
      </c>
      <c r="K137" s="212" t="s">
        <v>242</v>
      </c>
      <c r="L137" s="212" t="s">
        <v>242</v>
      </c>
      <c r="M137" s="212" t="s">
        <v>242</v>
      </c>
      <c r="N137" s="298"/>
    </row>
    <row r="138" spans="2:15" ht="18.75" customHeight="1">
      <c r="B138" s="287" t="s">
        <v>689</v>
      </c>
      <c r="C138" s="287"/>
      <c r="D138" s="287"/>
      <c r="E138" s="215"/>
      <c r="F138" s="216">
        <f>+F137+F136</f>
        <v>28311.974999999999</v>
      </c>
      <c r="G138" s="217"/>
      <c r="H138" s="217"/>
      <c r="I138" s="217"/>
      <c r="J138" s="217"/>
      <c r="K138" s="217"/>
      <c r="L138" s="217"/>
      <c r="M138" s="217"/>
      <c r="N138" s="298"/>
      <c r="O138" s="101">
        <v>33</v>
      </c>
    </row>
    <row r="140" spans="2:15" ht="36" customHeight="1">
      <c r="B140" s="203" t="s">
        <v>668</v>
      </c>
      <c r="C140" s="282" t="s">
        <v>39</v>
      </c>
      <c r="D140" s="282"/>
      <c r="E140" s="282"/>
      <c r="F140" s="282"/>
      <c r="G140" s="282"/>
      <c r="H140" s="282"/>
      <c r="I140" s="282"/>
      <c r="J140" s="282"/>
      <c r="K140" s="282"/>
      <c r="L140" s="282"/>
      <c r="M140" s="282"/>
      <c r="N140" s="282"/>
    </row>
    <row r="141" spans="2:15" s="206" customFormat="1" ht="41.25" customHeight="1">
      <c r="B141" s="283" t="s">
        <v>670</v>
      </c>
      <c r="C141" s="283"/>
      <c r="D141" s="283"/>
      <c r="E141" s="283"/>
      <c r="F141" s="283"/>
      <c r="G141" s="283"/>
      <c r="H141" s="283"/>
      <c r="I141" s="283"/>
      <c r="J141" s="204" t="s">
        <v>671</v>
      </c>
      <c r="K141" s="204" t="s">
        <v>672</v>
      </c>
      <c r="L141" s="204" t="s">
        <v>673</v>
      </c>
      <c r="M141" s="284" t="s">
        <v>674</v>
      </c>
      <c r="N141" s="204" t="s">
        <v>3</v>
      </c>
      <c r="O141" s="205"/>
    </row>
    <row r="142" spans="2:15" ht="103.5" customHeight="1">
      <c r="B142" s="207" t="s">
        <v>675</v>
      </c>
      <c r="C142" s="208" t="s">
        <v>676</v>
      </c>
      <c r="D142" s="208" t="s">
        <v>677</v>
      </c>
      <c r="E142" s="208" t="s">
        <v>678</v>
      </c>
      <c r="F142" s="209" t="s">
        <v>679</v>
      </c>
      <c r="G142" s="209" t="s">
        <v>680</v>
      </c>
      <c r="H142" s="209" t="s">
        <v>681</v>
      </c>
      <c r="I142" s="209" t="s">
        <v>682</v>
      </c>
      <c r="J142" s="210" t="s">
        <v>683</v>
      </c>
      <c r="K142" s="210" t="s">
        <v>684</v>
      </c>
      <c r="L142" s="210" t="s">
        <v>685</v>
      </c>
      <c r="M142" s="285"/>
      <c r="N142" s="298" t="s">
        <v>242</v>
      </c>
    </row>
    <row r="143" spans="2:15" ht="97.5" customHeight="1">
      <c r="B143" s="211">
        <v>1</v>
      </c>
      <c r="C143" s="208" t="s">
        <v>716</v>
      </c>
      <c r="D143" s="212" t="s">
        <v>242</v>
      </c>
      <c r="E143" s="212" t="s">
        <v>266</v>
      </c>
      <c r="F143" s="213">
        <f>13886.62*0.9</f>
        <v>12497.958000000001</v>
      </c>
      <c r="G143" s="212">
        <v>1</v>
      </c>
      <c r="H143" s="214">
        <v>40280</v>
      </c>
      <c r="I143" s="212"/>
      <c r="J143" s="212" t="s">
        <v>242</v>
      </c>
      <c r="K143" s="212" t="s">
        <v>242</v>
      </c>
      <c r="L143" s="212" t="s">
        <v>242</v>
      </c>
      <c r="M143" s="212" t="s">
        <v>242</v>
      </c>
      <c r="N143" s="298"/>
    </row>
    <row r="144" spans="2:15" ht="117.75" customHeight="1">
      <c r="B144" s="211">
        <v>2</v>
      </c>
      <c r="C144" s="208" t="s">
        <v>738</v>
      </c>
      <c r="D144" s="212" t="s">
        <v>242</v>
      </c>
      <c r="E144" s="212" t="s">
        <v>266</v>
      </c>
      <c r="F144" s="213">
        <f>11471.86*0.9</f>
        <v>10324.674000000001</v>
      </c>
      <c r="G144" s="212">
        <v>34</v>
      </c>
      <c r="H144" s="214">
        <v>42373</v>
      </c>
      <c r="I144" s="212"/>
      <c r="J144" s="212" t="s">
        <v>242</v>
      </c>
      <c r="K144" s="212" t="s">
        <v>242</v>
      </c>
      <c r="L144" s="212"/>
      <c r="M144" s="212" t="s">
        <v>242</v>
      </c>
      <c r="N144" s="298"/>
    </row>
    <row r="145" spans="2:15" ht="18.75" customHeight="1">
      <c r="B145" s="287" t="s">
        <v>689</v>
      </c>
      <c r="C145" s="287"/>
      <c r="D145" s="287"/>
      <c r="E145" s="215"/>
      <c r="F145" s="216">
        <f>+F144+F143</f>
        <v>22822.632000000001</v>
      </c>
      <c r="G145" s="217"/>
      <c r="H145" s="217" t="s">
        <v>242</v>
      </c>
      <c r="I145" s="217" t="s">
        <v>242</v>
      </c>
      <c r="J145" s="217" t="s">
        <v>242</v>
      </c>
      <c r="K145" s="217"/>
      <c r="L145" s="217"/>
      <c r="M145" s="217"/>
      <c r="N145" s="298"/>
      <c r="O145" s="101">
        <v>32</v>
      </c>
    </row>
    <row r="147" spans="2:15" ht="36" customHeight="1">
      <c r="B147" s="203" t="s">
        <v>668</v>
      </c>
      <c r="C147" s="282" t="s">
        <v>38</v>
      </c>
      <c r="D147" s="282"/>
      <c r="E147" s="282"/>
      <c r="F147" s="282"/>
      <c r="G147" s="282"/>
      <c r="H147" s="282"/>
      <c r="I147" s="282"/>
      <c r="J147" s="282"/>
      <c r="K147" s="282"/>
      <c r="L147" s="282"/>
      <c r="M147" s="282"/>
      <c r="N147" s="282"/>
    </row>
    <row r="148" spans="2:15" s="206" customFormat="1" ht="41.25" customHeight="1">
      <c r="B148" s="293" t="s">
        <v>670</v>
      </c>
      <c r="C148" s="293"/>
      <c r="D148" s="293"/>
      <c r="E148" s="293"/>
      <c r="F148" s="293"/>
      <c r="G148" s="293"/>
      <c r="H148" s="293"/>
      <c r="I148" s="293"/>
      <c r="J148" s="223" t="s">
        <v>671</v>
      </c>
      <c r="K148" s="223" t="s">
        <v>672</v>
      </c>
      <c r="L148" s="223" t="s">
        <v>673</v>
      </c>
      <c r="M148" s="294" t="s">
        <v>674</v>
      </c>
      <c r="N148" s="223" t="s">
        <v>3</v>
      </c>
      <c r="O148" s="205"/>
    </row>
    <row r="149" spans="2:15" ht="103.5" customHeight="1">
      <c r="B149" s="224" t="s">
        <v>675</v>
      </c>
      <c r="C149" s="225" t="s">
        <v>676</v>
      </c>
      <c r="D149" s="225" t="s">
        <v>677</v>
      </c>
      <c r="E149" s="225" t="s">
        <v>678</v>
      </c>
      <c r="F149" s="226" t="s">
        <v>679</v>
      </c>
      <c r="G149" s="226" t="s">
        <v>680</v>
      </c>
      <c r="H149" s="226" t="s">
        <v>681</v>
      </c>
      <c r="I149" s="226" t="s">
        <v>682</v>
      </c>
      <c r="J149" s="227" t="s">
        <v>683</v>
      </c>
      <c r="K149" s="227" t="s">
        <v>684</v>
      </c>
      <c r="L149" s="227" t="s">
        <v>685</v>
      </c>
      <c r="M149" s="295"/>
      <c r="N149" s="296" t="s">
        <v>244</v>
      </c>
    </row>
    <row r="150" spans="2:15" ht="97.5" customHeight="1">
      <c r="B150" s="228">
        <v>1</v>
      </c>
      <c r="C150" s="229" t="s">
        <v>739</v>
      </c>
      <c r="D150" s="229" t="s">
        <v>242</v>
      </c>
      <c r="E150" s="229" t="s">
        <v>387</v>
      </c>
      <c r="F150" s="230">
        <v>415.04</v>
      </c>
      <c r="G150" s="229">
        <v>9</v>
      </c>
      <c r="H150" s="231">
        <v>41529</v>
      </c>
      <c r="I150" s="229"/>
      <c r="J150" s="229" t="s">
        <v>242</v>
      </c>
      <c r="K150" s="229"/>
      <c r="L150" s="229" t="s">
        <v>242</v>
      </c>
      <c r="M150" s="229" t="s">
        <v>242</v>
      </c>
      <c r="N150" s="296"/>
    </row>
    <row r="151" spans="2:15" ht="97.5" customHeight="1">
      <c r="B151" s="228">
        <v>2</v>
      </c>
      <c r="C151" s="229" t="s">
        <v>740</v>
      </c>
      <c r="D151" s="229" t="s">
        <v>242</v>
      </c>
      <c r="E151" s="229" t="s">
        <v>387</v>
      </c>
      <c r="F151" s="230">
        <v>3217.81</v>
      </c>
      <c r="G151" s="229">
        <v>15</v>
      </c>
      <c r="H151" s="231">
        <v>34372</v>
      </c>
      <c r="I151" s="229"/>
      <c r="J151" s="229" t="s">
        <v>242</v>
      </c>
      <c r="K151" s="229" t="s">
        <v>242</v>
      </c>
      <c r="L151" s="229" t="s">
        <v>242</v>
      </c>
      <c r="M151" s="229" t="s">
        <v>242</v>
      </c>
      <c r="N151" s="296"/>
    </row>
    <row r="152" spans="2:15" ht="97.5" customHeight="1">
      <c r="B152" s="228">
        <v>3</v>
      </c>
      <c r="C152" s="229" t="s">
        <v>741</v>
      </c>
      <c r="D152" s="229" t="s">
        <v>242</v>
      </c>
      <c r="E152" s="229" t="s">
        <v>742</v>
      </c>
      <c r="F152" s="230">
        <f>10841.04*0.34</f>
        <v>3685.9536000000007</v>
      </c>
      <c r="G152" s="229">
        <v>9</v>
      </c>
      <c r="H152" s="231">
        <v>44557</v>
      </c>
      <c r="I152" s="229"/>
      <c r="J152" s="229" t="s">
        <v>242</v>
      </c>
      <c r="K152" s="229" t="s">
        <v>242</v>
      </c>
      <c r="L152" s="229" t="s">
        <v>242</v>
      </c>
      <c r="M152" s="229" t="s">
        <v>242</v>
      </c>
      <c r="N152" s="296"/>
    </row>
    <row r="153" spans="2:15" ht="97.5" customHeight="1">
      <c r="B153" s="228">
        <v>4</v>
      </c>
      <c r="C153" s="229" t="s">
        <v>743</v>
      </c>
      <c r="D153" s="229" t="s">
        <v>242</v>
      </c>
      <c r="E153" s="229" t="s">
        <v>744</v>
      </c>
      <c r="F153" s="230">
        <f>10750.25*0.5</f>
        <v>5375.125</v>
      </c>
      <c r="G153" s="229">
        <v>6</v>
      </c>
      <c r="H153" s="231">
        <v>44553</v>
      </c>
      <c r="I153" s="229"/>
      <c r="J153" s="229" t="s">
        <v>242</v>
      </c>
      <c r="K153" s="229"/>
      <c r="L153" s="229" t="s">
        <v>242</v>
      </c>
      <c r="M153" s="229" t="s">
        <v>242</v>
      </c>
      <c r="N153" s="296"/>
    </row>
    <row r="154" spans="2:15" ht="18.75" customHeight="1">
      <c r="B154" s="297" t="s">
        <v>689</v>
      </c>
      <c r="C154" s="297"/>
      <c r="D154" s="297"/>
      <c r="E154" s="232"/>
      <c r="F154" s="233">
        <f>SUM(F150:F153)</f>
        <v>12693.928600000001</v>
      </c>
      <c r="G154" s="234"/>
      <c r="H154" s="234"/>
      <c r="I154" s="234"/>
      <c r="J154" s="234"/>
      <c r="K154" s="234"/>
      <c r="L154" s="234"/>
      <c r="M154" s="234"/>
      <c r="N154" s="296"/>
      <c r="O154" s="101">
        <v>31</v>
      </c>
    </row>
    <row r="155" spans="2:15">
      <c r="G155" s="235"/>
    </row>
    <row r="156" spans="2:15" ht="36" customHeight="1">
      <c r="B156" s="203" t="s">
        <v>668</v>
      </c>
      <c r="C156" s="282" t="s">
        <v>37</v>
      </c>
      <c r="D156" s="282"/>
      <c r="E156" s="282"/>
      <c r="F156" s="282"/>
      <c r="G156" s="282"/>
      <c r="H156" s="282"/>
      <c r="I156" s="282"/>
      <c r="J156" s="282"/>
      <c r="K156" s="282"/>
      <c r="L156" s="282"/>
      <c r="M156" s="282"/>
      <c r="N156" s="282"/>
    </row>
    <row r="157" spans="2:15" s="206" customFormat="1" ht="41.25" customHeight="1">
      <c r="B157" s="283" t="s">
        <v>670</v>
      </c>
      <c r="C157" s="283"/>
      <c r="D157" s="283"/>
      <c r="E157" s="283"/>
      <c r="F157" s="283"/>
      <c r="G157" s="283"/>
      <c r="H157" s="283"/>
      <c r="I157" s="283"/>
      <c r="J157" s="204" t="s">
        <v>671</v>
      </c>
      <c r="K157" s="204" t="s">
        <v>672</v>
      </c>
      <c r="L157" s="204" t="s">
        <v>673</v>
      </c>
      <c r="M157" s="284" t="s">
        <v>674</v>
      </c>
      <c r="N157" s="204" t="s">
        <v>3</v>
      </c>
      <c r="O157" s="205"/>
    </row>
    <row r="158" spans="2:15" ht="103.5" customHeight="1">
      <c r="B158" s="207" t="s">
        <v>675</v>
      </c>
      <c r="C158" s="208" t="s">
        <v>676</v>
      </c>
      <c r="D158" s="208" t="s">
        <v>677</v>
      </c>
      <c r="E158" s="208" t="s">
        <v>678</v>
      </c>
      <c r="F158" s="209" t="s">
        <v>679</v>
      </c>
      <c r="G158" s="209" t="s">
        <v>680</v>
      </c>
      <c r="H158" s="209" t="s">
        <v>681</v>
      </c>
      <c r="I158" s="209" t="s">
        <v>682</v>
      </c>
      <c r="J158" s="210" t="s">
        <v>683</v>
      </c>
      <c r="K158" s="210" t="s">
        <v>684</v>
      </c>
      <c r="L158" s="210" t="s">
        <v>685</v>
      </c>
      <c r="M158" s="285"/>
      <c r="N158" s="288" t="s">
        <v>745</v>
      </c>
    </row>
    <row r="159" spans="2:15" ht="97.5" customHeight="1">
      <c r="B159" s="211">
        <v>1</v>
      </c>
      <c r="C159" s="212"/>
      <c r="D159" s="212"/>
      <c r="E159" s="212" t="s">
        <v>746</v>
      </c>
      <c r="F159" s="213"/>
      <c r="G159" s="212"/>
      <c r="H159" s="236"/>
      <c r="I159" s="212"/>
      <c r="J159" s="212"/>
      <c r="K159" s="212"/>
      <c r="L159" s="212"/>
      <c r="M159" s="212" t="s">
        <v>242</v>
      </c>
      <c r="N159" s="288"/>
    </row>
    <row r="160" spans="2:15" ht="97.5" customHeight="1">
      <c r="B160" s="211">
        <v>2</v>
      </c>
      <c r="C160" s="212"/>
      <c r="D160" s="212"/>
      <c r="E160" s="212" t="s">
        <v>267</v>
      </c>
      <c r="F160" s="213"/>
      <c r="G160" s="212"/>
      <c r="H160" s="236"/>
      <c r="I160" s="212"/>
      <c r="J160" s="212"/>
      <c r="K160" s="212"/>
      <c r="L160" s="212"/>
      <c r="M160" s="212" t="s">
        <v>242</v>
      </c>
      <c r="N160" s="288"/>
    </row>
    <row r="161" spans="2:15" ht="97.5" customHeight="1">
      <c r="B161" s="211">
        <v>3</v>
      </c>
      <c r="C161" s="212"/>
      <c r="D161" s="212"/>
      <c r="E161" s="212" t="s">
        <v>747</v>
      </c>
      <c r="F161" s="213"/>
      <c r="G161" s="212"/>
      <c r="H161" s="214"/>
      <c r="I161" s="212"/>
      <c r="J161" s="212"/>
      <c r="K161" s="212"/>
      <c r="L161" s="212"/>
      <c r="M161" s="212" t="s">
        <v>242</v>
      </c>
      <c r="N161" s="288"/>
    </row>
    <row r="162" spans="2:15" ht="18.75" customHeight="1">
      <c r="B162" s="287" t="s">
        <v>689</v>
      </c>
      <c r="C162" s="287"/>
      <c r="D162" s="287"/>
      <c r="E162" s="215"/>
      <c r="F162" s="216"/>
      <c r="G162" s="217"/>
      <c r="H162" s="217"/>
      <c r="I162" s="217"/>
      <c r="J162" s="217"/>
      <c r="K162" s="217"/>
      <c r="L162" s="217"/>
      <c r="M162" s="217"/>
      <c r="N162" s="288"/>
      <c r="O162" s="101">
        <v>30</v>
      </c>
    </row>
    <row r="164" spans="2:15" ht="36" customHeight="1">
      <c r="B164" s="203" t="s">
        <v>668</v>
      </c>
      <c r="C164" s="282" t="s">
        <v>36</v>
      </c>
      <c r="D164" s="282"/>
      <c r="E164" s="282"/>
      <c r="F164" s="282"/>
      <c r="G164" s="282"/>
      <c r="H164" s="282"/>
      <c r="I164" s="282"/>
      <c r="J164" s="282"/>
      <c r="K164" s="282"/>
      <c r="L164" s="282"/>
      <c r="M164" s="282"/>
      <c r="N164" s="282"/>
    </row>
    <row r="165" spans="2:15" s="206" customFormat="1" ht="41.25" customHeight="1">
      <c r="B165" s="283" t="s">
        <v>670</v>
      </c>
      <c r="C165" s="283"/>
      <c r="D165" s="283"/>
      <c r="E165" s="283"/>
      <c r="F165" s="283"/>
      <c r="G165" s="283"/>
      <c r="H165" s="283"/>
      <c r="I165" s="283"/>
      <c r="J165" s="204" t="s">
        <v>671</v>
      </c>
      <c r="K165" s="204" t="s">
        <v>672</v>
      </c>
      <c r="L165" s="204" t="s">
        <v>673</v>
      </c>
      <c r="M165" s="284" t="s">
        <v>674</v>
      </c>
      <c r="N165" s="204" t="s">
        <v>3</v>
      </c>
      <c r="O165" s="205"/>
    </row>
    <row r="166" spans="2:15" ht="103.5" customHeight="1">
      <c r="B166" s="207" t="s">
        <v>675</v>
      </c>
      <c r="C166" s="208" t="s">
        <v>676</v>
      </c>
      <c r="D166" s="208" t="s">
        <v>677</v>
      </c>
      <c r="E166" s="208" t="s">
        <v>678</v>
      </c>
      <c r="F166" s="209" t="s">
        <v>679</v>
      </c>
      <c r="G166" s="209" t="s">
        <v>680</v>
      </c>
      <c r="H166" s="209" t="s">
        <v>681</v>
      </c>
      <c r="I166" s="209" t="s">
        <v>682</v>
      </c>
      <c r="J166" s="210" t="s">
        <v>683</v>
      </c>
      <c r="K166" s="210" t="s">
        <v>684</v>
      </c>
      <c r="L166" s="210" t="s">
        <v>685</v>
      </c>
      <c r="M166" s="285"/>
      <c r="N166" s="286" t="s">
        <v>242</v>
      </c>
    </row>
    <row r="167" spans="2:15" ht="97.5" customHeight="1">
      <c r="B167" s="211">
        <v>1</v>
      </c>
      <c r="C167" s="212" t="s">
        <v>748</v>
      </c>
      <c r="D167" s="212" t="s">
        <v>242</v>
      </c>
      <c r="E167" s="212" t="s">
        <v>749</v>
      </c>
      <c r="F167" s="213">
        <f>7837.25*0.85</f>
        <v>6661.6624999999995</v>
      </c>
      <c r="G167" s="212">
        <v>150</v>
      </c>
      <c r="H167" s="214">
        <v>41379</v>
      </c>
      <c r="I167" s="212"/>
      <c r="J167" s="212" t="s">
        <v>242</v>
      </c>
      <c r="K167" s="212" t="s">
        <v>242</v>
      </c>
      <c r="L167" s="212" t="s">
        <v>242</v>
      </c>
      <c r="M167" s="212" t="s">
        <v>242</v>
      </c>
      <c r="N167" s="286"/>
    </row>
    <row r="168" spans="2:15" ht="97.5" customHeight="1">
      <c r="B168" s="211">
        <v>2</v>
      </c>
      <c r="C168" s="212" t="s">
        <v>750</v>
      </c>
      <c r="D168" s="212" t="s">
        <v>242</v>
      </c>
      <c r="E168" s="212" t="s">
        <v>749</v>
      </c>
      <c r="F168" s="213">
        <f>15498.98*0.5</f>
        <v>7749.49</v>
      </c>
      <c r="G168" s="212">
        <v>164</v>
      </c>
      <c r="H168" s="214">
        <v>42051</v>
      </c>
      <c r="I168" s="212"/>
      <c r="J168" s="212" t="s">
        <v>242</v>
      </c>
      <c r="K168" s="212" t="s">
        <v>242</v>
      </c>
      <c r="L168" s="212" t="s">
        <v>242</v>
      </c>
      <c r="M168" s="212" t="s">
        <v>242</v>
      </c>
      <c r="N168" s="286"/>
    </row>
    <row r="169" spans="2:15" ht="18.75" customHeight="1">
      <c r="B169" s="287" t="s">
        <v>689</v>
      </c>
      <c r="C169" s="287"/>
      <c r="D169" s="287"/>
      <c r="E169" s="215"/>
      <c r="F169" s="216">
        <f>SUM(F167:F168)</f>
        <v>14411.1525</v>
      </c>
      <c r="G169" s="217"/>
      <c r="H169" s="217"/>
      <c r="I169" s="217" t="s">
        <v>242</v>
      </c>
      <c r="J169" s="217"/>
      <c r="K169" s="217"/>
      <c r="L169" s="217"/>
      <c r="M169" s="217"/>
      <c r="N169" s="286"/>
      <c r="O169" s="101">
        <v>29</v>
      </c>
    </row>
    <row r="171" spans="2:15" ht="36" customHeight="1">
      <c r="B171" s="203" t="s">
        <v>668</v>
      </c>
      <c r="C171" s="282" t="s">
        <v>664</v>
      </c>
      <c r="D171" s="282"/>
      <c r="E171" s="282"/>
      <c r="F171" s="282"/>
      <c r="G171" s="282"/>
      <c r="H171" s="282"/>
      <c r="I171" s="282"/>
      <c r="J171" s="282"/>
      <c r="K171" s="282"/>
      <c r="L171" s="282"/>
      <c r="M171" s="282"/>
      <c r="N171" s="282"/>
    </row>
    <row r="172" spans="2:15" s="206" customFormat="1" ht="41.25" customHeight="1">
      <c r="B172" s="283" t="s">
        <v>670</v>
      </c>
      <c r="C172" s="283"/>
      <c r="D172" s="283"/>
      <c r="E172" s="283"/>
      <c r="F172" s="283"/>
      <c r="G172" s="283"/>
      <c r="H172" s="283"/>
      <c r="I172" s="283"/>
      <c r="J172" s="204" t="s">
        <v>671</v>
      </c>
      <c r="K172" s="204" t="s">
        <v>672</v>
      </c>
      <c r="L172" s="204" t="s">
        <v>673</v>
      </c>
      <c r="M172" s="284" t="s">
        <v>674</v>
      </c>
      <c r="N172" s="204" t="s">
        <v>3</v>
      </c>
      <c r="O172" s="205"/>
    </row>
    <row r="173" spans="2:15" ht="103.5" customHeight="1">
      <c r="B173" s="207" t="s">
        <v>675</v>
      </c>
      <c r="C173" s="208" t="s">
        <v>676</v>
      </c>
      <c r="D173" s="208" t="s">
        <v>677</v>
      </c>
      <c r="E173" s="208" t="s">
        <v>678</v>
      </c>
      <c r="F173" s="209" t="s">
        <v>679</v>
      </c>
      <c r="G173" s="209" t="s">
        <v>680</v>
      </c>
      <c r="H173" s="209" t="s">
        <v>681</v>
      </c>
      <c r="I173" s="209" t="s">
        <v>682</v>
      </c>
      <c r="J173" s="210" t="s">
        <v>683</v>
      </c>
      <c r="K173" s="210" t="s">
        <v>684</v>
      </c>
      <c r="L173" s="210" t="s">
        <v>685</v>
      </c>
      <c r="M173" s="285"/>
      <c r="N173" s="286" t="s">
        <v>242</v>
      </c>
    </row>
    <row r="174" spans="2:15" ht="97.5" customHeight="1">
      <c r="B174" s="211">
        <v>1</v>
      </c>
      <c r="C174" s="212" t="s">
        <v>751</v>
      </c>
      <c r="D174" s="212" t="s">
        <v>242</v>
      </c>
      <c r="E174" s="212" t="s">
        <v>664</v>
      </c>
      <c r="F174" s="213">
        <f>9507*0.8</f>
        <v>7605.6</v>
      </c>
      <c r="G174" s="212">
        <v>179</v>
      </c>
      <c r="H174" s="214">
        <v>44796</v>
      </c>
      <c r="I174" s="212"/>
      <c r="J174" s="212" t="s">
        <v>242</v>
      </c>
      <c r="K174" s="212" t="s">
        <v>242</v>
      </c>
      <c r="L174" s="212" t="s">
        <v>242</v>
      </c>
      <c r="M174" s="212" t="s">
        <v>242</v>
      </c>
      <c r="N174" s="286"/>
    </row>
    <row r="175" spans="2:15" ht="18.75" customHeight="1">
      <c r="B175" s="287" t="s">
        <v>689</v>
      </c>
      <c r="C175" s="287"/>
      <c r="D175" s="287"/>
      <c r="E175" s="215"/>
      <c r="F175" s="216">
        <f>SUM(F174:F174)</f>
        <v>7605.6</v>
      </c>
      <c r="G175" s="217"/>
      <c r="H175" s="217"/>
      <c r="I175" s="217" t="s">
        <v>242</v>
      </c>
      <c r="J175" s="217"/>
      <c r="K175" s="217"/>
      <c r="L175" s="217"/>
      <c r="M175" s="217"/>
      <c r="N175" s="286"/>
      <c r="O175" s="101">
        <v>28</v>
      </c>
    </row>
    <row r="177" spans="2:15" ht="36" customHeight="1">
      <c r="B177" s="203" t="s">
        <v>668</v>
      </c>
      <c r="C177" s="282" t="s">
        <v>752</v>
      </c>
      <c r="D177" s="282"/>
      <c r="E177" s="282"/>
      <c r="F177" s="282"/>
      <c r="G177" s="282"/>
      <c r="H177" s="282"/>
      <c r="I177" s="282"/>
      <c r="J177" s="282"/>
      <c r="K177" s="282"/>
      <c r="L177" s="282"/>
      <c r="M177" s="282"/>
      <c r="N177" s="282"/>
    </row>
    <row r="178" spans="2:15" s="206" customFormat="1" ht="41.25" customHeight="1">
      <c r="B178" s="283" t="s">
        <v>670</v>
      </c>
      <c r="C178" s="283"/>
      <c r="D178" s="283"/>
      <c r="E178" s="283"/>
      <c r="F178" s="283"/>
      <c r="G178" s="283"/>
      <c r="H178" s="283"/>
      <c r="I178" s="283"/>
      <c r="J178" s="204" t="s">
        <v>671</v>
      </c>
      <c r="K178" s="204" t="s">
        <v>672</v>
      </c>
      <c r="L178" s="204" t="s">
        <v>673</v>
      </c>
      <c r="M178" s="284" t="s">
        <v>674</v>
      </c>
      <c r="N178" s="204" t="s">
        <v>3</v>
      </c>
      <c r="O178" s="205"/>
    </row>
    <row r="179" spans="2:15" ht="103.5" customHeight="1">
      <c r="B179" s="207" t="s">
        <v>675</v>
      </c>
      <c r="C179" s="208" t="s">
        <v>676</v>
      </c>
      <c r="D179" s="208" t="s">
        <v>677</v>
      </c>
      <c r="E179" s="208" t="s">
        <v>678</v>
      </c>
      <c r="F179" s="209" t="s">
        <v>679</v>
      </c>
      <c r="G179" s="209" t="s">
        <v>680</v>
      </c>
      <c r="H179" s="209" t="s">
        <v>681</v>
      </c>
      <c r="I179" s="209" t="s">
        <v>682</v>
      </c>
      <c r="J179" s="210" t="s">
        <v>683</v>
      </c>
      <c r="K179" s="210" t="s">
        <v>684</v>
      </c>
      <c r="L179" s="210" t="s">
        <v>685</v>
      </c>
      <c r="M179" s="285"/>
      <c r="N179" s="286" t="s">
        <v>242</v>
      </c>
    </row>
    <row r="180" spans="2:15" ht="97.5" customHeight="1">
      <c r="B180" s="211">
        <v>1</v>
      </c>
      <c r="C180" s="212" t="s">
        <v>732</v>
      </c>
      <c r="D180" s="212" t="s">
        <v>242</v>
      </c>
      <c r="E180" s="212" t="s">
        <v>381</v>
      </c>
      <c r="F180" s="213">
        <v>7778.35</v>
      </c>
      <c r="G180" s="212">
        <v>23</v>
      </c>
      <c r="H180" s="214">
        <v>43708</v>
      </c>
      <c r="I180" s="212"/>
      <c r="J180" s="212" t="s">
        <v>242</v>
      </c>
      <c r="K180" s="212" t="s">
        <v>242</v>
      </c>
      <c r="L180" s="212" t="s">
        <v>242</v>
      </c>
      <c r="M180" s="212" t="s">
        <v>242</v>
      </c>
      <c r="N180" s="286"/>
    </row>
    <row r="181" spans="2:15" ht="97.5" customHeight="1">
      <c r="B181" s="211">
        <v>2</v>
      </c>
      <c r="C181" s="212" t="s">
        <v>753</v>
      </c>
      <c r="D181" s="212" t="s">
        <v>242</v>
      </c>
      <c r="E181" s="212" t="s">
        <v>268</v>
      </c>
      <c r="F181" s="213">
        <f>6162.52*0.5</f>
        <v>3081.26</v>
      </c>
      <c r="G181" s="212">
        <v>116</v>
      </c>
      <c r="H181" s="214">
        <v>45684</v>
      </c>
      <c r="I181" s="212"/>
      <c r="J181" s="212" t="s">
        <v>242</v>
      </c>
      <c r="K181" s="212" t="s">
        <v>242</v>
      </c>
      <c r="L181" s="212" t="s">
        <v>242</v>
      </c>
      <c r="M181" s="212" t="s">
        <v>242</v>
      </c>
      <c r="N181" s="286"/>
    </row>
    <row r="182" spans="2:15" ht="97.5" customHeight="1">
      <c r="B182" s="211">
        <v>3</v>
      </c>
      <c r="C182" s="212" t="s">
        <v>754</v>
      </c>
      <c r="D182" s="212" t="s">
        <v>242</v>
      </c>
      <c r="E182" s="212" t="s">
        <v>381</v>
      </c>
      <c r="F182" s="213">
        <v>12396.51</v>
      </c>
      <c r="G182" s="212">
        <v>13</v>
      </c>
      <c r="H182" s="214">
        <v>41255</v>
      </c>
      <c r="I182" s="212"/>
      <c r="J182" s="212" t="s">
        <v>242</v>
      </c>
      <c r="K182" s="212" t="s">
        <v>242</v>
      </c>
      <c r="L182" s="212" t="s">
        <v>242</v>
      </c>
      <c r="M182" s="212" t="s">
        <v>242</v>
      </c>
      <c r="N182" s="286"/>
    </row>
    <row r="183" spans="2:15" ht="18.75" customHeight="1">
      <c r="B183" s="287" t="s">
        <v>689</v>
      </c>
      <c r="C183" s="287"/>
      <c r="D183" s="287"/>
      <c r="E183" s="215"/>
      <c r="F183" s="216">
        <f>SUM(F180:F182)</f>
        <v>23256.120000000003</v>
      </c>
      <c r="G183" s="217"/>
      <c r="H183" s="217"/>
      <c r="I183" s="217" t="s">
        <v>242</v>
      </c>
      <c r="J183" s="217"/>
      <c r="K183" s="217"/>
      <c r="L183" s="217"/>
      <c r="M183" s="217"/>
      <c r="N183" s="286"/>
      <c r="O183" s="101">
        <v>27</v>
      </c>
    </row>
    <row r="185" spans="2:15" ht="36" customHeight="1">
      <c r="B185" s="203" t="s">
        <v>668</v>
      </c>
      <c r="C185" s="282" t="s">
        <v>33</v>
      </c>
      <c r="D185" s="282"/>
      <c r="E185" s="282"/>
      <c r="F185" s="282"/>
      <c r="G185" s="282"/>
      <c r="H185" s="282"/>
      <c r="I185" s="282"/>
      <c r="J185" s="282"/>
      <c r="K185" s="282"/>
      <c r="L185" s="282"/>
      <c r="M185" s="282"/>
      <c r="N185" s="282"/>
    </row>
    <row r="186" spans="2:15" s="206" customFormat="1" ht="41.25" customHeight="1">
      <c r="B186" s="283" t="s">
        <v>670</v>
      </c>
      <c r="C186" s="283"/>
      <c r="D186" s="283"/>
      <c r="E186" s="283"/>
      <c r="F186" s="283"/>
      <c r="G186" s="283"/>
      <c r="H186" s="283"/>
      <c r="I186" s="283"/>
      <c r="J186" s="204" t="s">
        <v>671</v>
      </c>
      <c r="K186" s="204" t="s">
        <v>672</v>
      </c>
      <c r="L186" s="204" t="s">
        <v>673</v>
      </c>
      <c r="M186" s="284" t="s">
        <v>674</v>
      </c>
      <c r="N186" s="204" t="s">
        <v>3</v>
      </c>
      <c r="O186" s="205"/>
    </row>
    <row r="187" spans="2:15" ht="103.5" customHeight="1">
      <c r="B187" s="207" t="s">
        <v>675</v>
      </c>
      <c r="C187" s="208" t="s">
        <v>676</v>
      </c>
      <c r="D187" s="208" t="s">
        <v>677</v>
      </c>
      <c r="E187" s="208" t="s">
        <v>678</v>
      </c>
      <c r="F187" s="209" t="s">
        <v>679</v>
      </c>
      <c r="G187" s="209" t="s">
        <v>680</v>
      </c>
      <c r="H187" s="209" t="s">
        <v>681</v>
      </c>
      <c r="I187" s="209" t="s">
        <v>682</v>
      </c>
      <c r="J187" s="210" t="s">
        <v>683</v>
      </c>
      <c r="K187" s="210" t="s">
        <v>684</v>
      </c>
      <c r="L187" s="210" t="s">
        <v>685</v>
      </c>
      <c r="M187" s="285"/>
      <c r="N187" s="288" t="s">
        <v>755</v>
      </c>
    </row>
    <row r="188" spans="2:15" ht="97.5" customHeight="1">
      <c r="B188" s="211">
        <v>1</v>
      </c>
      <c r="C188" s="212" t="s">
        <v>756</v>
      </c>
      <c r="D188" s="212" t="s">
        <v>242</v>
      </c>
      <c r="E188" s="212" t="s">
        <v>380</v>
      </c>
      <c r="F188" s="213">
        <f>48276.31*0.12</f>
        <v>5793.1571999999996</v>
      </c>
      <c r="G188" s="212">
        <v>1</v>
      </c>
      <c r="H188" s="214">
        <v>38554</v>
      </c>
      <c r="I188" s="212"/>
      <c r="J188" s="212" t="s">
        <v>242</v>
      </c>
      <c r="K188" s="212" t="s">
        <v>757</v>
      </c>
      <c r="L188" s="212"/>
      <c r="M188" s="212" t="s">
        <v>242</v>
      </c>
      <c r="N188" s="288"/>
    </row>
    <row r="189" spans="2:15" ht="97.5" customHeight="1">
      <c r="B189" s="211">
        <v>2</v>
      </c>
      <c r="C189" s="212" t="s">
        <v>758</v>
      </c>
      <c r="D189" s="212" t="s">
        <v>242</v>
      </c>
      <c r="E189" s="212" t="s">
        <v>380</v>
      </c>
      <c r="F189" s="213">
        <f>4038.88*0.7</f>
        <v>2827.2159999999999</v>
      </c>
      <c r="G189" s="212">
        <v>38</v>
      </c>
      <c r="H189" s="214">
        <v>42003</v>
      </c>
      <c r="I189" s="212"/>
      <c r="J189" s="212" t="s">
        <v>242</v>
      </c>
      <c r="K189" s="218" t="s">
        <v>128</v>
      </c>
      <c r="L189" s="212" t="s">
        <v>242</v>
      </c>
      <c r="M189" s="212" t="s">
        <v>242</v>
      </c>
      <c r="N189" s="288"/>
    </row>
    <row r="190" spans="2:15" ht="97.5" customHeight="1">
      <c r="B190" s="211">
        <v>3</v>
      </c>
      <c r="C190" s="212" t="s">
        <v>759</v>
      </c>
      <c r="D190" s="212" t="s">
        <v>242</v>
      </c>
      <c r="E190" s="212" t="s">
        <v>379</v>
      </c>
      <c r="F190" s="213">
        <f>1205.44*0.8</f>
        <v>964.35200000000009</v>
      </c>
      <c r="G190" s="212">
        <v>65</v>
      </c>
      <c r="H190" s="214">
        <v>44305</v>
      </c>
      <c r="I190" s="212"/>
      <c r="J190" s="212" t="s">
        <v>242</v>
      </c>
      <c r="K190" s="212" t="s">
        <v>757</v>
      </c>
      <c r="L190" s="212"/>
      <c r="M190" s="212" t="s">
        <v>242</v>
      </c>
      <c r="N190" s="288"/>
    </row>
    <row r="191" spans="2:15" ht="18.75" customHeight="1">
      <c r="B191" s="287" t="s">
        <v>689</v>
      </c>
      <c r="C191" s="287"/>
      <c r="D191" s="287"/>
      <c r="E191" s="215"/>
      <c r="F191" s="216">
        <f>SUM(F188:F190)</f>
        <v>9584.7252000000008</v>
      </c>
      <c r="G191" s="217"/>
      <c r="H191" s="217"/>
      <c r="I191" s="220" t="s">
        <v>128</v>
      </c>
      <c r="J191" s="217"/>
      <c r="K191" s="220" t="s">
        <v>128</v>
      </c>
      <c r="L191" s="217"/>
      <c r="M191" s="217"/>
      <c r="N191" s="288"/>
      <c r="O191" s="101">
        <v>26</v>
      </c>
    </row>
    <row r="193" spans="2:15" ht="36" customHeight="1">
      <c r="B193" s="203" t="s">
        <v>668</v>
      </c>
      <c r="C193" s="282" t="s">
        <v>32</v>
      </c>
      <c r="D193" s="282"/>
      <c r="E193" s="282"/>
      <c r="F193" s="282"/>
      <c r="G193" s="282"/>
      <c r="H193" s="282"/>
      <c r="I193" s="282"/>
      <c r="J193" s="282"/>
      <c r="K193" s="282"/>
      <c r="L193" s="282"/>
      <c r="M193" s="282"/>
      <c r="N193" s="282"/>
    </row>
    <row r="194" spans="2:15" s="206" customFormat="1" ht="41.25" customHeight="1">
      <c r="B194" s="283" t="s">
        <v>670</v>
      </c>
      <c r="C194" s="283"/>
      <c r="D194" s="283"/>
      <c r="E194" s="283"/>
      <c r="F194" s="283"/>
      <c r="G194" s="283"/>
      <c r="H194" s="283"/>
      <c r="I194" s="283"/>
      <c r="J194" s="204" t="s">
        <v>671</v>
      </c>
      <c r="K194" s="204" t="s">
        <v>672</v>
      </c>
      <c r="L194" s="204" t="s">
        <v>673</v>
      </c>
      <c r="M194" s="284" t="s">
        <v>674</v>
      </c>
      <c r="N194" s="204" t="s">
        <v>3</v>
      </c>
      <c r="O194" s="205"/>
    </row>
    <row r="195" spans="2:15" ht="103.5" customHeight="1">
      <c r="B195" s="207" t="s">
        <v>675</v>
      </c>
      <c r="C195" s="208" t="s">
        <v>676</v>
      </c>
      <c r="D195" s="208" t="s">
        <v>677</v>
      </c>
      <c r="E195" s="208" t="s">
        <v>678</v>
      </c>
      <c r="F195" s="209" t="s">
        <v>679</v>
      </c>
      <c r="G195" s="209" t="s">
        <v>680</v>
      </c>
      <c r="H195" s="209" t="s">
        <v>681</v>
      </c>
      <c r="I195" s="209" t="s">
        <v>682</v>
      </c>
      <c r="J195" s="210" t="s">
        <v>683</v>
      </c>
      <c r="K195" s="210" t="s">
        <v>684</v>
      </c>
      <c r="L195" s="210" t="s">
        <v>685</v>
      </c>
      <c r="M195" s="285"/>
      <c r="N195" s="288" t="s">
        <v>760</v>
      </c>
    </row>
    <row r="196" spans="2:15" ht="97.5" customHeight="1">
      <c r="B196" s="211">
        <v>1</v>
      </c>
      <c r="C196" s="212" t="s">
        <v>761</v>
      </c>
      <c r="D196" s="212" t="s">
        <v>242</v>
      </c>
      <c r="E196" s="212" t="s">
        <v>762</v>
      </c>
      <c r="F196" s="213">
        <f>21743.97*0.43</f>
        <v>9349.9071000000004</v>
      </c>
      <c r="G196" s="212">
        <v>59</v>
      </c>
      <c r="H196" s="214">
        <v>41643</v>
      </c>
      <c r="I196" s="212"/>
      <c r="J196" s="212" t="s">
        <v>242</v>
      </c>
      <c r="K196" s="212" t="s">
        <v>757</v>
      </c>
      <c r="L196" s="212" t="s">
        <v>242</v>
      </c>
      <c r="M196" s="212" t="s">
        <v>242</v>
      </c>
      <c r="N196" s="288"/>
    </row>
    <row r="197" spans="2:15" ht="97.5" customHeight="1">
      <c r="B197" s="211">
        <v>2</v>
      </c>
      <c r="C197" s="212" t="s">
        <v>763</v>
      </c>
      <c r="D197" s="212" t="s">
        <v>242</v>
      </c>
      <c r="E197" s="212" t="s">
        <v>762</v>
      </c>
      <c r="F197" s="213">
        <f>241.2*0.8</f>
        <v>192.96</v>
      </c>
      <c r="G197" s="212">
        <v>13</v>
      </c>
      <c r="H197" s="214">
        <v>42243</v>
      </c>
      <c r="I197" s="212"/>
      <c r="J197" s="212" t="s">
        <v>242</v>
      </c>
      <c r="K197" s="212" t="s">
        <v>757</v>
      </c>
      <c r="L197" s="212" t="s">
        <v>242</v>
      </c>
      <c r="M197" s="212" t="s">
        <v>242</v>
      </c>
      <c r="N197" s="288"/>
    </row>
    <row r="198" spans="2:15" ht="18.75" customHeight="1">
      <c r="B198" s="287" t="s">
        <v>689</v>
      </c>
      <c r="C198" s="287"/>
      <c r="D198" s="287"/>
      <c r="E198" s="215"/>
      <c r="F198" s="216">
        <f>SUM(F196:F197)</f>
        <v>9542.8670999999995</v>
      </c>
      <c r="G198" s="217"/>
      <c r="H198" s="217"/>
      <c r="I198" s="217" t="s">
        <v>242</v>
      </c>
      <c r="J198" s="217"/>
      <c r="K198" s="220" t="s">
        <v>128</v>
      </c>
      <c r="L198" s="217"/>
      <c r="M198" s="217"/>
      <c r="N198" s="288"/>
      <c r="O198" s="101">
        <v>25</v>
      </c>
    </row>
    <row r="200" spans="2:15" ht="36" customHeight="1">
      <c r="B200" s="203" t="s">
        <v>668</v>
      </c>
      <c r="C200" s="282" t="s">
        <v>31</v>
      </c>
      <c r="D200" s="282"/>
      <c r="E200" s="282"/>
      <c r="F200" s="282"/>
      <c r="G200" s="282"/>
      <c r="H200" s="282"/>
      <c r="I200" s="282"/>
      <c r="J200" s="282"/>
      <c r="K200" s="282"/>
      <c r="L200" s="282"/>
      <c r="M200" s="282"/>
      <c r="N200" s="282"/>
    </row>
    <row r="201" spans="2:15" s="206" customFormat="1" ht="41.25" customHeight="1">
      <c r="B201" s="283" t="s">
        <v>670</v>
      </c>
      <c r="C201" s="283"/>
      <c r="D201" s="283"/>
      <c r="E201" s="283"/>
      <c r="F201" s="283"/>
      <c r="G201" s="283"/>
      <c r="H201" s="283"/>
      <c r="I201" s="283"/>
      <c r="J201" s="204" t="s">
        <v>671</v>
      </c>
      <c r="K201" s="204" t="s">
        <v>672</v>
      </c>
      <c r="L201" s="204" t="s">
        <v>673</v>
      </c>
      <c r="M201" s="284" t="s">
        <v>674</v>
      </c>
      <c r="N201" s="204" t="s">
        <v>3</v>
      </c>
      <c r="O201" s="205"/>
    </row>
    <row r="202" spans="2:15" ht="103.5" customHeight="1">
      <c r="B202" s="207" t="s">
        <v>675</v>
      </c>
      <c r="C202" s="208" t="s">
        <v>676</v>
      </c>
      <c r="D202" s="208" t="s">
        <v>677</v>
      </c>
      <c r="E202" s="208" t="s">
        <v>678</v>
      </c>
      <c r="F202" s="209" t="s">
        <v>679</v>
      </c>
      <c r="G202" s="209" t="s">
        <v>680</v>
      </c>
      <c r="H202" s="209" t="s">
        <v>681</v>
      </c>
      <c r="I202" s="209" t="s">
        <v>682</v>
      </c>
      <c r="J202" s="210" t="s">
        <v>683</v>
      </c>
      <c r="K202" s="210" t="s">
        <v>684</v>
      </c>
      <c r="L202" s="210" t="s">
        <v>685</v>
      </c>
      <c r="M202" s="285"/>
      <c r="N202" s="288" t="s">
        <v>764</v>
      </c>
    </row>
    <row r="203" spans="2:15" ht="97.5" customHeight="1">
      <c r="B203" s="211">
        <v>1</v>
      </c>
      <c r="C203" s="212"/>
      <c r="D203" s="212"/>
      <c r="E203" s="212" t="s">
        <v>269</v>
      </c>
      <c r="F203" s="213"/>
      <c r="G203" s="212"/>
      <c r="H203" s="214"/>
      <c r="I203" s="212"/>
      <c r="J203" s="212"/>
      <c r="K203" s="212"/>
      <c r="L203" s="212"/>
      <c r="M203" s="219" t="s">
        <v>242</v>
      </c>
      <c r="N203" s="288"/>
    </row>
    <row r="204" spans="2:15" ht="97.5" customHeight="1">
      <c r="B204" s="211">
        <v>2</v>
      </c>
      <c r="C204" s="212"/>
      <c r="D204" s="212"/>
      <c r="E204" s="212" t="s">
        <v>269</v>
      </c>
      <c r="F204" s="213"/>
      <c r="G204" s="212"/>
      <c r="H204" s="214"/>
      <c r="I204" s="212"/>
      <c r="J204" s="218"/>
      <c r="K204" s="212"/>
      <c r="L204" s="212"/>
      <c r="M204" s="219" t="s">
        <v>242</v>
      </c>
      <c r="N204" s="288"/>
    </row>
    <row r="205" spans="2:15" ht="18.75" customHeight="1">
      <c r="B205" s="287" t="s">
        <v>689</v>
      </c>
      <c r="C205" s="287"/>
      <c r="D205" s="287"/>
      <c r="E205" s="215"/>
      <c r="F205" s="216"/>
      <c r="G205" s="217"/>
      <c r="H205" s="217"/>
      <c r="I205" s="217"/>
      <c r="J205" s="217"/>
      <c r="K205" s="217"/>
      <c r="L205" s="217"/>
      <c r="M205" s="217"/>
      <c r="N205" s="288"/>
      <c r="O205" s="101">
        <v>24</v>
      </c>
    </row>
    <row r="207" spans="2:15" ht="36" customHeight="1">
      <c r="B207" s="203" t="s">
        <v>668</v>
      </c>
      <c r="C207" s="282" t="s">
        <v>30</v>
      </c>
      <c r="D207" s="282"/>
      <c r="E207" s="282"/>
      <c r="F207" s="282"/>
      <c r="G207" s="282"/>
      <c r="H207" s="282"/>
      <c r="I207" s="282"/>
      <c r="J207" s="282"/>
      <c r="K207" s="282"/>
      <c r="L207" s="282"/>
      <c r="M207" s="282"/>
      <c r="N207" s="282"/>
    </row>
    <row r="208" spans="2:15" s="206" customFormat="1" ht="41.25" customHeight="1">
      <c r="B208" s="283" t="s">
        <v>670</v>
      </c>
      <c r="C208" s="283"/>
      <c r="D208" s="283"/>
      <c r="E208" s="283"/>
      <c r="F208" s="283"/>
      <c r="G208" s="283"/>
      <c r="H208" s="283"/>
      <c r="I208" s="283"/>
      <c r="J208" s="204" t="s">
        <v>671</v>
      </c>
      <c r="K208" s="204" t="s">
        <v>672</v>
      </c>
      <c r="L208" s="204" t="s">
        <v>673</v>
      </c>
      <c r="M208" s="284" t="s">
        <v>674</v>
      </c>
      <c r="N208" s="204" t="s">
        <v>3</v>
      </c>
      <c r="O208" s="205"/>
    </row>
    <row r="209" spans="2:15" ht="103.5" customHeight="1">
      <c r="B209" s="207" t="s">
        <v>675</v>
      </c>
      <c r="C209" s="208" t="s">
        <v>676</v>
      </c>
      <c r="D209" s="208" t="s">
        <v>677</v>
      </c>
      <c r="E209" s="208" t="s">
        <v>678</v>
      </c>
      <c r="F209" s="209" t="s">
        <v>679</v>
      </c>
      <c r="G209" s="209" t="s">
        <v>680</v>
      </c>
      <c r="H209" s="209" t="s">
        <v>681</v>
      </c>
      <c r="I209" s="209" t="s">
        <v>682</v>
      </c>
      <c r="J209" s="210" t="s">
        <v>683</v>
      </c>
      <c r="K209" s="210" t="s">
        <v>684</v>
      </c>
      <c r="L209" s="210" t="s">
        <v>685</v>
      </c>
      <c r="M209" s="285"/>
      <c r="N209" s="288" t="s">
        <v>745</v>
      </c>
    </row>
    <row r="210" spans="2:15" ht="97.5" customHeight="1">
      <c r="B210" s="211">
        <v>1</v>
      </c>
      <c r="C210" s="212"/>
      <c r="D210" s="212"/>
      <c r="E210" s="212" t="s">
        <v>270</v>
      </c>
      <c r="F210" s="213"/>
      <c r="G210" s="212"/>
      <c r="H210" s="214"/>
      <c r="I210" s="212"/>
      <c r="J210" s="212"/>
      <c r="K210" s="212"/>
      <c r="L210" s="212"/>
      <c r="M210" s="219" t="s">
        <v>242</v>
      </c>
      <c r="N210" s="288"/>
    </row>
    <row r="211" spans="2:15" ht="97.5" customHeight="1">
      <c r="B211" s="211">
        <v>2</v>
      </c>
      <c r="C211" s="212"/>
      <c r="D211" s="212"/>
      <c r="E211" s="212" t="s">
        <v>271</v>
      </c>
      <c r="F211" s="213"/>
      <c r="G211" s="212"/>
      <c r="H211" s="214"/>
      <c r="I211" s="212"/>
      <c r="J211" s="218"/>
      <c r="K211" s="212"/>
      <c r="L211" s="212"/>
      <c r="M211" s="219" t="s">
        <v>242</v>
      </c>
      <c r="N211" s="288"/>
    </row>
    <row r="212" spans="2:15" ht="18.75" customHeight="1">
      <c r="B212" s="287" t="s">
        <v>689</v>
      </c>
      <c r="C212" s="287"/>
      <c r="D212" s="287"/>
      <c r="E212" s="215"/>
      <c r="F212" s="216"/>
      <c r="G212" s="217"/>
      <c r="H212" s="217"/>
      <c r="I212" s="217"/>
      <c r="J212" s="217"/>
      <c r="K212" s="217"/>
      <c r="L212" s="217"/>
      <c r="M212" s="217"/>
      <c r="N212" s="288"/>
      <c r="O212" s="101">
        <v>23</v>
      </c>
    </row>
    <row r="214" spans="2:15" s="238" customFormat="1" ht="36" customHeight="1">
      <c r="B214" s="203" t="s">
        <v>668</v>
      </c>
      <c r="C214" s="282" t="s">
        <v>29</v>
      </c>
      <c r="D214" s="282"/>
      <c r="E214" s="282"/>
      <c r="F214" s="282"/>
      <c r="G214" s="282"/>
      <c r="H214" s="282"/>
      <c r="I214" s="282"/>
      <c r="J214" s="282"/>
      <c r="K214" s="282"/>
      <c r="L214" s="282"/>
      <c r="M214" s="282"/>
      <c r="N214" s="282"/>
      <c r="O214" s="237"/>
    </row>
    <row r="215" spans="2:15" s="240" customFormat="1" ht="31.5">
      <c r="B215" s="283" t="s">
        <v>670</v>
      </c>
      <c r="C215" s="283"/>
      <c r="D215" s="283"/>
      <c r="E215" s="283"/>
      <c r="F215" s="283"/>
      <c r="G215" s="283"/>
      <c r="H215" s="283"/>
      <c r="I215" s="283"/>
      <c r="J215" s="204" t="s">
        <v>671</v>
      </c>
      <c r="K215" s="204" t="s">
        <v>672</v>
      </c>
      <c r="L215" s="204" t="s">
        <v>673</v>
      </c>
      <c r="M215" s="284" t="s">
        <v>674</v>
      </c>
      <c r="N215" s="204" t="s">
        <v>3</v>
      </c>
      <c r="O215" s="239"/>
    </row>
    <row r="216" spans="2:15" s="238" customFormat="1" ht="103.5" customHeight="1">
      <c r="B216" s="207" t="s">
        <v>675</v>
      </c>
      <c r="C216" s="208" t="s">
        <v>676</v>
      </c>
      <c r="D216" s="208" t="s">
        <v>677</v>
      </c>
      <c r="E216" s="208" t="s">
        <v>678</v>
      </c>
      <c r="F216" s="209" t="s">
        <v>679</v>
      </c>
      <c r="G216" s="209" t="s">
        <v>680</v>
      </c>
      <c r="H216" s="209" t="s">
        <v>681</v>
      </c>
      <c r="I216" s="209" t="s">
        <v>682</v>
      </c>
      <c r="J216" s="210" t="s">
        <v>683</v>
      </c>
      <c r="K216" s="210" t="s">
        <v>684</v>
      </c>
      <c r="L216" s="210" t="s">
        <v>685</v>
      </c>
      <c r="M216" s="285"/>
      <c r="N216" s="286" t="s">
        <v>242</v>
      </c>
      <c r="O216" s="237"/>
    </row>
    <row r="217" spans="2:15" s="238" customFormat="1" ht="97.5" customHeight="1">
      <c r="B217" s="211">
        <v>1</v>
      </c>
      <c r="C217" s="208" t="s">
        <v>765</v>
      </c>
      <c r="D217" s="211" t="s">
        <v>242</v>
      </c>
      <c r="E217" s="212" t="s">
        <v>272</v>
      </c>
      <c r="F217" s="213">
        <f>10779.12*0.47</f>
        <v>5066.1864000000005</v>
      </c>
      <c r="G217" s="212">
        <v>107</v>
      </c>
      <c r="H217" s="214">
        <v>44593</v>
      </c>
      <c r="I217" s="212"/>
      <c r="J217" s="212" t="s">
        <v>242</v>
      </c>
      <c r="K217" s="218"/>
      <c r="L217" s="212" t="s">
        <v>242</v>
      </c>
      <c r="M217" s="219" t="s">
        <v>242</v>
      </c>
      <c r="N217" s="286"/>
      <c r="O217" s="237"/>
    </row>
    <row r="218" spans="2:15" s="238" customFormat="1" ht="53.25" customHeight="1">
      <c r="B218" s="207">
        <v>2</v>
      </c>
      <c r="C218" s="208" t="s">
        <v>766</v>
      </c>
      <c r="D218" s="211" t="s">
        <v>242</v>
      </c>
      <c r="E218" s="211" t="s">
        <v>272</v>
      </c>
      <c r="F218" s="213">
        <v>16544.580000000002</v>
      </c>
      <c r="G218" s="212">
        <v>111</v>
      </c>
      <c r="H218" s="214">
        <v>44083</v>
      </c>
      <c r="I218" s="212"/>
      <c r="J218" s="212" t="s">
        <v>242</v>
      </c>
      <c r="K218" s="212" t="s">
        <v>242</v>
      </c>
      <c r="L218" s="212" t="s">
        <v>242</v>
      </c>
      <c r="M218" s="219" t="s">
        <v>242</v>
      </c>
      <c r="N218" s="286"/>
      <c r="O218" s="237"/>
    </row>
    <row r="219" spans="2:15" s="238" customFormat="1" ht="18.75" customHeight="1">
      <c r="B219" s="287" t="s">
        <v>689</v>
      </c>
      <c r="C219" s="287"/>
      <c r="D219" s="287"/>
      <c r="E219" s="215"/>
      <c r="F219" s="216">
        <f>SUM(F217:F218)</f>
        <v>21610.7664</v>
      </c>
      <c r="G219" s="217"/>
      <c r="H219" s="217"/>
      <c r="I219" s="217" t="s">
        <v>242</v>
      </c>
      <c r="J219" s="217"/>
      <c r="K219" s="217"/>
      <c r="L219" s="217"/>
      <c r="M219" s="217"/>
      <c r="N219" s="286"/>
      <c r="O219" s="237">
        <v>22</v>
      </c>
    </row>
    <row r="220" spans="2:15" s="238" customFormat="1">
      <c r="O220" s="237"/>
    </row>
    <row r="221" spans="2:15" s="238" customFormat="1" ht="36" customHeight="1">
      <c r="B221" s="203" t="s">
        <v>668</v>
      </c>
      <c r="C221" s="282" t="s">
        <v>767</v>
      </c>
      <c r="D221" s="282"/>
      <c r="E221" s="282"/>
      <c r="F221" s="282"/>
      <c r="G221" s="282"/>
      <c r="H221" s="282"/>
      <c r="I221" s="282"/>
      <c r="J221" s="282"/>
      <c r="K221" s="282"/>
      <c r="L221" s="282"/>
      <c r="M221" s="282"/>
      <c r="N221" s="282"/>
      <c r="O221" s="237"/>
    </row>
    <row r="222" spans="2:15" s="240" customFormat="1" ht="39.75" customHeight="1">
      <c r="B222" s="283" t="s">
        <v>670</v>
      </c>
      <c r="C222" s="283"/>
      <c r="D222" s="283"/>
      <c r="E222" s="283"/>
      <c r="F222" s="283"/>
      <c r="G222" s="283"/>
      <c r="H222" s="283"/>
      <c r="I222" s="283"/>
      <c r="J222" s="204" t="s">
        <v>671</v>
      </c>
      <c r="K222" s="204" t="s">
        <v>672</v>
      </c>
      <c r="L222" s="204" t="s">
        <v>673</v>
      </c>
      <c r="M222" s="284" t="s">
        <v>674</v>
      </c>
      <c r="N222" s="204" t="s">
        <v>3</v>
      </c>
      <c r="O222" s="239"/>
    </row>
    <row r="223" spans="2:15" s="238" customFormat="1" ht="103.5" customHeight="1">
      <c r="B223" s="207" t="s">
        <v>675</v>
      </c>
      <c r="C223" s="208" t="s">
        <v>676</v>
      </c>
      <c r="D223" s="208" t="s">
        <v>677</v>
      </c>
      <c r="E223" s="208" t="s">
        <v>678</v>
      </c>
      <c r="F223" s="209" t="s">
        <v>679</v>
      </c>
      <c r="G223" s="209" t="s">
        <v>680</v>
      </c>
      <c r="H223" s="209" t="s">
        <v>681</v>
      </c>
      <c r="I223" s="209" t="s">
        <v>682</v>
      </c>
      <c r="J223" s="210" t="s">
        <v>683</v>
      </c>
      <c r="K223" s="210" t="s">
        <v>684</v>
      </c>
      <c r="L223" s="210" t="s">
        <v>685</v>
      </c>
      <c r="M223" s="285"/>
      <c r="N223" s="286" t="s">
        <v>242</v>
      </c>
      <c r="O223" s="237"/>
    </row>
    <row r="224" spans="2:15" s="238" customFormat="1" ht="97.5" customHeight="1">
      <c r="B224" s="211">
        <v>1</v>
      </c>
      <c r="C224" s="208" t="s">
        <v>768</v>
      </c>
      <c r="D224" s="211" t="s">
        <v>242</v>
      </c>
      <c r="E224" s="212" t="s">
        <v>769</v>
      </c>
      <c r="F224" s="213">
        <f>38996.8*0.3</f>
        <v>11699.04</v>
      </c>
      <c r="G224" s="212">
        <v>57</v>
      </c>
      <c r="H224" s="214">
        <v>40526</v>
      </c>
      <c r="I224" s="212"/>
      <c r="J224" s="212" t="s">
        <v>242</v>
      </c>
      <c r="K224" s="212" t="s">
        <v>242</v>
      </c>
      <c r="L224" s="212" t="s">
        <v>242</v>
      </c>
      <c r="M224" s="219" t="s">
        <v>242</v>
      </c>
      <c r="N224" s="286"/>
      <c r="O224" s="237"/>
    </row>
    <row r="225" spans="2:15" s="238" customFormat="1" ht="97.5" customHeight="1">
      <c r="B225" s="211">
        <v>2</v>
      </c>
      <c r="C225" s="208" t="s">
        <v>770</v>
      </c>
      <c r="D225" s="211" t="s">
        <v>242</v>
      </c>
      <c r="E225" s="212" t="s">
        <v>771</v>
      </c>
      <c r="F225" s="208">
        <v>3223.68</v>
      </c>
      <c r="G225" s="212">
        <v>8</v>
      </c>
      <c r="H225" s="214">
        <v>40899</v>
      </c>
      <c r="I225" s="212"/>
      <c r="J225" s="212" t="s">
        <v>242</v>
      </c>
      <c r="K225" s="212"/>
      <c r="L225" s="212"/>
      <c r="M225" s="219" t="s">
        <v>242</v>
      </c>
      <c r="N225" s="286"/>
      <c r="O225" s="237"/>
    </row>
    <row r="226" spans="2:15" s="238" customFormat="1" ht="97.5" customHeight="1">
      <c r="B226" s="211">
        <v>3</v>
      </c>
      <c r="C226" s="208" t="s">
        <v>770</v>
      </c>
      <c r="D226" s="211" t="s">
        <v>242</v>
      </c>
      <c r="E226" s="212" t="s">
        <v>771</v>
      </c>
      <c r="F226" s="213">
        <v>3329.06</v>
      </c>
      <c r="G226" s="212">
        <v>9</v>
      </c>
      <c r="H226" s="214">
        <v>40899</v>
      </c>
      <c r="I226" s="212"/>
      <c r="J226" s="212" t="s">
        <v>242</v>
      </c>
      <c r="K226" s="212"/>
      <c r="L226" s="212"/>
      <c r="M226" s="219" t="s">
        <v>242</v>
      </c>
      <c r="N226" s="286"/>
      <c r="O226" s="237"/>
    </row>
    <row r="227" spans="2:15" s="238" customFormat="1" ht="97.5" customHeight="1">
      <c r="B227" s="290">
        <v>4</v>
      </c>
      <c r="C227" s="290" t="s">
        <v>772</v>
      </c>
      <c r="D227" s="290" t="s">
        <v>242</v>
      </c>
      <c r="E227" s="211" t="s">
        <v>771</v>
      </c>
      <c r="F227" s="290">
        <v>1384.15</v>
      </c>
      <c r="G227" s="290" t="s">
        <v>773</v>
      </c>
      <c r="H227" s="292">
        <v>45176</v>
      </c>
      <c r="I227" s="290"/>
      <c r="J227" s="290" t="s">
        <v>242</v>
      </c>
      <c r="K227" s="290"/>
      <c r="L227" s="290" t="s">
        <v>242</v>
      </c>
      <c r="M227" s="219" t="s">
        <v>242</v>
      </c>
      <c r="N227" s="286"/>
      <c r="O227" s="237"/>
    </row>
    <row r="228" spans="2:15" s="238" customFormat="1" ht="53.25" customHeight="1">
      <c r="B228" s="291"/>
      <c r="C228" s="291"/>
      <c r="D228" s="291"/>
      <c r="E228" s="211" t="s">
        <v>774</v>
      </c>
      <c r="F228" s="291"/>
      <c r="G228" s="291"/>
      <c r="H228" s="291"/>
      <c r="I228" s="291"/>
      <c r="J228" s="291"/>
      <c r="K228" s="291"/>
      <c r="L228" s="291"/>
      <c r="M228" s="219" t="s">
        <v>242</v>
      </c>
      <c r="N228" s="286"/>
      <c r="O228" s="237"/>
    </row>
    <row r="229" spans="2:15" s="238" customFormat="1" ht="18.75" customHeight="1">
      <c r="B229" s="287" t="s">
        <v>689</v>
      </c>
      <c r="C229" s="287"/>
      <c r="D229" s="287"/>
      <c r="E229" s="215"/>
      <c r="F229" s="216">
        <f>SUM(F224:F228)</f>
        <v>19635.930000000004</v>
      </c>
      <c r="G229" s="217"/>
      <c r="H229" s="217"/>
      <c r="I229" s="217"/>
      <c r="J229" s="217"/>
      <c r="K229" s="217"/>
      <c r="L229" s="217"/>
      <c r="M229" s="217"/>
      <c r="N229" s="286"/>
      <c r="O229" s="237">
        <v>21</v>
      </c>
    </row>
    <row r="231" spans="2:15" s="238" customFormat="1" ht="36" customHeight="1">
      <c r="B231" s="241" t="s">
        <v>668</v>
      </c>
      <c r="C231" s="282" t="s">
        <v>27</v>
      </c>
      <c r="D231" s="282"/>
      <c r="E231" s="282"/>
      <c r="F231" s="282"/>
      <c r="G231" s="282"/>
      <c r="H231" s="282"/>
      <c r="I231" s="282"/>
      <c r="J231" s="282"/>
      <c r="K231" s="282"/>
      <c r="L231" s="282"/>
      <c r="M231" s="282"/>
      <c r="N231" s="282"/>
      <c r="O231" s="237"/>
    </row>
    <row r="232" spans="2:15" s="240" customFormat="1" ht="39.75" customHeight="1">
      <c r="B232" s="283" t="s">
        <v>670</v>
      </c>
      <c r="C232" s="283"/>
      <c r="D232" s="283"/>
      <c r="E232" s="283"/>
      <c r="F232" s="283"/>
      <c r="G232" s="283"/>
      <c r="H232" s="283"/>
      <c r="I232" s="283"/>
      <c r="J232" s="204" t="s">
        <v>671</v>
      </c>
      <c r="K232" s="204" t="s">
        <v>672</v>
      </c>
      <c r="L232" s="204" t="s">
        <v>673</v>
      </c>
      <c r="M232" s="284" t="s">
        <v>674</v>
      </c>
      <c r="N232" s="204" t="s">
        <v>3</v>
      </c>
      <c r="O232" s="239"/>
    </row>
    <row r="233" spans="2:15" s="238" customFormat="1" ht="103.5" customHeight="1">
      <c r="B233" s="207" t="s">
        <v>675</v>
      </c>
      <c r="C233" s="208" t="s">
        <v>676</v>
      </c>
      <c r="D233" s="208" t="s">
        <v>677</v>
      </c>
      <c r="E233" s="208" t="s">
        <v>678</v>
      </c>
      <c r="F233" s="209" t="s">
        <v>679</v>
      </c>
      <c r="G233" s="209" t="s">
        <v>680</v>
      </c>
      <c r="H233" s="209" t="s">
        <v>681</v>
      </c>
      <c r="I233" s="209" t="s">
        <v>682</v>
      </c>
      <c r="J233" s="210" t="s">
        <v>683</v>
      </c>
      <c r="K233" s="210" t="s">
        <v>684</v>
      </c>
      <c r="L233" s="210" t="s">
        <v>685</v>
      </c>
      <c r="M233" s="285"/>
      <c r="N233" s="288" t="s">
        <v>760</v>
      </c>
      <c r="O233" s="237"/>
    </row>
    <row r="234" spans="2:15" s="238" customFormat="1" ht="97.5" customHeight="1">
      <c r="B234" s="208">
        <v>1</v>
      </c>
      <c r="C234" s="208" t="s">
        <v>686</v>
      </c>
      <c r="D234" s="212" t="s">
        <v>242</v>
      </c>
      <c r="E234" s="212" t="s">
        <v>775</v>
      </c>
      <c r="F234" s="213">
        <f>23874.87*0.8</f>
        <v>19099.896000000001</v>
      </c>
      <c r="G234" s="212">
        <v>33</v>
      </c>
      <c r="H234" s="214">
        <v>44139</v>
      </c>
      <c r="I234" s="212"/>
      <c r="J234" s="219" t="s">
        <v>242</v>
      </c>
      <c r="K234" s="212" t="s">
        <v>757</v>
      </c>
      <c r="L234" s="219" t="s">
        <v>242</v>
      </c>
      <c r="M234" s="219" t="s">
        <v>242</v>
      </c>
      <c r="N234" s="288"/>
      <c r="O234" s="237"/>
    </row>
    <row r="235" spans="2:15" s="238" customFormat="1" ht="97.5" customHeight="1">
      <c r="B235" s="208">
        <v>2</v>
      </c>
      <c r="C235" s="208" t="s">
        <v>686</v>
      </c>
      <c r="D235" s="212" t="s">
        <v>242</v>
      </c>
      <c r="E235" s="212" t="s">
        <v>776</v>
      </c>
      <c r="F235" s="213">
        <f>18454.61</f>
        <v>18454.61</v>
      </c>
      <c r="G235" s="212" t="s">
        <v>777</v>
      </c>
      <c r="H235" s="214">
        <v>44987</v>
      </c>
      <c r="I235" s="212"/>
      <c r="J235" s="212" t="s">
        <v>242</v>
      </c>
      <c r="K235" s="212" t="s">
        <v>757</v>
      </c>
      <c r="L235" s="212" t="s">
        <v>242</v>
      </c>
      <c r="M235" s="219" t="s">
        <v>242</v>
      </c>
      <c r="N235" s="288"/>
      <c r="O235" s="237"/>
    </row>
    <row r="236" spans="2:15" s="238" customFormat="1" ht="18.75" customHeight="1">
      <c r="B236" s="283" t="s">
        <v>689</v>
      </c>
      <c r="C236" s="283"/>
      <c r="D236" s="283"/>
      <c r="E236" s="204"/>
      <c r="F236" s="216">
        <f>SUM(F234:F235)</f>
        <v>37554.506000000001</v>
      </c>
      <c r="G236" s="217"/>
      <c r="H236" s="217"/>
      <c r="I236" s="217"/>
      <c r="J236" s="217"/>
      <c r="K236" s="220" t="s">
        <v>128</v>
      </c>
      <c r="L236" s="217"/>
      <c r="M236" s="217"/>
      <c r="N236" s="288"/>
      <c r="O236" s="237">
        <v>20</v>
      </c>
    </row>
    <row r="238" spans="2:15" s="238" customFormat="1" ht="36" customHeight="1">
      <c r="B238" s="241" t="s">
        <v>668</v>
      </c>
      <c r="C238" s="282" t="s">
        <v>26</v>
      </c>
      <c r="D238" s="282"/>
      <c r="E238" s="282"/>
      <c r="F238" s="282"/>
      <c r="G238" s="282"/>
      <c r="H238" s="282"/>
      <c r="I238" s="282"/>
      <c r="J238" s="282"/>
      <c r="K238" s="282"/>
      <c r="L238" s="282"/>
      <c r="M238" s="282"/>
      <c r="N238" s="282"/>
      <c r="O238" s="237"/>
    </row>
    <row r="239" spans="2:15" s="240" customFormat="1" ht="39.75" customHeight="1">
      <c r="B239" s="283" t="s">
        <v>670</v>
      </c>
      <c r="C239" s="283"/>
      <c r="D239" s="283"/>
      <c r="E239" s="283"/>
      <c r="F239" s="283"/>
      <c r="G239" s="283"/>
      <c r="H239" s="283"/>
      <c r="I239" s="283"/>
      <c r="J239" s="204" t="s">
        <v>671</v>
      </c>
      <c r="K239" s="204" t="s">
        <v>672</v>
      </c>
      <c r="L239" s="204" t="s">
        <v>673</v>
      </c>
      <c r="M239" s="284" t="s">
        <v>674</v>
      </c>
      <c r="N239" s="204" t="s">
        <v>3</v>
      </c>
      <c r="O239" s="239"/>
    </row>
    <row r="240" spans="2:15" s="238" customFormat="1" ht="103.5" customHeight="1">
      <c r="B240" s="207" t="s">
        <v>675</v>
      </c>
      <c r="C240" s="208" t="s">
        <v>676</v>
      </c>
      <c r="D240" s="208" t="s">
        <v>677</v>
      </c>
      <c r="E240" s="208" t="s">
        <v>678</v>
      </c>
      <c r="F240" s="209" t="s">
        <v>679</v>
      </c>
      <c r="G240" s="209" t="s">
        <v>680</v>
      </c>
      <c r="H240" s="209" t="s">
        <v>681</v>
      </c>
      <c r="I240" s="209" t="s">
        <v>682</v>
      </c>
      <c r="J240" s="210" t="s">
        <v>683</v>
      </c>
      <c r="K240" s="210" t="s">
        <v>684</v>
      </c>
      <c r="L240" s="210" t="s">
        <v>685</v>
      </c>
      <c r="M240" s="285"/>
      <c r="N240" s="288" t="s">
        <v>778</v>
      </c>
      <c r="O240" s="237"/>
    </row>
    <row r="241" spans="2:15" s="238" customFormat="1" ht="97.5" customHeight="1">
      <c r="B241" s="208">
        <v>1</v>
      </c>
      <c r="C241" s="208" t="s">
        <v>779</v>
      </c>
      <c r="D241" s="212" t="s">
        <v>242</v>
      </c>
      <c r="E241" s="212" t="s">
        <v>780</v>
      </c>
      <c r="F241" s="213">
        <f>221073.88*0.2</f>
        <v>44214.776000000005</v>
      </c>
      <c r="G241" s="212">
        <v>5</v>
      </c>
      <c r="H241" s="214">
        <v>40513</v>
      </c>
      <c r="I241" s="212"/>
      <c r="J241" s="219" t="s">
        <v>242</v>
      </c>
      <c r="K241" s="219" t="s">
        <v>242</v>
      </c>
      <c r="L241" s="219" t="s">
        <v>242</v>
      </c>
      <c r="M241" s="219" t="s">
        <v>242</v>
      </c>
      <c r="N241" s="288"/>
      <c r="O241" s="237"/>
    </row>
    <row r="242" spans="2:15" s="238" customFormat="1" ht="97.5" customHeight="1">
      <c r="B242" s="208">
        <v>2</v>
      </c>
      <c r="C242" s="208" t="s">
        <v>781</v>
      </c>
      <c r="D242" s="212" t="s">
        <v>242</v>
      </c>
      <c r="E242" s="212" t="s">
        <v>782</v>
      </c>
      <c r="F242" s="213">
        <v>0</v>
      </c>
      <c r="G242" s="212">
        <v>24</v>
      </c>
      <c r="H242" s="214"/>
      <c r="I242" s="212"/>
      <c r="J242" s="212"/>
      <c r="K242" s="212"/>
      <c r="L242" s="212"/>
      <c r="M242" s="219" t="s">
        <v>242</v>
      </c>
      <c r="N242" s="288"/>
      <c r="O242" s="237"/>
    </row>
    <row r="243" spans="2:15" s="238" customFormat="1" ht="18.75" customHeight="1">
      <c r="B243" s="283" t="s">
        <v>689</v>
      </c>
      <c r="C243" s="283"/>
      <c r="D243" s="283"/>
      <c r="E243" s="204"/>
      <c r="F243" s="216">
        <f>SUM(F241:F242)</f>
        <v>44214.776000000005</v>
      </c>
      <c r="G243" s="217"/>
      <c r="H243" s="217"/>
      <c r="I243" s="217"/>
      <c r="J243" s="217"/>
      <c r="K243" s="217"/>
      <c r="L243" s="217"/>
      <c r="M243" s="217"/>
      <c r="N243" s="288"/>
      <c r="O243" s="237">
        <v>19</v>
      </c>
    </row>
    <row r="245" spans="2:15" s="238" customFormat="1" ht="36" customHeight="1">
      <c r="B245" s="203" t="s">
        <v>668</v>
      </c>
      <c r="C245" s="282" t="s">
        <v>96</v>
      </c>
      <c r="D245" s="282"/>
      <c r="E245" s="282"/>
      <c r="F245" s="282"/>
      <c r="G245" s="282"/>
      <c r="H245" s="282"/>
      <c r="I245" s="282"/>
      <c r="J245" s="282"/>
      <c r="K245" s="282"/>
      <c r="L245" s="282"/>
      <c r="M245" s="282"/>
      <c r="N245" s="282"/>
      <c r="O245" s="237"/>
    </row>
    <row r="246" spans="2:15" s="240" customFormat="1" ht="42.75" customHeight="1">
      <c r="B246" s="283" t="s">
        <v>670</v>
      </c>
      <c r="C246" s="283"/>
      <c r="D246" s="283"/>
      <c r="E246" s="283"/>
      <c r="F246" s="283"/>
      <c r="G246" s="283"/>
      <c r="H246" s="283"/>
      <c r="I246" s="283"/>
      <c r="J246" s="204" t="s">
        <v>671</v>
      </c>
      <c r="K246" s="204" t="s">
        <v>672</v>
      </c>
      <c r="L246" s="204" t="s">
        <v>673</v>
      </c>
      <c r="M246" s="284" t="s">
        <v>674</v>
      </c>
      <c r="N246" s="204" t="s">
        <v>3</v>
      </c>
      <c r="O246" s="239"/>
    </row>
    <row r="247" spans="2:15" s="238" customFormat="1" ht="103.5" customHeight="1">
      <c r="B247" s="207" t="s">
        <v>675</v>
      </c>
      <c r="C247" s="208" t="s">
        <v>676</v>
      </c>
      <c r="D247" s="208" t="s">
        <v>677</v>
      </c>
      <c r="E247" s="208" t="s">
        <v>678</v>
      </c>
      <c r="F247" s="209" t="s">
        <v>679</v>
      </c>
      <c r="G247" s="209" t="s">
        <v>680</v>
      </c>
      <c r="H247" s="209" t="s">
        <v>681</v>
      </c>
      <c r="I247" s="209" t="s">
        <v>682</v>
      </c>
      <c r="J247" s="210" t="s">
        <v>683</v>
      </c>
      <c r="K247" s="210" t="s">
        <v>684</v>
      </c>
      <c r="L247" s="210" t="s">
        <v>685</v>
      </c>
      <c r="M247" s="285"/>
      <c r="N247" s="288" t="s">
        <v>245</v>
      </c>
      <c r="O247" s="237"/>
    </row>
    <row r="248" spans="2:15" s="238" customFormat="1" ht="103.5" customHeight="1">
      <c r="B248" s="207">
        <v>1</v>
      </c>
      <c r="C248" s="208" t="s">
        <v>783</v>
      </c>
      <c r="D248" s="208" t="s">
        <v>242</v>
      </c>
      <c r="E248" s="208" t="s">
        <v>784</v>
      </c>
      <c r="F248" s="242">
        <f>8841.73*0.51</f>
        <v>4509.2822999999999</v>
      </c>
      <c r="G248" s="243">
        <v>47</v>
      </c>
      <c r="H248" s="214">
        <v>42721</v>
      </c>
      <c r="I248" s="209"/>
      <c r="J248" s="244" t="s">
        <v>128</v>
      </c>
      <c r="K248" s="209"/>
      <c r="L248" s="209"/>
      <c r="M248" s="219" t="s">
        <v>242</v>
      </c>
      <c r="N248" s="288"/>
      <c r="O248" s="237"/>
    </row>
    <row r="249" spans="2:15" s="238" customFormat="1" ht="103.5" customHeight="1">
      <c r="B249" s="207">
        <v>2</v>
      </c>
      <c r="C249" s="208" t="s">
        <v>785</v>
      </c>
      <c r="D249" s="208" t="s">
        <v>242</v>
      </c>
      <c r="E249" s="208" t="s">
        <v>784</v>
      </c>
      <c r="F249" s="242">
        <f>24366.97*0.4</f>
        <v>9746.7880000000005</v>
      </c>
      <c r="G249" s="243">
        <v>31</v>
      </c>
      <c r="H249" s="214">
        <v>41502</v>
      </c>
      <c r="I249" s="209"/>
      <c r="J249" s="209" t="s">
        <v>242</v>
      </c>
      <c r="K249" s="244" t="s">
        <v>128</v>
      </c>
      <c r="L249" s="209" t="s">
        <v>242</v>
      </c>
      <c r="M249" s="219" t="s">
        <v>242</v>
      </c>
      <c r="N249" s="288"/>
      <c r="O249" s="237"/>
    </row>
    <row r="250" spans="2:15" s="238" customFormat="1" ht="103.5" customHeight="1">
      <c r="B250" s="207">
        <v>3</v>
      </c>
      <c r="C250" s="208" t="s">
        <v>786</v>
      </c>
      <c r="D250" s="208" t="s">
        <v>242</v>
      </c>
      <c r="E250" s="208" t="s">
        <v>784</v>
      </c>
      <c r="F250" s="242">
        <f>16697.58*0.61</f>
        <v>10185.523800000001</v>
      </c>
      <c r="G250" s="243">
        <v>60</v>
      </c>
      <c r="H250" s="214">
        <v>43276</v>
      </c>
      <c r="I250" s="209"/>
      <c r="J250" s="209" t="s">
        <v>242</v>
      </c>
      <c r="K250" s="244" t="s">
        <v>128</v>
      </c>
      <c r="L250" s="209" t="s">
        <v>242</v>
      </c>
      <c r="M250" s="219" t="s">
        <v>242</v>
      </c>
      <c r="N250" s="288"/>
      <c r="O250" s="237"/>
    </row>
    <row r="251" spans="2:15" s="238" customFormat="1" ht="18.75" customHeight="1">
      <c r="B251" s="287" t="s">
        <v>689</v>
      </c>
      <c r="C251" s="287"/>
      <c r="D251" s="287"/>
      <c r="E251" s="215"/>
      <c r="F251" s="216">
        <f>SUM(F248:F250)</f>
        <v>24441.594100000002</v>
      </c>
      <c r="G251" s="217"/>
      <c r="H251" s="217"/>
      <c r="I251" s="217"/>
      <c r="J251" s="217"/>
      <c r="K251" s="217"/>
      <c r="L251" s="217"/>
      <c r="M251" s="217"/>
      <c r="N251" s="288"/>
      <c r="O251" s="237">
        <v>18</v>
      </c>
    </row>
    <row r="253" spans="2:15" s="238" customFormat="1" ht="36" customHeight="1">
      <c r="B253" s="241" t="s">
        <v>668</v>
      </c>
      <c r="C253" s="282" t="s">
        <v>24</v>
      </c>
      <c r="D253" s="282"/>
      <c r="E253" s="282"/>
      <c r="F253" s="282"/>
      <c r="G253" s="282"/>
      <c r="H253" s="282"/>
      <c r="I253" s="282"/>
      <c r="J253" s="282"/>
      <c r="K253" s="282"/>
      <c r="L253" s="282"/>
      <c r="M253" s="282"/>
      <c r="N253" s="282"/>
      <c r="O253" s="237"/>
    </row>
    <row r="254" spans="2:15" s="240" customFormat="1" ht="42.75" customHeight="1">
      <c r="B254" s="283" t="s">
        <v>670</v>
      </c>
      <c r="C254" s="283"/>
      <c r="D254" s="283"/>
      <c r="E254" s="283"/>
      <c r="F254" s="283"/>
      <c r="G254" s="283"/>
      <c r="H254" s="283"/>
      <c r="I254" s="283"/>
      <c r="J254" s="204" t="s">
        <v>671</v>
      </c>
      <c r="K254" s="204" t="s">
        <v>672</v>
      </c>
      <c r="L254" s="204" t="s">
        <v>673</v>
      </c>
      <c r="M254" s="284" t="s">
        <v>674</v>
      </c>
      <c r="N254" s="204" t="s">
        <v>3</v>
      </c>
      <c r="O254" s="239"/>
    </row>
    <row r="255" spans="2:15" s="238" customFormat="1" ht="103.5" customHeight="1">
      <c r="B255" s="207" t="s">
        <v>675</v>
      </c>
      <c r="C255" s="208" t="s">
        <v>676</v>
      </c>
      <c r="D255" s="208" t="s">
        <v>677</v>
      </c>
      <c r="E255" s="208" t="s">
        <v>678</v>
      </c>
      <c r="F255" s="209" t="s">
        <v>679</v>
      </c>
      <c r="G255" s="209" t="s">
        <v>680</v>
      </c>
      <c r="H255" s="209" t="s">
        <v>681</v>
      </c>
      <c r="I255" s="209" t="s">
        <v>682</v>
      </c>
      <c r="J255" s="210" t="s">
        <v>683</v>
      </c>
      <c r="K255" s="210" t="s">
        <v>684</v>
      </c>
      <c r="L255" s="210" t="s">
        <v>685</v>
      </c>
      <c r="M255" s="285"/>
      <c r="N255" s="288" t="s">
        <v>873</v>
      </c>
      <c r="O255" s="237"/>
    </row>
    <row r="256" spans="2:15" s="238" customFormat="1" ht="103.5" customHeight="1">
      <c r="B256" s="207">
        <v>1</v>
      </c>
      <c r="C256" s="208" t="s">
        <v>874</v>
      </c>
      <c r="D256" s="208" t="s">
        <v>242</v>
      </c>
      <c r="E256" s="208" t="s">
        <v>273</v>
      </c>
      <c r="F256" s="243">
        <f>12782.9*0.45</f>
        <v>5752.3050000000003</v>
      </c>
      <c r="G256" s="243">
        <v>20</v>
      </c>
      <c r="H256" s="214">
        <v>40000</v>
      </c>
      <c r="I256" s="209"/>
      <c r="J256" s="209" t="s">
        <v>242</v>
      </c>
      <c r="K256" s="244" t="s">
        <v>128</v>
      </c>
      <c r="L256" s="209" t="s">
        <v>242</v>
      </c>
      <c r="M256" s="219" t="s">
        <v>242</v>
      </c>
      <c r="N256" s="288"/>
      <c r="O256" s="237"/>
    </row>
    <row r="257" spans="2:15" s="238" customFormat="1" ht="103.5" customHeight="1">
      <c r="B257" s="207">
        <v>2</v>
      </c>
      <c r="C257" s="208" t="s">
        <v>732</v>
      </c>
      <c r="D257" s="208" t="s">
        <v>242</v>
      </c>
      <c r="E257" s="208" t="s">
        <v>273</v>
      </c>
      <c r="F257" s="242">
        <f>17504.17*0.8</f>
        <v>14003.335999999999</v>
      </c>
      <c r="G257" s="243">
        <v>31</v>
      </c>
      <c r="H257" s="214">
        <v>41605</v>
      </c>
      <c r="I257" s="209"/>
      <c r="J257" s="209" t="s">
        <v>242</v>
      </c>
      <c r="K257" s="244" t="s">
        <v>875</v>
      </c>
      <c r="L257" s="209" t="s">
        <v>242</v>
      </c>
      <c r="M257" s="219" t="s">
        <v>242</v>
      </c>
      <c r="N257" s="288"/>
      <c r="O257" s="237"/>
    </row>
    <row r="258" spans="2:15" s="238" customFormat="1" ht="18.75" customHeight="1">
      <c r="B258" s="283" t="s">
        <v>689</v>
      </c>
      <c r="C258" s="283"/>
      <c r="D258" s="283"/>
      <c r="E258" s="204"/>
      <c r="F258" s="216">
        <f>SUM(F256:F257)</f>
        <v>19755.641</v>
      </c>
      <c r="G258" s="217"/>
      <c r="H258" s="217"/>
      <c r="I258" s="217"/>
      <c r="J258" s="217"/>
      <c r="K258" s="217"/>
      <c r="L258" s="217"/>
      <c r="M258" s="217"/>
      <c r="N258" s="288"/>
      <c r="O258" s="237">
        <v>17</v>
      </c>
    </row>
    <row r="260" spans="2:15" s="238" customFormat="1" ht="36" customHeight="1">
      <c r="B260" s="203" t="s">
        <v>668</v>
      </c>
      <c r="C260" s="282" t="s">
        <v>25</v>
      </c>
      <c r="D260" s="282"/>
      <c r="E260" s="282"/>
      <c r="F260" s="282"/>
      <c r="G260" s="282"/>
      <c r="H260" s="282"/>
      <c r="I260" s="282"/>
      <c r="J260" s="282"/>
      <c r="K260" s="282"/>
      <c r="L260" s="282"/>
      <c r="M260" s="282"/>
      <c r="N260" s="282"/>
      <c r="O260" s="237"/>
    </row>
    <row r="261" spans="2:15" s="240" customFormat="1" ht="42.75" customHeight="1">
      <c r="B261" s="283" t="s">
        <v>670</v>
      </c>
      <c r="C261" s="283"/>
      <c r="D261" s="283"/>
      <c r="E261" s="283"/>
      <c r="F261" s="283"/>
      <c r="G261" s="283"/>
      <c r="H261" s="283"/>
      <c r="I261" s="283"/>
      <c r="J261" s="204" t="s">
        <v>671</v>
      </c>
      <c r="K261" s="204" t="s">
        <v>672</v>
      </c>
      <c r="L261" s="204" t="s">
        <v>673</v>
      </c>
      <c r="M261" s="284" t="s">
        <v>674</v>
      </c>
      <c r="N261" s="204" t="s">
        <v>3</v>
      </c>
      <c r="O261" s="239"/>
    </row>
    <row r="262" spans="2:15" s="238" customFormat="1" ht="103.5" customHeight="1">
      <c r="B262" s="207" t="s">
        <v>675</v>
      </c>
      <c r="C262" s="208" t="s">
        <v>676</v>
      </c>
      <c r="D262" s="208" t="s">
        <v>677</v>
      </c>
      <c r="E262" s="208" t="s">
        <v>678</v>
      </c>
      <c r="F262" s="209" t="s">
        <v>679</v>
      </c>
      <c r="G262" s="209" t="s">
        <v>680</v>
      </c>
      <c r="H262" s="209" t="s">
        <v>681</v>
      </c>
      <c r="I262" s="209" t="s">
        <v>682</v>
      </c>
      <c r="J262" s="210" t="s">
        <v>683</v>
      </c>
      <c r="K262" s="210" t="s">
        <v>684</v>
      </c>
      <c r="L262" s="210" t="s">
        <v>685</v>
      </c>
      <c r="M262" s="285"/>
      <c r="N262" s="286" t="s">
        <v>242</v>
      </c>
      <c r="O262" s="237"/>
    </row>
    <row r="263" spans="2:15" s="238" customFormat="1" ht="103.5" customHeight="1">
      <c r="B263" s="207">
        <v>1</v>
      </c>
      <c r="C263" s="208" t="s">
        <v>787</v>
      </c>
      <c r="D263" s="208" t="s">
        <v>242</v>
      </c>
      <c r="E263" s="208" t="s">
        <v>788</v>
      </c>
      <c r="F263" s="243">
        <f>13080.89*0.8</f>
        <v>10464.712</v>
      </c>
      <c r="G263" s="243">
        <v>3</v>
      </c>
      <c r="H263" s="214">
        <v>41562</v>
      </c>
      <c r="I263" s="209"/>
      <c r="J263" s="209" t="s">
        <v>242</v>
      </c>
      <c r="K263" s="209" t="s">
        <v>242</v>
      </c>
      <c r="L263" s="209" t="s">
        <v>242</v>
      </c>
      <c r="M263" s="219" t="s">
        <v>242</v>
      </c>
      <c r="N263" s="286"/>
      <c r="O263" s="237"/>
    </row>
    <row r="264" spans="2:15" s="238" customFormat="1" ht="103.5" customHeight="1">
      <c r="B264" s="207">
        <v>2</v>
      </c>
      <c r="C264" s="208" t="s">
        <v>789</v>
      </c>
      <c r="D264" s="208" t="s">
        <v>242</v>
      </c>
      <c r="E264" s="208" t="s">
        <v>790</v>
      </c>
      <c r="F264" s="242">
        <f>34913.99*0.43</f>
        <v>15013.015699999998</v>
      </c>
      <c r="G264" s="243">
        <v>51</v>
      </c>
      <c r="H264" s="214">
        <v>44376</v>
      </c>
      <c r="I264" s="209"/>
      <c r="J264" s="209" t="s">
        <v>242</v>
      </c>
      <c r="K264" s="209" t="s">
        <v>242</v>
      </c>
      <c r="L264" s="209" t="s">
        <v>242</v>
      </c>
      <c r="M264" s="219" t="s">
        <v>242</v>
      </c>
      <c r="N264" s="286"/>
      <c r="O264" s="237"/>
    </row>
    <row r="265" spans="2:15" s="238" customFormat="1" ht="103.5" customHeight="1">
      <c r="B265" s="207">
        <v>3</v>
      </c>
      <c r="C265" s="208" t="s">
        <v>791</v>
      </c>
      <c r="D265" s="208" t="s">
        <v>242</v>
      </c>
      <c r="E265" s="208" t="s">
        <v>788</v>
      </c>
      <c r="F265" s="242">
        <f>10873.24*0.5</f>
        <v>5436.62</v>
      </c>
      <c r="G265" s="243">
        <v>10</v>
      </c>
      <c r="H265" s="214">
        <v>42901</v>
      </c>
      <c r="I265" s="209"/>
      <c r="J265" s="209" t="s">
        <v>242</v>
      </c>
      <c r="K265" s="244"/>
      <c r="L265" s="209" t="s">
        <v>242</v>
      </c>
      <c r="M265" s="219" t="s">
        <v>242</v>
      </c>
      <c r="N265" s="286"/>
      <c r="O265" s="237"/>
    </row>
    <row r="266" spans="2:15" s="238" customFormat="1" ht="103.5" customHeight="1">
      <c r="B266" s="207">
        <v>4</v>
      </c>
      <c r="C266" s="208" t="s">
        <v>792</v>
      </c>
      <c r="D266" s="208" t="s">
        <v>242</v>
      </c>
      <c r="E266" s="208" t="s">
        <v>790</v>
      </c>
      <c r="F266" s="242">
        <f>27813.42*0.2</f>
        <v>5562.6840000000002</v>
      </c>
      <c r="G266" s="243">
        <v>46</v>
      </c>
      <c r="H266" s="214">
        <v>42264</v>
      </c>
      <c r="I266" s="209"/>
      <c r="J266" s="209" t="s">
        <v>242</v>
      </c>
      <c r="K266" s="244"/>
      <c r="L266" s="209" t="s">
        <v>242</v>
      </c>
      <c r="M266" s="219" t="s">
        <v>242</v>
      </c>
      <c r="N266" s="286"/>
      <c r="O266" s="237"/>
    </row>
    <row r="267" spans="2:15" s="238" customFormat="1" ht="18.75" customHeight="1">
      <c r="B267" s="287" t="s">
        <v>689</v>
      </c>
      <c r="C267" s="287"/>
      <c r="D267" s="287"/>
      <c r="E267" s="215"/>
      <c r="F267" s="216">
        <f>SUM(F263:F266)</f>
        <v>36477.031699999992</v>
      </c>
      <c r="G267" s="217"/>
      <c r="H267" s="217"/>
      <c r="I267" s="217" t="s">
        <v>242</v>
      </c>
      <c r="J267" s="217"/>
      <c r="K267" s="217"/>
      <c r="L267" s="217"/>
      <c r="M267" s="217"/>
      <c r="N267" s="286"/>
      <c r="O267" s="237">
        <v>16</v>
      </c>
    </row>
    <row r="269" spans="2:15" s="238" customFormat="1" ht="36" customHeight="1">
      <c r="B269" s="203" t="s">
        <v>668</v>
      </c>
      <c r="C269" s="282" t="s">
        <v>95</v>
      </c>
      <c r="D269" s="282"/>
      <c r="E269" s="282"/>
      <c r="F269" s="282"/>
      <c r="G269" s="282"/>
      <c r="H269" s="282"/>
      <c r="I269" s="282"/>
      <c r="J269" s="282"/>
      <c r="K269" s="282"/>
      <c r="L269" s="282"/>
      <c r="M269" s="282"/>
      <c r="N269" s="282"/>
      <c r="O269" s="237"/>
    </row>
    <row r="270" spans="2:15" s="240" customFormat="1" ht="42.75" customHeight="1">
      <c r="B270" s="283" t="s">
        <v>670</v>
      </c>
      <c r="C270" s="283"/>
      <c r="D270" s="283"/>
      <c r="E270" s="283"/>
      <c r="F270" s="283"/>
      <c r="G270" s="283"/>
      <c r="H270" s="283"/>
      <c r="I270" s="283"/>
      <c r="J270" s="204" t="s">
        <v>671</v>
      </c>
      <c r="K270" s="204" t="s">
        <v>672</v>
      </c>
      <c r="L270" s="204" t="s">
        <v>673</v>
      </c>
      <c r="M270" s="284" t="s">
        <v>674</v>
      </c>
      <c r="N270" s="204" t="s">
        <v>3</v>
      </c>
      <c r="O270" s="239"/>
    </row>
    <row r="271" spans="2:15" s="238" customFormat="1" ht="103.5" customHeight="1">
      <c r="B271" s="207" t="s">
        <v>675</v>
      </c>
      <c r="C271" s="208" t="s">
        <v>676</v>
      </c>
      <c r="D271" s="208" t="s">
        <v>677</v>
      </c>
      <c r="E271" s="208" t="s">
        <v>678</v>
      </c>
      <c r="F271" s="209" t="s">
        <v>679</v>
      </c>
      <c r="G271" s="209" t="s">
        <v>680</v>
      </c>
      <c r="H271" s="209" t="s">
        <v>681</v>
      </c>
      <c r="I271" s="209" t="s">
        <v>682</v>
      </c>
      <c r="J271" s="210" t="s">
        <v>683</v>
      </c>
      <c r="K271" s="210" t="s">
        <v>684</v>
      </c>
      <c r="L271" s="210" t="s">
        <v>685</v>
      </c>
      <c r="M271" s="285"/>
      <c r="N271" s="288" t="s">
        <v>876</v>
      </c>
      <c r="O271" s="237"/>
    </row>
    <row r="272" spans="2:15" s="238" customFormat="1" ht="103.5" customHeight="1">
      <c r="B272" s="207">
        <v>1</v>
      </c>
      <c r="C272" s="208"/>
      <c r="D272" s="208"/>
      <c r="E272" s="208" t="s">
        <v>793</v>
      </c>
      <c r="F272" s="243"/>
      <c r="G272" s="243"/>
      <c r="H272" s="214"/>
      <c r="I272" s="209"/>
      <c r="J272" s="209"/>
      <c r="K272" s="244"/>
      <c r="L272" s="209"/>
      <c r="M272" s="219" t="s">
        <v>242</v>
      </c>
      <c r="N272" s="288"/>
      <c r="O272" s="237"/>
    </row>
    <row r="273" spans="2:15" s="238" customFormat="1" ht="103.5" customHeight="1">
      <c r="B273" s="207">
        <v>2</v>
      </c>
      <c r="C273" s="208"/>
      <c r="D273" s="208"/>
      <c r="E273" s="208" t="s">
        <v>793</v>
      </c>
      <c r="F273" s="242"/>
      <c r="G273" s="243"/>
      <c r="H273" s="214"/>
      <c r="I273" s="209"/>
      <c r="J273" s="209"/>
      <c r="K273" s="244"/>
      <c r="L273" s="209"/>
      <c r="M273" s="219" t="s">
        <v>242</v>
      </c>
      <c r="N273" s="288"/>
      <c r="O273" s="237"/>
    </row>
    <row r="274" spans="2:15" s="238" customFormat="1" ht="18.75" customHeight="1">
      <c r="B274" s="287" t="s">
        <v>689</v>
      </c>
      <c r="C274" s="287"/>
      <c r="D274" s="287"/>
      <c r="E274" s="215"/>
      <c r="F274" s="216">
        <f>SUM(F272:F273)</f>
        <v>0</v>
      </c>
      <c r="G274" s="217"/>
      <c r="H274" s="217"/>
      <c r="I274" s="217"/>
      <c r="J274" s="217"/>
      <c r="K274" s="217"/>
      <c r="L274" s="217"/>
      <c r="M274" s="217"/>
      <c r="N274" s="288"/>
      <c r="O274" s="237">
        <v>15</v>
      </c>
    </row>
    <row r="276" spans="2:15" s="238" customFormat="1" ht="36" customHeight="1">
      <c r="B276" s="203" t="s">
        <v>668</v>
      </c>
      <c r="C276" s="282" t="s">
        <v>23</v>
      </c>
      <c r="D276" s="282"/>
      <c r="E276" s="282"/>
      <c r="F276" s="282"/>
      <c r="G276" s="282"/>
      <c r="H276" s="282"/>
      <c r="I276" s="282"/>
      <c r="J276" s="282"/>
      <c r="K276" s="282"/>
      <c r="L276" s="282"/>
      <c r="M276" s="282"/>
      <c r="N276" s="282"/>
      <c r="O276" s="237"/>
    </row>
    <row r="277" spans="2:15" s="240" customFormat="1" ht="42.75" customHeight="1">
      <c r="B277" s="283" t="s">
        <v>670</v>
      </c>
      <c r="C277" s="283"/>
      <c r="D277" s="283"/>
      <c r="E277" s="283"/>
      <c r="F277" s="283"/>
      <c r="G277" s="283"/>
      <c r="H277" s="283"/>
      <c r="I277" s="283"/>
      <c r="J277" s="204" t="s">
        <v>671</v>
      </c>
      <c r="K277" s="204" t="s">
        <v>672</v>
      </c>
      <c r="L277" s="204" t="s">
        <v>673</v>
      </c>
      <c r="M277" s="284" t="s">
        <v>674</v>
      </c>
      <c r="N277" s="204" t="s">
        <v>3</v>
      </c>
      <c r="O277" s="239"/>
    </row>
    <row r="278" spans="2:15" s="238" customFormat="1" ht="103.5" customHeight="1">
      <c r="B278" s="207" t="s">
        <v>675</v>
      </c>
      <c r="C278" s="208" t="s">
        <v>676</v>
      </c>
      <c r="D278" s="208" t="s">
        <v>677</v>
      </c>
      <c r="E278" s="208" t="s">
        <v>678</v>
      </c>
      <c r="F278" s="209" t="s">
        <v>679</v>
      </c>
      <c r="G278" s="209" t="s">
        <v>680</v>
      </c>
      <c r="H278" s="209" t="s">
        <v>681</v>
      </c>
      <c r="I278" s="209" t="s">
        <v>682</v>
      </c>
      <c r="J278" s="210" t="s">
        <v>683</v>
      </c>
      <c r="K278" s="210" t="s">
        <v>684</v>
      </c>
      <c r="L278" s="210" t="s">
        <v>685</v>
      </c>
      <c r="M278" s="285"/>
      <c r="N278" s="286" t="s">
        <v>242</v>
      </c>
      <c r="O278" s="237"/>
    </row>
    <row r="279" spans="2:15" s="238" customFormat="1" ht="103.5" customHeight="1">
      <c r="B279" s="207">
        <v>1</v>
      </c>
      <c r="C279" s="208" t="s">
        <v>794</v>
      </c>
      <c r="D279" s="208" t="s">
        <v>242</v>
      </c>
      <c r="E279" s="208" t="s">
        <v>795</v>
      </c>
      <c r="F279" s="243">
        <v>10088.469999999999</v>
      </c>
      <c r="G279" s="243">
        <v>15</v>
      </c>
      <c r="H279" s="214">
        <v>41401</v>
      </c>
      <c r="I279" s="209"/>
      <c r="J279" s="209" t="s">
        <v>242</v>
      </c>
      <c r="K279" s="244"/>
      <c r="L279" s="209" t="s">
        <v>242</v>
      </c>
      <c r="M279" s="219" t="s">
        <v>242</v>
      </c>
      <c r="N279" s="286"/>
      <c r="O279" s="237"/>
    </row>
    <row r="280" spans="2:15" s="238" customFormat="1" ht="103.5" customHeight="1">
      <c r="B280" s="207">
        <v>2</v>
      </c>
      <c r="C280" s="208" t="s">
        <v>794</v>
      </c>
      <c r="D280" s="208" t="s">
        <v>242</v>
      </c>
      <c r="E280" s="208" t="s">
        <v>795</v>
      </c>
      <c r="F280" s="242">
        <v>7090.58</v>
      </c>
      <c r="G280" s="243">
        <v>16</v>
      </c>
      <c r="H280" s="214">
        <v>41603</v>
      </c>
      <c r="I280" s="209"/>
      <c r="J280" s="209" t="s">
        <v>242</v>
      </c>
      <c r="K280" s="244"/>
      <c r="L280" s="209" t="s">
        <v>242</v>
      </c>
      <c r="M280" s="219" t="s">
        <v>242</v>
      </c>
      <c r="N280" s="286"/>
      <c r="O280" s="237"/>
    </row>
    <row r="281" spans="2:15" s="238" customFormat="1" ht="103.5" customHeight="1">
      <c r="B281" s="207">
        <v>3</v>
      </c>
      <c r="C281" s="208" t="s">
        <v>796</v>
      </c>
      <c r="D281" s="208" t="s">
        <v>242</v>
      </c>
      <c r="E281" s="208" t="s">
        <v>795</v>
      </c>
      <c r="F281" s="242">
        <f>3577.21*0.7</f>
        <v>2504.047</v>
      </c>
      <c r="G281" s="243">
        <v>47</v>
      </c>
      <c r="H281" s="214">
        <v>44467</v>
      </c>
      <c r="I281" s="209"/>
      <c r="J281" s="209" t="s">
        <v>242</v>
      </c>
      <c r="K281" s="244"/>
      <c r="L281" s="209" t="s">
        <v>242</v>
      </c>
      <c r="M281" s="219" t="s">
        <v>242</v>
      </c>
      <c r="N281" s="286"/>
      <c r="O281" s="237"/>
    </row>
    <row r="282" spans="2:15" s="238" customFormat="1" ht="103.5" customHeight="1">
      <c r="B282" s="207">
        <v>4</v>
      </c>
      <c r="C282" s="208" t="s">
        <v>797</v>
      </c>
      <c r="D282" s="208" t="s">
        <v>242</v>
      </c>
      <c r="E282" s="208" t="s">
        <v>798</v>
      </c>
      <c r="F282" s="242">
        <f>797.12*0.9</f>
        <v>717.40800000000002</v>
      </c>
      <c r="G282" s="243">
        <v>48</v>
      </c>
      <c r="H282" s="214">
        <v>40023</v>
      </c>
      <c r="I282" s="209"/>
      <c r="J282" s="209" t="s">
        <v>242</v>
      </c>
      <c r="K282" s="244"/>
      <c r="L282" s="209" t="s">
        <v>242</v>
      </c>
      <c r="M282" s="219" t="s">
        <v>242</v>
      </c>
      <c r="N282" s="286"/>
      <c r="O282" s="237"/>
    </row>
    <row r="283" spans="2:15" s="238" customFormat="1" ht="103.5" customHeight="1">
      <c r="B283" s="207">
        <v>5</v>
      </c>
      <c r="C283" s="208" t="s">
        <v>799</v>
      </c>
      <c r="D283" s="208" t="s">
        <v>242</v>
      </c>
      <c r="E283" s="208" t="s">
        <v>800</v>
      </c>
      <c r="F283" s="245">
        <f>14629.11*0.3</f>
        <v>4388.7330000000002</v>
      </c>
      <c r="G283" s="243">
        <v>113</v>
      </c>
      <c r="H283" s="214">
        <v>44837</v>
      </c>
      <c r="I283" s="209"/>
      <c r="J283" s="209" t="s">
        <v>242</v>
      </c>
      <c r="K283" s="244"/>
      <c r="L283" s="209" t="s">
        <v>242</v>
      </c>
      <c r="M283" s="219" t="s">
        <v>242</v>
      </c>
      <c r="N283" s="286"/>
      <c r="O283" s="237"/>
    </row>
    <row r="284" spans="2:15" s="238" customFormat="1" ht="103.5" customHeight="1">
      <c r="B284" s="207">
        <v>6</v>
      </c>
      <c r="C284" s="208" t="s">
        <v>801</v>
      </c>
      <c r="D284" s="208" t="s">
        <v>242</v>
      </c>
      <c r="E284" s="208" t="s">
        <v>800</v>
      </c>
      <c r="F284" s="245">
        <v>10024.83</v>
      </c>
      <c r="G284" s="243">
        <v>25</v>
      </c>
      <c r="H284" s="214">
        <v>34454</v>
      </c>
      <c r="I284" s="209"/>
      <c r="J284" s="209" t="s">
        <v>242</v>
      </c>
      <c r="K284" s="209" t="s">
        <v>242</v>
      </c>
      <c r="L284" s="209" t="s">
        <v>242</v>
      </c>
      <c r="M284" s="219" t="s">
        <v>242</v>
      </c>
      <c r="N284" s="286"/>
      <c r="O284" s="237"/>
    </row>
    <row r="285" spans="2:15" s="238" customFormat="1" ht="18.75" customHeight="1">
      <c r="B285" s="287" t="s">
        <v>689</v>
      </c>
      <c r="C285" s="287"/>
      <c r="D285" s="287"/>
      <c r="E285" s="215"/>
      <c r="F285" s="216">
        <f>SUM(F279:F283)</f>
        <v>24789.237999999998</v>
      </c>
      <c r="G285" s="217"/>
      <c r="H285" s="217"/>
      <c r="I285" s="217" t="s">
        <v>242</v>
      </c>
      <c r="J285" s="217"/>
      <c r="K285" s="217"/>
      <c r="L285" s="217"/>
      <c r="M285" s="217"/>
      <c r="N285" s="286"/>
      <c r="O285" s="237">
        <v>14</v>
      </c>
    </row>
    <row r="287" spans="2:15" s="238" customFormat="1" ht="36" customHeight="1">
      <c r="B287" s="203" t="s">
        <v>668</v>
      </c>
      <c r="C287" s="282" t="s">
        <v>22</v>
      </c>
      <c r="D287" s="282"/>
      <c r="E287" s="282"/>
      <c r="F287" s="282"/>
      <c r="G287" s="282"/>
      <c r="H287" s="282"/>
      <c r="I287" s="282"/>
      <c r="J287" s="282"/>
      <c r="K287" s="282"/>
      <c r="L287" s="282"/>
      <c r="M287" s="282"/>
      <c r="N287" s="282"/>
      <c r="O287" s="237"/>
    </row>
    <row r="288" spans="2:15" s="240" customFormat="1" ht="31.5">
      <c r="B288" s="283" t="s">
        <v>670</v>
      </c>
      <c r="C288" s="283"/>
      <c r="D288" s="283"/>
      <c r="E288" s="283"/>
      <c r="F288" s="283"/>
      <c r="G288" s="283"/>
      <c r="H288" s="283"/>
      <c r="I288" s="283"/>
      <c r="J288" s="204" t="s">
        <v>671</v>
      </c>
      <c r="K288" s="204" t="s">
        <v>672</v>
      </c>
      <c r="L288" s="204" t="s">
        <v>673</v>
      </c>
      <c r="M288" s="284" t="s">
        <v>674</v>
      </c>
      <c r="N288" s="204" t="s">
        <v>3</v>
      </c>
      <c r="O288" s="239"/>
    </row>
    <row r="289" spans="2:15" s="238" customFormat="1" ht="103.5" customHeight="1">
      <c r="B289" s="207" t="s">
        <v>675</v>
      </c>
      <c r="C289" s="208" t="s">
        <v>676</v>
      </c>
      <c r="D289" s="208" t="s">
        <v>677</v>
      </c>
      <c r="E289" s="208" t="s">
        <v>678</v>
      </c>
      <c r="F289" s="209" t="s">
        <v>679</v>
      </c>
      <c r="G289" s="209" t="s">
        <v>680</v>
      </c>
      <c r="H289" s="209" t="s">
        <v>681</v>
      </c>
      <c r="I289" s="209" t="s">
        <v>682</v>
      </c>
      <c r="J289" s="210" t="s">
        <v>683</v>
      </c>
      <c r="K289" s="210" t="s">
        <v>684</v>
      </c>
      <c r="L289" s="210" t="s">
        <v>685</v>
      </c>
      <c r="M289" s="285"/>
      <c r="N289" s="288" t="s">
        <v>802</v>
      </c>
      <c r="O289" s="237"/>
    </row>
    <row r="290" spans="2:15" s="238" customFormat="1" ht="103.5" customHeight="1">
      <c r="B290" s="207">
        <v>1</v>
      </c>
      <c r="C290" s="208" t="s">
        <v>803</v>
      </c>
      <c r="D290" s="208" t="s">
        <v>242</v>
      </c>
      <c r="E290" s="208" t="s">
        <v>804</v>
      </c>
      <c r="F290" s="209">
        <f>39606.54*0.35</f>
        <v>13862.288999999999</v>
      </c>
      <c r="G290" s="246">
        <v>402</v>
      </c>
      <c r="H290" s="214">
        <v>44649</v>
      </c>
      <c r="I290" s="209"/>
      <c r="J290" s="209" t="s">
        <v>242</v>
      </c>
      <c r="K290" s="244" t="s">
        <v>128</v>
      </c>
      <c r="L290" s="209" t="s">
        <v>242</v>
      </c>
      <c r="M290" s="209" t="s">
        <v>242</v>
      </c>
      <c r="N290" s="288"/>
      <c r="O290" s="237"/>
    </row>
    <row r="291" spans="2:15" s="238" customFormat="1" ht="103.5" customHeight="1">
      <c r="B291" s="207">
        <v>2</v>
      </c>
      <c r="C291" s="247" t="s">
        <v>805</v>
      </c>
      <c r="D291" s="208" t="s">
        <v>242</v>
      </c>
      <c r="E291" s="208" t="s">
        <v>806</v>
      </c>
      <c r="F291" s="209">
        <f>5952.12*0.4</f>
        <v>2380.848</v>
      </c>
      <c r="G291" s="246">
        <v>108</v>
      </c>
      <c r="H291" s="248">
        <v>42109</v>
      </c>
      <c r="I291" s="209"/>
      <c r="J291" s="209" t="s">
        <v>242</v>
      </c>
      <c r="K291" s="244" t="s">
        <v>128</v>
      </c>
      <c r="L291" s="209" t="s">
        <v>242</v>
      </c>
      <c r="M291" s="209" t="s">
        <v>242</v>
      </c>
      <c r="N291" s="288"/>
      <c r="O291" s="237"/>
    </row>
    <row r="292" spans="2:15" s="238" customFormat="1" ht="103.5" customHeight="1">
      <c r="B292" s="207">
        <v>3</v>
      </c>
      <c r="C292" s="208" t="s">
        <v>807</v>
      </c>
      <c r="D292" s="208" t="s">
        <v>242</v>
      </c>
      <c r="E292" s="208" t="s">
        <v>804</v>
      </c>
      <c r="F292" s="209">
        <f>11727.81+0.9</f>
        <v>11728.71</v>
      </c>
      <c r="G292" s="246">
        <v>326</v>
      </c>
      <c r="H292" s="214">
        <v>43081</v>
      </c>
      <c r="I292" s="209"/>
      <c r="J292" s="209" t="s">
        <v>242</v>
      </c>
      <c r="K292" s="244" t="s">
        <v>128</v>
      </c>
      <c r="L292" s="209" t="s">
        <v>242</v>
      </c>
      <c r="M292" s="209" t="s">
        <v>242</v>
      </c>
      <c r="N292" s="288"/>
      <c r="O292" s="237"/>
    </row>
    <row r="293" spans="2:15" s="238" customFormat="1" ht="103.5" customHeight="1">
      <c r="B293" s="207">
        <v>4</v>
      </c>
      <c r="C293" s="247" t="s">
        <v>808</v>
      </c>
      <c r="D293" s="208" t="s">
        <v>242</v>
      </c>
      <c r="E293" s="208" t="s">
        <v>806</v>
      </c>
      <c r="F293" s="209">
        <f>6447.18*0.3</f>
        <v>1934.154</v>
      </c>
      <c r="G293" s="246">
        <v>98</v>
      </c>
      <c r="H293" s="248">
        <v>38798</v>
      </c>
      <c r="I293" s="209"/>
      <c r="J293" s="209" t="s">
        <v>242</v>
      </c>
      <c r="K293" s="244" t="s">
        <v>128</v>
      </c>
      <c r="L293" s="209" t="s">
        <v>242</v>
      </c>
      <c r="M293" s="209" t="s">
        <v>242</v>
      </c>
      <c r="N293" s="288"/>
      <c r="O293" s="237"/>
    </row>
    <row r="294" spans="2:15" s="238" customFormat="1" ht="18.75" customHeight="1">
      <c r="B294" s="287" t="s">
        <v>689</v>
      </c>
      <c r="C294" s="287"/>
      <c r="D294" s="287"/>
      <c r="E294" s="215"/>
      <c r="F294" s="216">
        <f>SUM(F290:F293)</f>
        <v>29906.000999999997</v>
      </c>
      <c r="G294" s="217"/>
      <c r="H294" s="217"/>
      <c r="I294" s="217"/>
      <c r="J294" s="217"/>
      <c r="K294" s="217"/>
      <c r="L294" s="217"/>
      <c r="M294" s="217"/>
      <c r="N294" s="288"/>
      <c r="O294" s="237">
        <v>13</v>
      </c>
    </row>
    <row r="296" spans="2:15" s="238" customFormat="1" ht="36" customHeight="1">
      <c r="B296" s="203" t="s">
        <v>668</v>
      </c>
      <c r="C296" s="282" t="s">
        <v>21</v>
      </c>
      <c r="D296" s="282"/>
      <c r="E296" s="282"/>
      <c r="F296" s="282"/>
      <c r="G296" s="282"/>
      <c r="H296" s="282"/>
      <c r="I296" s="282"/>
      <c r="J296" s="282"/>
      <c r="K296" s="282"/>
      <c r="L296" s="282"/>
      <c r="M296" s="282"/>
      <c r="N296" s="282"/>
      <c r="O296" s="237"/>
    </row>
    <row r="297" spans="2:15" s="240" customFormat="1" ht="31.5">
      <c r="B297" s="283" t="s">
        <v>670</v>
      </c>
      <c r="C297" s="283"/>
      <c r="D297" s="283"/>
      <c r="E297" s="283"/>
      <c r="F297" s="283"/>
      <c r="G297" s="283"/>
      <c r="H297" s="283"/>
      <c r="I297" s="283"/>
      <c r="J297" s="204" t="s">
        <v>671</v>
      </c>
      <c r="K297" s="204" t="s">
        <v>672</v>
      </c>
      <c r="L297" s="204" t="s">
        <v>673</v>
      </c>
      <c r="M297" s="284" t="s">
        <v>674</v>
      </c>
      <c r="N297" s="204" t="s">
        <v>3</v>
      </c>
      <c r="O297" s="239"/>
    </row>
    <row r="298" spans="2:15" s="238" customFormat="1" ht="103.5" customHeight="1">
      <c r="B298" s="207" t="s">
        <v>675</v>
      </c>
      <c r="C298" s="208" t="s">
        <v>676</v>
      </c>
      <c r="D298" s="208" t="s">
        <v>677</v>
      </c>
      <c r="E298" s="208" t="s">
        <v>678</v>
      </c>
      <c r="F298" s="209" t="s">
        <v>679</v>
      </c>
      <c r="G298" s="209" t="s">
        <v>680</v>
      </c>
      <c r="H298" s="209" t="s">
        <v>681</v>
      </c>
      <c r="I298" s="209" t="s">
        <v>682</v>
      </c>
      <c r="J298" s="210" t="s">
        <v>683</v>
      </c>
      <c r="K298" s="210" t="s">
        <v>684</v>
      </c>
      <c r="L298" s="210" t="s">
        <v>685</v>
      </c>
      <c r="M298" s="285"/>
      <c r="N298" s="289" t="s">
        <v>242</v>
      </c>
      <c r="O298" s="237"/>
    </row>
    <row r="299" spans="2:15" s="238" customFormat="1" ht="103.5" customHeight="1">
      <c r="B299" s="207">
        <v>1</v>
      </c>
      <c r="C299" s="208" t="s">
        <v>809</v>
      </c>
      <c r="D299" s="208" t="s">
        <v>242</v>
      </c>
      <c r="E299" s="208" t="s">
        <v>810</v>
      </c>
      <c r="F299" s="209">
        <f>24743*39.15%</f>
        <v>9686.8844999999983</v>
      </c>
      <c r="G299" s="209" t="s">
        <v>811</v>
      </c>
      <c r="H299" s="209" t="s">
        <v>812</v>
      </c>
      <c r="I299" s="209"/>
      <c r="J299" s="212" t="s">
        <v>242</v>
      </c>
      <c r="K299" s="212" t="s">
        <v>242</v>
      </c>
      <c r="L299" s="212" t="s">
        <v>242</v>
      </c>
      <c r="M299" s="219" t="s">
        <v>242</v>
      </c>
      <c r="N299" s="289"/>
      <c r="O299" s="237"/>
    </row>
    <row r="300" spans="2:15" s="238" customFormat="1" ht="103.5" customHeight="1">
      <c r="B300" s="207">
        <v>2</v>
      </c>
      <c r="C300" s="208" t="s">
        <v>813</v>
      </c>
      <c r="D300" s="208" t="s">
        <v>242</v>
      </c>
      <c r="E300" s="208" t="s">
        <v>814</v>
      </c>
      <c r="F300" s="209">
        <f>12866.83*0.38</f>
        <v>4889.3954000000003</v>
      </c>
      <c r="G300" s="212">
        <v>18</v>
      </c>
      <c r="H300" s="214">
        <v>41304</v>
      </c>
      <c r="I300" s="209"/>
      <c r="J300" s="212" t="s">
        <v>242</v>
      </c>
      <c r="K300" s="212" t="s">
        <v>242</v>
      </c>
      <c r="L300" s="212" t="s">
        <v>242</v>
      </c>
      <c r="M300" s="219" t="s">
        <v>242</v>
      </c>
      <c r="N300" s="289"/>
      <c r="O300" s="237"/>
    </row>
    <row r="301" spans="2:15" s="238" customFormat="1" ht="97.5" customHeight="1">
      <c r="B301" s="211">
        <v>3</v>
      </c>
      <c r="C301" s="208" t="s">
        <v>815</v>
      </c>
      <c r="D301" s="208" t="s">
        <v>242</v>
      </c>
      <c r="E301" s="212" t="s">
        <v>816</v>
      </c>
      <c r="F301" s="209">
        <f>3710.1*50%</f>
        <v>1855.05</v>
      </c>
      <c r="G301" s="212">
        <v>10</v>
      </c>
      <c r="H301" s="214">
        <v>43087</v>
      </c>
      <c r="I301" s="212"/>
      <c r="J301" s="212" t="s">
        <v>242</v>
      </c>
      <c r="K301" s="212"/>
      <c r="L301" s="212"/>
      <c r="M301" s="219" t="s">
        <v>242</v>
      </c>
      <c r="N301" s="289"/>
      <c r="O301" s="237"/>
    </row>
    <row r="302" spans="2:15" s="238" customFormat="1" ht="53.25" customHeight="1">
      <c r="B302" s="207">
        <v>4</v>
      </c>
      <c r="C302" s="208" t="s">
        <v>817</v>
      </c>
      <c r="D302" s="208" t="s">
        <v>242</v>
      </c>
      <c r="E302" s="211" t="s">
        <v>818</v>
      </c>
      <c r="F302" s="209">
        <f>3742.13*0.5</f>
        <v>1871.0650000000001</v>
      </c>
      <c r="G302" s="212">
        <v>4</v>
      </c>
      <c r="H302" s="214">
        <v>39185</v>
      </c>
      <c r="I302" s="212"/>
      <c r="J302" s="212" t="s">
        <v>242</v>
      </c>
      <c r="K302" s="212"/>
      <c r="L302" s="212" t="s">
        <v>242</v>
      </c>
      <c r="M302" s="219" t="s">
        <v>242</v>
      </c>
      <c r="N302" s="289"/>
      <c r="O302" s="237"/>
    </row>
    <row r="303" spans="2:15" s="238" customFormat="1" ht="18.75" customHeight="1">
      <c r="B303" s="287" t="s">
        <v>689</v>
      </c>
      <c r="C303" s="287"/>
      <c r="D303" s="287"/>
      <c r="E303" s="215"/>
      <c r="F303" s="216">
        <f>SUM(F299:F302)</f>
        <v>18302.394899999996</v>
      </c>
      <c r="G303" s="217"/>
      <c r="H303" s="217"/>
      <c r="I303" s="217"/>
      <c r="J303" s="217"/>
      <c r="K303" s="217"/>
      <c r="L303" s="217"/>
      <c r="M303" s="217"/>
      <c r="N303" s="289"/>
      <c r="O303" s="237">
        <v>12</v>
      </c>
    </row>
    <row r="306" spans="2:15" s="238" customFormat="1" ht="36" customHeight="1">
      <c r="B306" s="203" t="s">
        <v>668</v>
      </c>
      <c r="C306" s="282" t="s">
        <v>819</v>
      </c>
      <c r="D306" s="282"/>
      <c r="E306" s="282"/>
      <c r="F306" s="282"/>
      <c r="G306" s="282"/>
      <c r="H306" s="282"/>
      <c r="I306" s="282"/>
      <c r="J306" s="282"/>
      <c r="K306" s="282"/>
      <c r="L306" s="282"/>
      <c r="M306" s="282"/>
      <c r="N306" s="282"/>
      <c r="O306" s="237"/>
    </row>
    <row r="307" spans="2:15" s="240" customFormat="1" ht="35.25" customHeight="1">
      <c r="B307" s="283" t="s">
        <v>670</v>
      </c>
      <c r="C307" s="283"/>
      <c r="D307" s="283"/>
      <c r="E307" s="283"/>
      <c r="F307" s="283"/>
      <c r="G307" s="283"/>
      <c r="H307" s="283"/>
      <c r="I307" s="283"/>
      <c r="J307" s="204" t="s">
        <v>671</v>
      </c>
      <c r="K307" s="204" t="s">
        <v>672</v>
      </c>
      <c r="L307" s="204" t="s">
        <v>673</v>
      </c>
      <c r="M307" s="284" t="s">
        <v>674</v>
      </c>
      <c r="N307" s="204" t="s">
        <v>3</v>
      </c>
      <c r="O307" s="239"/>
    </row>
    <row r="308" spans="2:15" s="238" customFormat="1" ht="103.5" customHeight="1">
      <c r="B308" s="207" t="s">
        <v>675</v>
      </c>
      <c r="C308" s="208" t="s">
        <v>676</v>
      </c>
      <c r="D308" s="208" t="s">
        <v>677</v>
      </c>
      <c r="E308" s="208" t="s">
        <v>678</v>
      </c>
      <c r="F308" s="209" t="s">
        <v>679</v>
      </c>
      <c r="G308" s="209" t="s">
        <v>680</v>
      </c>
      <c r="H308" s="209" t="s">
        <v>681</v>
      </c>
      <c r="I308" s="209" t="s">
        <v>682</v>
      </c>
      <c r="J308" s="210" t="s">
        <v>683</v>
      </c>
      <c r="K308" s="210" t="s">
        <v>684</v>
      </c>
      <c r="L308" s="210" t="s">
        <v>685</v>
      </c>
      <c r="M308" s="285"/>
      <c r="N308" s="289" t="s">
        <v>242</v>
      </c>
      <c r="O308" s="237"/>
    </row>
    <row r="309" spans="2:15" s="238" customFormat="1" ht="97.5" customHeight="1">
      <c r="B309" s="211">
        <v>1</v>
      </c>
      <c r="C309" s="208" t="s">
        <v>792</v>
      </c>
      <c r="D309" s="208" t="s">
        <v>242</v>
      </c>
      <c r="E309" s="212" t="s">
        <v>820</v>
      </c>
      <c r="F309" s="213">
        <f>17868.83*0.25</f>
        <v>4467.2075000000004</v>
      </c>
      <c r="G309" s="212">
        <v>4</v>
      </c>
      <c r="H309" s="214">
        <v>40289</v>
      </c>
      <c r="I309" s="212"/>
      <c r="J309" s="212" t="s">
        <v>242</v>
      </c>
      <c r="K309" s="212" t="s">
        <v>242</v>
      </c>
      <c r="L309" s="212" t="s">
        <v>242</v>
      </c>
      <c r="M309" s="219" t="s">
        <v>242</v>
      </c>
      <c r="N309" s="289"/>
      <c r="O309" s="237"/>
    </row>
    <row r="310" spans="2:15" s="238" customFormat="1" ht="97.5" customHeight="1">
      <c r="B310" s="211">
        <v>2</v>
      </c>
      <c r="C310" s="208" t="s">
        <v>877</v>
      </c>
      <c r="D310" s="208" t="s">
        <v>242</v>
      </c>
      <c r="E310" s="212" t="s">
        <v>820</v>
      </c>
      <c r="F310" s="213">
        <f>23754.61*0.5</f>
        <v>11877.305</v>
      </c>
      <c r="G310" s="212">
        <v>30</v>
      </c>
      <c r="H310" s="214">
        <v>43104</v>
      </c>
      <c r="I310" s="212"/>
      <c r="J310" s="212" t="s">
        <v>242</v>
      </c>
      <c r="K310" s="212" t="s">
        <v>242</v>
      </c>
      <c r="L310" s="212"/>
      <c r="M310" s="219" t="s">
        <v>242</v>
      </c>
      <c r="N310" s="289"/>
      <c r="O310" s="237"/>
    </row>
    <row r="311" spans="2:15" s="238" customFormat="1" ht="97.5" customHeight="1">
      <c r="B311" s="211">
        <v>3</v>
      </c>
      <c r="C311" s="208" t="s">
        <v>706</v>
      </c>
      <c r="D311" s="208" t="s">
        <v>242</v>
      </c>
      <c r="E311" s="212" t="s">
        <v>820</v>
      </c>
      <c r="F311" s="213">
        <f>8489.96*0.5</f>
        <v>4244.9799999999996</v>
      </c>
      <c r="G311" s="212">
        <v>37</v>
      </c>
      <c r="H311" s="214">
        <v>44068</v>
      </c>
      <c r="I311" s="212"/>
      <c r="J311" s="212" t="s">
        <v>242</v>
      </c>
      <c r="K311" s="218"/>
      <c r="L311" s="212" t="s">
        <v>242</v>
      </c>
      <c r="M311" s="219" t="s">
        <v>242</v>
      </c>
      <c r="N311" s="289"/>
      <c r="O311" s="237"/>
    </row>
    <row r="312" spans="2:15" s="238" customFormat="1" ht="75" customHeight="1">
      <c r="B312" s="211">
        <v>4</v>
      </c>
      <c r="C312" s="208" t="s">
        <v>878</v>
      </c>
      <c r="D312" s="208" t="s">
        <v>242</v>
      </c>
      <c r="E312" s="212" t="s">
        <v>820</v>
      </c>
      <c r="F312" s="213">
        <f>19207.08*0.5</f>
        <v>9603.5400000000009</v>
      </c>
      <c r="G312" s="212">
        <v>10</v>
      </c>
      <c r="H312" s="214">
        <v>41506</v>
      </c>
      <c r="I312" s="212"/>
      <c r="J312" s="212" t="s">
        <v>242</v>
      </c>
      <c r="K312" s="218"/>
      <c r="L312" s="212" t="s">
        <v>242</v>
      </c>
      <c r="M312" s="219" t="s">
        <v>242</v>
      </c>
      <c r="N312" s="289"/>
      <c r="O312" s="237"/>
    </row>
    <row r="313" spans="2:15" s="238" customFormat="1" ht="18.75" customHeight="1">
      <c r="B313" s="287" t="s">
        <v>689</v>
      </c>
      <c r="C313" s="287"/>
      <c r="D313" s="287"/>
      <c r="E313" s="215"/>
      <c r="F313" s="216">
        <f>SUM(F309:F312)</f>
        <v>30193.032500000001</v>
      </c>
      <c r="G313" s="217"/>
      <c r="H313" s="217"/>
      <c r="I313" s="217"/>
      <c r="J313" s="217"/>
      <c r="K313" s="217"/>
      <c r="L313" s="217"/>
      <c r="M313" s="217"/>
      <c r="N313" s="289"/>
      <c r="O313" s="237">
        <v>11</v>
      </c>
    </row>
    <row r="314" spans="2:15" s="238" customFormat="1" ht="18.75" customHeight="1">
      <c r="B314" s="249"/>
      <c r="C314" s="249"/>
      <c r="D314" s="249"/>
      <c r="E314" s="249"/>
      <c r="F314" s="250"/>
      <c r="G314" s="251"/>
      <c r="H314" s="251"/>
      <c r="I314" s="251"/>
      <c r="J314" s="251"/>
      <c r="K314" s="251"/>
      <c r="L314" s="251"/>
      <c r="M314" s="251"/>
      <c r="N314" s="252"/>
      <c r="O314" s="237"/>
    </row>
    <row r="315" spans="2:15" s="238" customFormat="1" ht="36" customHeight="1">
      <c r="B315" s="203" t="s">
        <v>668</v>
      </c>
      <c r="C315" s="282" t="s">
        <v>19</v>
      </c>
      <c r="D315" s="282"/>
      <c r="E315" s="282"/>
      <c r="F315" s="282"/>
      <c r="G315" s="282"/>
      <c r="H315" s="282"/>
      <c r="I315" s="282"/>
      <c r="J315" s="282"/>
      <c r="K315" s="282"/>
      <c r="L315" s="282"/>
      <c r="M315" s="282"/>
      <c r="N315" s="282"/>
      <c r="O315" s="237"/>
    </row>
    <row r="316" spans="2:15" s="240" customFormat="1" ht="31.5">
      <c r="B316" s="283" t="s">
        <v>670</v>
      </c>
      <c r="C316" s="283"/>
      <c r="D316" s="283"/>
      <c r="E316" s="283"/>
      <c r="F316" s="283"/>
      <c r="G316" s="283"/>
      <c r="H316" s="283"/>
      <c r="I316" s="283"/>
      <c r="J316" s="204" t="s">
        <v>671</v>
      </c>
      <c r="K316" s="204" t="s">
        <v>672</v>
      </c>
      <c r="L316" s="204" t="s">
        <v>673</v>
      </c>
      <c r="M316" s="283" t="s">
        <v>674</v>
      </c>
      <c r="N316" s="204" t="s">
        <v>3</v>
      </c>
      <c r="O316" s="239"/>
    </row>
    <row r="317" spans="2:15" s="238" customFormat="1" ht="103.5" customHeight="1">
      <c r="B317" s="207" t="s">
        <v>675</v>
      </c>
      <c r="C317" s="208" t="s">
        <v>676</v>
      </c>
      <c r="D317" s="208" t="s">
        <v>677</v>
      </c>
      <c r="E317" s="208" t="s">
        <v>678</v>
      </c>
      <c r="F317" s="209" t="s">
        <v>679</v>
      </c>
      <c r="G317" s="209" t="s">
        <v>680</v>
      </c>
      <c r="H317" s="209" t="s">
        <v>681</v>
      </c>
      <c r="I317" s="209" t="s">
        <v>682</v>
      </c>
      <c r="J317" s="210" t="s">
        <v>683</v>
      </c>
      <c r="K317" s="210" t="s">
        <v>684</v>
      </c>
      <c r="L317" s="210" t="s">
        <v>685</v>
      </c>
      <c r="M317" s="283"/>
      <c r="N317" s="286" t="s">
        <v>242</v>
      </c>
      <c r="O317" s="237"/>
    </row>
    <row r="318" spans="2:15" s="238" customFormat="1" ht="97.5" customHeight="1">
      <c r="B318" s="211">
        <v>1</v>
      </c>
      <c r="C318" s="208" t="s">
        <v>821</v>
      </c>
      <c r="D318" s="212" t="s">
        <v>242</v>
      </c>
      <c r="E318" s="212" t="s">
        <v>822</v>
      </c>
      <c r="F318" s="213">
        <v>5209.42</v>
      </c>
      <c r="G318" s="212">
        <v>43</v>
      </c>
      <c r="H318" s="214">
        <v>45069</v>
      </c>
      <c r="I318" s="212"/>
      <c r="J318" s="212" t="s">
        <v>242</v>
      </c>
      <c r="K318" s="212"/>
      <c r="L318" s="212" t="s">
        <v>242</v>
      </c>
      <c r="M318" s="212" t="s">
        <v>242</v>
      </c>
      <c r="N318" s="286"/>
      <c r="O318" s="237"/>
    </row>
    <row r="319" spans="2:15" s="238" customFormat="1" ht="97.5" customHeight="1">
      <c r="B319" s="211">
        <v>2</v>
      </c>
      <c r="C319" s="208" t="s">
        <v>823</v>
      </c>
      <c r="D319" s="212" t="s">
        <v>242</v>
      </c>
      <c r="E319" s="212" t="s">
        <v>824</v>
      </c>
      <c r="F319" s="213">
        <f>19108.59*50%</f>
        <v>9554.2950000000001</v>
      </c>
      <c r="G319" s="212">
        <v>2</v>
      </c>
      <c r="H319" s="214">
        <v>40539</v>
      </c>
      <c r="I319" s="212"/>
      <c r="J319" s="212" t="s">
        <v>242</v>
      </c>
      <c r="K319" s="212" t="s">
        <v>242</v>
      </c>
      <c r="L319" s="212" t="s">
        <v>242</v>
      </c>
      <c r="M319" s="212" t="s">
        <v>242</v>
      </c>
      <c r="N319" s="286"/>
      <c r="O319" s="237"/>
    </row>
    <row r="320" spans="2:15" s="238" customFormat="1" ht="18.75" customHeight="1">
      <c r="B320" s="287" t="s">
        <v>689</v>
      </c>
      <c r="C320" s="287"/>
      <c r="D320" s="287"/>
      <c r="E320" s="215"/>
      <c r="F320" s="216">
        <f>SUM(F318:F319)</f>
        <v>14763.715</v>
      </c>
      <c r="G320" s="217"/>
      <c r="H320" s="217"/>
      <c r="I320" s="217"/>
      <c r="J320" s="217"/>
      <c r="K320" s="217"/>
      <c r="L320" s="217"/>
      <c r="M320" s="217"/>
      <c r="N320" s="286"/>
      <c r="O320" s="237">
        <v>10</v>
      </c>
    </row>
    <row r="321" spans="2:15" s="238" customFormat="1">
      <c r="O321" s="237"/>
    </row>
    <row r="322" spans="2:15" s="238" customFormat="1" ht="36" customHeight="1">
      <c r="B322" s="203" t="s">
        <v>668</v>
      </c>
      <c r="C322" s="282" t="s">
        <v>825</v>
      </c>
      <c r="D322" s="282"/>
      <c r="E322" s="282"/>
      <c r="F322" s="282"/>
      <c r="G322" s="282"/>
      <c r="H322" s="282"/>
      <c r="I322" s="282"/>
      <c r="J322" s="282"/>
      <c r="K322" s="282"/>
      <c r="L322" s="282"/>
      <c r="M322" s="282"/>
      <c r="N322" s="282"/>
      <c r="O322" s="237"/>
    </row>
    <row r="323" spans="2:15" s="240" customFormat="1" ht="31.5">
      <c r="B323" s="283" t="s">
        <v>670</v>
      </c>
      <c r="C323" s="283"/>
      <c r="D323" s="283"/>
      <c r="E323" s="283"/>
      <c r="F323" s="283"/>
      <c r="G323" s="283"/>
      <c r="H323" s="283"/>
      <c r="I323" s="283"/>
      <c r="J323" s="204" t="s">
        <v>671</v>
      </c>
      <c r="K323" s="204" t="s">
        <v>672</v>
      </c>
      <c r="L323" s="204" t="s">
        <v>673</v>
      </c>
      <c r="M323" s="284" t="s">
        <v>674</v>
      </c>
      <c r="N323" s="204" t="s">
        <v>3</v>
      </c>
      <c r="O323" s="239"/>
    </row>
    <row r="324" spans="2:15" s="238" customFormat="1" ht="103.5" customHeight="1">
      <c r="B324" s="207" t="s">
        <v>675</v>
      </c>
      <c r="C324" s="208" t="s">
        <v>676</v>
      </c>
      <c r="D324" s="208" t="s">
        <v>677</v>
      </c>
      <c r="E324" s="208" t="s">
        <v>678</v>
      </c>
      <c r="F324" s="209" t="s">
        <v>679</v>
      </c>
      <c r="G324" s="209" t="s">
        <v>680</v>
      </c>
      <c r="H324" s="209" t="s">
        <v>681</v>
      </c>
      <c r="I324" s="209" t="s">
        <v>682</v>
      </c>
      <c r="J324" s="210" t="s">
        <v>683</v>
      </c>
      <c r="K324" s="210" t="s">
        <v>684</v>
      </c>
      <c r="L324" s="210" t="s">
        <v>685</v>
      </c>
      <c r="M324" s="285"/>
      <c r="N324" s="286" t="s">
        <v>242</v>
      </c>
      <c r="O324" s="237"/>
    </row>
    <row r="325" spans="2:15" s="238" customFormat="1" ht="97.5" customHeight="1">
      <c r="B325" s="211">
        <v>1</v>
      </c>
      <c r="C325" s="208" t="s">
        <v>826</v>
      </c>
      <c r="D325" s="212" t="s">
        <v>242</v>
      </c>
      <c r="E325" s="212" t="s">
        <v>827</v>
      </c>
      <c r="F325" s="213">
        <v>31470.78</v>
      </c>
      <c r="G325" s="212">
        <v>122</v>
      </c>
      <c r="H325" s="214">
        <v>44627</v>
      </c>
      <c r="I325" s="212"/>
      <c r="J325" s="212" t="s">
        <v>242</v>
      </c>
      <c r="K325" s="212" t="s">
        <v>242</v>
      </c>
      <c r="L325" s="212" t="s">
        <v>242</v>
      </c>
      <c r="M325" s="212" t="s">
        <v>242</v>
      </c>
      <c r="N325" s="286"/>
      <c r="O325" s="237"/>
    </row>
    <row r="326" spans="2:15" s="238" customFormat="1" ht="18.75" customHeight="1">
      <c r="B326" s="287" t="s">
        <v>689</v>
      </c>
      <c r="C326" s="287"/>
      <c r="D326" s="287"/>
      <c r="E326" s="215"/>
      <c r="F326" s="216">
        <f>SUM(F325:F325)</f>
        <v>31470.78</v>
      </c>
      <c r="G326" s="217"/>
      <c r="H326" s="217"/>
      <c r="I326" s="217"/>
      <c r="J326" s="217"/>
      <c r="K326" s="217"/>
      <c r="L326" s="217"/>
      <c r="M326" s="217"/>
      <c r="N326" s="286"/>
      <c r="O326" s="237">
        <v>9</v>
      </c>
    </row>
    <row r="327" spans="2:15" s="238" customFormat="1">
      <c r="O327" s="237"/>
    </row>
    <row r="328" spans="2:15" s="238" customFormat="1" ht="36" customHeight="1">
      <c r="B328" s="203" t="s">
        <v>668</v>
      </c>
      <c r="C328" s="282" t="s">
        <v>17</v>
      </c>
      <c r="D328" s="282"/>
      <c r="E328" s="282"/>
      <c r="F328" s="282"/>
      <c r="G328" s="282"/>
      <c r="H328" s="282"/>
      <c r="I328" s="282"/>
      <c r="J328" s="282"/>
      <c r="K328" s="282"/>
      <c r="L328" s="282"/>
      <c r="M328" s="282"/>
      <c r="N328" s="282"/>
      <c r="O328" s="237"/>
    </row>
    <row r="329" spans="2:15" s="240" customFormat="1" ht="31.5">
      <c r="B329" s="283" t="s">
        <v>670</v>
      </c>
      <c r="C329" s="283"/>
      <c r="D329" s="283"/>
      <c r="E329" s="283"/>
      <c r="F329" s="283"/>
      <c r="G329" s="283"/>
      <c r="H329" s="283"/>
      <c r="I329" s="283"/>
      <c r="J329" s="204" t="s">
        <v>671</v>
      </c>
      <c r="K329" s="204" t="s">
        <v>672</v>
      </c>
      <c r="L329" s="204" t="s">
        <v>673</v>
      </c>
      <c r="M329" s="284" t="s">
        <v>674</v>
      </c>
      <c r="N329" s="204" t="s">
        <v>3</v>
      </c>
      <c r="O329" s="239"/>
    </row>
    <row r="330" spans="2:15" s="238" customFormat="1" ht="103.5" customHeight="1">
      <c r="B330" s="207" t="s">
        <v>675</v>
      </c>
      <c r="C330" s="208" t="s">
        <v>676</v>
      </c>
      <c r="D330" s="208" t="s">
        <v>677</v>
      </c>
      <c r="E330" s="208" t="s">
        <v>678</v>
      </c>
      <c r="F330" s="209" t="s">
        <v>679</v>
      </c>
      <c r="G330" s="209" t="s">
        <v>680</v>
      </c>
      <c r="H330" s="209" t="s">
        <v>681</v>
      </c>
      <c r="I330" s="209" t="s">
        <v>682</v>
      </c>
      <c r="J330" s="210" t="s">
        <v>683</v>
      </c>
      <c r="K330" s="210" t="s">
        <v>684</v>
      </c>
      <c r="L330" s="210" t="s">
        <v>685</v>
      </c>
      <c r="M330" s="285"/>
      <c r="N330" s="286" t="s">
        <v>242</v>
      </c>
      <c r="O330" s="237"/>
    </row>
    <row r="331" spans="2:15" s="238" customFormat="1" ht="97.5" customHeight="1">
      <c r="B331" s="211">
        <v>1</v>
      </c>
      <c r="C331" s="208" t="s">
        <v>828</v>
      </c>
      <c r="D331" s="212" t="s">
        <v>242</v>
      </c>
      <c r="E331" s="212" t="s">
        <v>829</v>
      </c>
      <c r="F331" s="213">
        <v>22644.35</v>
      </c>
      <c r="G331" s="212">
        <v>53</v>
      </c>
      <c r="H331" s="214">
        <v>43315</v>
      </c>
      <c r="I331" s="212"/>
      <c r="J331" s="212" t="s">
        <v>242</v>
      </c>
      <c r="K331" s="212" t="s">
        <v>242</v>
      </c>
      <c r="L331" s="212" t="s">
        <v>242</v>
      </c>
      <c r="M331" s="212" t="s">
        <v>242</v>
      </c>
      <c r="N331" s="286"/>
      <c r="O331" s="237"/>
    </row>
    <row r="332" spans="2:15" s="238" customFormat="1" ht="97.5" customHeight="1">
      <c r="B332" s="211">
        <v>2</v>
      </c>
      <c r="C332" s="208" t="s">
        <v>830</v>
      </c>
      <c r="D332" s="212" t="s">
        <v>242</v>
      </c>
      <c r="E332" s="212" t="s">
        <v>831</v>
      </c>
      <c r="F332" s="213">
        <v>6992.14</v>
      </c>
      <c r="G332" s="212">
        <v>33</v>
      </c>
      <c r="H332" s="214" t="s">
        <v>832</v>
      </c>
      <c r="I332" s="212"/>
      <c r="J332" s="212" t="s">
        <v>242</v>
      </c>
      <c r="K332" s="212"/>
      <c r="L332" s="212" t="s">
        <v>242</v>
      </c>
      <c r="M332" s="212" t="s">
        <v>242</v>
      </c>
      <c r="N332" s="286"/>
      <c r="O332" s="237"/>
    </row>
    <row r="333" spans="2:15" s="238" customFormat="1" ht="18.75" customHeight="1">
      <c r="B333" s="287" t="s">
        <v>689</v>
      </c>
      <c r="C333" s="287"/>
      <c r="D333" s="287"/>
      <c r="E333" s="215"/>
      <c r="F333" s="216">
        <f>SUM(F331:F332)</f>
        <v>29636.489999999998</v>
      </c>
      <c r="G333" s="217"/>
      <c r="H333" s="217"/>
      <c r="I333" s="217"/>
      <c r="J333" s="217"/>
      <c r="K333" s="217"/>
      <c r="L333" s="217"/>
      <c r="M333" s="217"/>
      <c r="N333" s="286"/>
      <c r="O333" s="237">
        <v>8</v>
      </c>
    </row>
    <row r="334" spans="2:15" s="238" customFormat="1">
      <c r="O334" s="237"/>
    </row>
    <row r="335" spans="2:15" s="238" customFormat="1" ht="36" customHeight="1">
      <c r="B335" s="203" t="s">
        <v>668</v>
      </c>
      <c r="C335" s="282" t="s">
        <v>16</v>
      </c>
      <c r="D335" s="282"/>
      <c r="E335" s="282"/>
      <c r="F335" s="282"/>
      <c r="G335" s="282"/>
      <c r="H335" s="282"/>
      <c r="I335" s="282"/>
      <c r="J335" s="282"/>
      <c r="K335" s="282"/>
      <c r="L335" s="282"/>
      <c r="M335" s="282"/>
      <c r="N335" s="282"/>
      <c r="O335" s="237"/>
    </row>
    <row r="336" spans="2:15" s="240" customFormat="1" ht="31.5">
      <c r="B336" s="283" t="s">
        <v>670</v>
      </c>
      <c r="C336" s="283"/>
      <c r="D336" s="283"/>
      <c r="E336" s="283"/>
      <c r="F336" s="283"/>
      <c r="G336" s="283"/>
      <c r="H336" s="283"/>
      <c r="I336" s="283"/>
      <c r="J336" s="204" t="s">
        <v>671</v>
      </c>
      <c r="K336" s="204" t="s">
        <v>672</v>
      </c>
      <c r="L336" s="204" t="s">
        <v>673</v>
      </c>
      <c r="M336" s="284" t="s">
        <v>674</v>
      </c>
      <c r="N336" s="204" t="s">
        <v>3</v>
      </c>
      <c r="O336" s="239"/>
    </row>
    <row r="337" spans="2:15" s="238" customFormat="1" ht="103.5" customHeight="1">
      <c r="B337" s="207" t="s">
        <v>675</v>
      </c>
      <c r="C337" s="208" t="s">
        <v>676</v>
      </c>
      <c r="D337" s="208" t="s">
        <v>677</v>
      </c>
      <c r="E337" s="208" t="s">
        <v>678</v>
      </c>
      <c r="F337" s="209" t="s">
        <v>679</v>
      </c>
      <c r="G337" s="209" t="s">
        <v>680</v>
      </c>
      <c r="H337" s="209" t="s">
        <v>681</v>
      </c>
      <c r="I337" s="209" t="s">
        <v>682</v>
      </c>
      <c r="J337" s="210" t="s">
        <v>683</v>
      </c>
      <c r="K337" s="210" t="s">
        <v>684</v>
      </c>
      <c r="L337" s="210" t="s">
        <v>685</v>
      </c>
      <c r="M337" s="285"/>
      <c r="N337" s="288" t="s">
        <v>764</v>
      </c>
      <c r="O337" s="237"/>
    </row>
    <row r="338" spans="2:15" s="238" customFormat="1" ht="97.5" customHeight="1">
      <c r="B338" s="211">
        <v>1</v>
      </c>
      <c r="C338" s="208"/>
      <c r="D338" s="212"/>
      <c r="E338" s="212" t="s">
        <v>833</v>
      </c>
      <c r="F338" s="213"/>
      <c r="G338" s="212"/>
      <c r="H338" s="214"/>
      <c r="I338" s="212"/>
      <c r="J338" s="212"/>
      <c r="K338" s="212"/>
      <c r="L338" s="212"/>
      <c r="M338" s="219" t="s">
        <v>242</v>
      </c>
      <c r="N338" s="288"/>
      <c r="O338" s="237"/>
    </row>
    <row r="339" spans="2:15" s="238" customFormat="1" ht="97.5" customHeight="1">
      <c r="B339" s="211">
        <v>2</v>
      </c>
      <c r="C339" s="208"/>
      <c r="D339" s="212"/>
      <c r="E339" s="212" t="s">
        <v>834</v>
      </c>
      <c r="F339" s="213"/>
      <c r="G339" s="212"/>
      <c r="H339" s="214"/>
      <c r="I339" s="212"/>
      <c r="J339" s="212"/>
      <c r="K339" s="212"/>
      <c r="L339" s="212"/>
      <c r="M339" s="219" t="s">
        <v>242</v>
      </c>
      <c r="N339" s="288"/>
      <c r="O339" s="237"/>
    </row>
    <row r="340" spans="2:15" s="238" customFormat="1" ht="18.75" customHeight="1">
      <c r="B340" s="287" t="s">
        <v>689</v>
      </c>
      <c r="C340" s="287"/>
      <c r="D340" s="287"/>
      <c r="E340" s="215"/>
      <c r="F340" s="216">
        <f>SUM(F338:F339)</f>
        <v>0</v>
      </c>
      <c r="G340" s="217"/>
      <c r="H340" s="217"/>
      <c r="I340" s="217"/>
      <c r="J340" s="217"/>
      <c r="K340" s="217"/>
      <c r="L340" s="217"/>
      <c r="M340" s="217"/>
      <c r="N340" s="288"/>
      <c r="O340" s="237">
        <v>7</v>
      </c>
    </row>
    <row r="341" spans="2:15" s="238" customFormat="1">
      <c r="O341" s="237"/>
    </row>
    <row r="342" spans="2:15" s="238" customFormat="1" ht="36" customHeight="1">
      <c r="B342" s="203" t="s">
        <v>668</v>
      </c>
      <c r="C342" s="282" t="s">
        <v>15</v>
      </c>
      <c r="D342" s="282"/>
      <c r="E342" s="282"/>
      <c r="F342" s="282"/>
      <c r="G342" s="282"/>
      <c r="H342" s="282"/>
      <c r="I342" s="282"/>
      <c r="J342" s="282"/>
      <c r="K342" s="282"/>
      <c r="L342" s="282"/>
      <c r="M342" s="282"/>
      <c r="N342" s="282"/>
      <c r="O342" s="237"/>
    </row>
    <row r="343" spans="2:15" s="240" customFormat="1" ht="31.5">
      <c r="B343" s="283" t="s">
        <v>670</v>
      </c>
      <c r="C343" s="283"/>
      <c r="D343" s="283"/>
      <c r="E343" s="283"/>
      <c r="F343" s="283"/>
      <c r="G343" s="283"/>
      <c r="H343" s="283"/>
      <c r="I343" s="283"/>
      <c r="J343" s="204" t="s">
        <v>671</v>
      </c>
      <c r="K343" s="204" t="s">
        <v>672</v>
      </c>
      <c r="L343" s="204" t="s">
        <v>673</v>
      </c>
      <c r="M343" s="284" t="s">
        <v>674</v>
      </c>
      <c r="N343" s="204" t="s">
        <v>3</v>
      </c>
      <c r="O343" s="239"/>
    </row>
    <row r="344" spans="2:15" s="238" customFormat="1" ht="103.5" customHeight="1">
      <c r="B344" s="207" t="s">
        <v>675</v>
      </c>
      <c r="C344" s="208" t="s">
        <v>676</v>
      </c>
      <c r="D344" s="208" t="s">
        <v>677</v>
      </c>
      <c r="E344" s="208" t="s">
        <v>678</v>
      </c>
      <c r="F344" s="209" t="s">
        <v>679</v>
      </c>
      <c r="G344" s="209" t="s">
        <v>680</v>
      </c>
      <c r="H344" s="209" t="s">
        <v>681</v>
      </c>
      <c r="I344" s="209" t="s">
        <v>682</v>
      </c>
      <c r="J344" s="210" t="s">
        <v>683</v>
      </c>
      <c r="K344" s="210" t="s">
        <v>684</v>
      </c>
      <c r="L344" s="210" t="s">
        <v>685</v>
      </c>
      <c r="M344" s="285"/>
      <c r="N344" s="286" t="s">
        <v>242</v>
      </c>
      <c r="O344" s="237"/>
    </row>
    <row r="345" spans="2:15" s="238" customFormat="1" ht="97.5" customHeight="1">
      <c r="B345" s="211">
        <v>1</v>
      </c>
      <c r="C345" s="208" t="s">
        <v>792</v>
      </c>
      <c r="D345" s="212" t="s">
        <v>242</v>
      </c>
      <c r="E345" s="212" t="s">
        <v>835</v>
      </c>
      <c r="F345" s="213">
        <f>23249.84*0.8</f>
        <v>18599.871999999999</v>
      </c>
      <c r="G345" s="212">
        <v>55</v>
      </c>
      <c r="H345" s="214">
        <v>42485</v>
      </c>
      <c r="I345" s="212"/>
      <c r="J345" s="212" t="s">
        <v>242</v>
      </c>
      <c r="K345" s="212" t="s">
        <v>242</v>
      </c>
      <c r="L345" s="212" t="s">
        <v>242</v>
      </c>
      <c r="M345" s="219" t="s">
        <v>242</v>
      </c>
      <c r="N345" s="286"/>
      <c r="O345" s="237"/>
    </row>
    <row r="346" spans="2:15" s="238" customFormat="1" ht="97.5" customHeight="1">
      <c r="B346" s="211">
        <v>2</v>
      </c>
      <c r="C346" s="208" t="s">
        <v>836</v>
      </c>
      <c r="D346" s="212" t="s">
        <v>242</v>
      </c>
      <c r="E346" s="212" t="s">
        <v>835</v>
      </c>
      <c r="F346" s="213">
        <v>13269.96</v>
      </c>
      <c r="G346" s="212">
        <v>56</v>
      </c>
      <c r="H346" s="214">
        <v>43252</v>
      </c>
      <c r="I346" s="212"/>
      <c r="J346" s="212" t="s">
        <v>242</v>
      </c>
      <c r="K346" s="212" t="s">
        <v>242</v>
      </c>
      <c r="L346" s="212" t="s">
        <v>242</v>
      </c>
      <c r="M346" s="219" t="s">
        <v>242</v>
      </c>
      <c r="N346" s="286"/>
      <c r="O346" s="237"/>
    </row>
    <row r="347" spans="2:15" s="238" customFormat="1" ht="97.5" customHeight="1">
      <c r="B347" s="211">
        <v>3</v>
      </c>
      <c r="C347" s="208" t="s">
        <v>837</v>
      </c>
      <c r="D347" s="212" t="s">
        <v>242</v>
      </c>
      <c r="E347" s="212" t="s">
        <v>838</v>
      </c>
      <c r="F347" s="213">
        <f>4273.62*0.25</f>
        <v>1068.405</v>
      </c>
      <c r="G347" s="212">
        <v>12</v>
      </c>
      <c r="H347" s="214">
        <v>43151</v>
      </c>
      <c r="I347" s="212"/>
      <c r="J347" s="212" t="s">
        <v>242</v>
      </c>
      <c r="K347" s="212"/>
      <c r="L347" s="212" t="s">
        <v>242</v>
      </c>
      <c r="M347" s="219" t="s">
        <v>242</v>
      </c>
      <c r="N347" s="286"/>
      <c r="O347" s="237"/>
    </row>
    <row r="348" spans="2:15" s="238" customFormat="1" ht="97.5" customHeight="1">
      <c r="B348" s="211">
        <v>4</v>
      </c>
      <c r="C348" s="208" t="s">
        <v>792</v>
      </c>
      <c r="D348" s="212" t="s">
        <v>242</v>
      </c>
      <c r="E348" s="212" t="s">
        <v>839</v>
      </c>
      <c r="F348" s="213">
        <f>23249.84*0.2</f>
        <v>4649.9679999999998</v>
      </c>
      <c r="G348" s="212">
        <v>40</v>
      </c>
      <c r="H348" s="214">
        <v>42485</v>
      </c>
      <c r="I348" s="212"/>
      <c r="J348" s="212" t="s">
        <v>242</v>
      </c>
      <c r="K348" s="212"/>
      <c r="L348" s="212" t="s">
        <v>242</v>
      </c>
      <c r="M348" s="219" t="s">
        <v>242</v>
      </c>
      <c r="N348" s="286"/>
      <c r="O348" s="237"/>
    </row>
    <row r="349" spans="2:15" s="238" customFormat="1" ht="18.75" customHeight="1">
      <c r="B349" s="287" t="s">
        <v>689</v>
      </c>
      <c r="C349" s="287"/>
      <c r="D349" s="287"/>
      <c r="E349" s="215"/>
      <c r="F349" s="216">
        <f>SUM(F345:F348)</f>
        <v>37588.205000000002</v>
      </c>
      <c r="G349" s="217"/>
      <c r="H349" s="217"/>
      <c r="I349" s="217"/>
      <c r="J349" s="217"/>
      <c r="K349" s="217"/>
      <c r="L349" s="217"/>
      <c r="M349" s="217"/>
      <c r="N349" s="286"/>
      <c r="O349" s="237">
        <v>6</v>
      </c>
    </row>
    <row r="350" spans="2:15" s="238" customFormat="1">
      <c r="O350" s="237"/>
    </row>
    <row r="351" spans="2:15" s="238" customFormat="1" ht="36" customHeight="1">
      <c r="B351" s="203" t="s">
        <v>668</v>
      </c>
      <c r="C351" s="282" t="s">
        <v>14</v>
      </c>
      <c r="D351" s="282"/>
      <c r="E351" s="282"/>
      <c r="F351" s="282"/>
      <c r="G351" s="282"/>
      <c r="H351" s="282"/>
      <c r="I351" s="282"/>
      <c r="J351" s="282"/>
      <c r="K351" s="282"/>
      <c r="L351" s="282"/>
      <c r="M351" s="282"/>
      <c r="N351" s="282"/>
      <c r="O351" s="237"/>
    </row>
    <row r="352" spans="2:15" s="240" customFormat="1" ht="31.5">
      <c r="B352" s="283" t="s">
        <v>670</v>
      </c>
      <c r="C352" s="283"/>
      <c r="D352" s="283"/>
      <c r="E352" s="283"/>
      <c r="F352" s="283"/>
      <c r="G352" s="283"/>
      <c r="H352" s="283"/>
      <c r="I352" s="283"/>
      <c r="J352" s="204" t="s">
        <v>671</v>
      </c>
      <c r="K352" s="204" t="s">
        <v>672</v>
      </c>
      <c r="L352" s="204" t="s">
        <v>673</v>
      </c>
      <c r="M352" s="284" t="s">
        <v>674</v>
      </c>
      <c r="N352" s="204" t="s">
        <v>3</v>
      </c>
      <c r="O352" s="239"/>
    </row>
    <row r="353" spans="2:15" s="238" customFormat="1" ht="103.5" customHeight="1">
      <c r="B353" s="207" t="s">
        <v>675</v>
      </c>
      <c r="C353" s="208" t="s">
        <v>676</v>
      </c>
      <c r="D353" s="208" t="s">
        <v>677</v>
      </c>
      <c r="E353" s="208" t="s">
        <v>678</v>
      </c>
      <c r="F353" s="209" t="s">
        <v>679</v>
      </c>
      <c r="G353" s="209" t="s">
        <v>680</v>
      </c>
      <c r="H353" s="209" t="s">
        <v>681</v>
      </c>
      <c r="I353" s="209" t="s">
        <v>682</v>
      </c>
      <c r="J353" s="210" t="s">
        <v>683</v>
      </c>
      <c r="K353" s="210" t="s">
        <v>684</v>
      </c>
      <c r="L353" s="210" t="s">
        <v>685</v>
      </c>
      <c r="M353" s="285"/>
      <c r="N353" s="288" t="s">
        <v>246</v>
      </c>
      <c r="O353" s="237"/>
    </row>
    <row r="354" spans="2:15" s="238" customFormat="1" ht="97.5" customHeight="1">
      <c r="B354" s="211">
        <v>1</v>
      </c>
      <c r="C354" s="208" t="s">
        <v>840</v>
      </c>
      <c r="D354" s="212" t="s">
        <v>242</v>
      </c>
      <c r="E354" s="212" t="s">
        <v>841</v>
      </c>
      <c r="F354" s="213">
        <v>772.52</v>
      </c>
      <c r="G354" s="212">
        <v>272</v>
      </c>
      <c r="H354" s="214">
        <v>43258</v>
      </c>
      <c r="I354" s="212"/>
      <c r="J354" s="212"/>
      <c r="K354" s="212"/>
      <c r="L354" s="212"/>
      <c r="M354" s="219" t="s">
        <v>242</v>
      </c>
      <c r="N354" s="288"/>
      <c r="O354" s="237"/>
    </row>
    <row r="355" spans="2:15" s="238" customFormat="1" ht="97.5" customHeight="1">
      <c r="B355" s="211">
        <v>2</v>
      </c>
      <c r="C355" s="208" t="s">
        <v>842</v>
      </c>
      <c r="D355" s="212" t="s">
        <v>242</v>
      </c>
      <c r="E355" s="212" t="s">
        <v>841</v>
      </c>
      <c r="F355" s="213">
        <v>3439.9074999999998</v>
      </c>
      <c r="G355" s="212">
        <v>294</v>
      </c>
      <c r="H355" s="214">
        <v>44294</v>
      </c>
      <c r="I355" s="212"/>
      <c r="J355" s="212"/>
      <c r="K355" s="212"/>
      <c r="L355" s="212"/>
      <c r="M355" s="219" t="s">
        <v>242</v>
      </c>
      <c r="N355" s="288"/>
      <c r="O355" s="237"/>
    </row>
    <row r="356" spans="2:15" s="238" customFormat="1" ht="97.5" customHeight="1">
      <c r="B356" s="211">
        <v>3</v>
      </c>
      <c r="C356" s="208" t="s">
        <v>843</v>
      </c>
      <c r="D356" s="212" t="s">
        <v>242</v>
      </c>
      <c r="E356" s="212" t="s">
        <v>844</v>
      </c>
      <c r="F356" s="213">
        <v>126.34</v>
      </c>
      <c r="G356" s="212">
        <v>22</v>
      </c>
      <c r="H356" s="214">
        <v>43068</v>
      </c>
      <c r="I356" s="212"/>
      <c r="J356" s="212"/>
      <c r="K356" s="212"/>
      <c r="L356" s="212"/>
      <c r="M356" s="219" t="s">
        <v>242</v>
      </c>
      <c r="N356" s="288"/>
      <c r="O356" s="237"/>
    </row>
    <row r="357" spans="2:15" s="238" customFormat="1" ht="18.75" customHeight="1">
      <c r="B357" s="287" t="s">
        <v>689</v>
      </c>
      <c r="C357" s="287"/>
      <c r="D357" s="287"/>
      <c r="E357" s="215"/>
      <c r="F357" s="216">
        <f>SUM(F354:F356)</f>
        <v>4338.7674999999999</v>
      </c>
      <c r="G357" s="217"/>
      <c r="H357" s="217"/>
      <c r="I357" s="220" t="s">
        <v>128</v>
      </c>
      <c r="J357" s="217"/>
      <c r="K357" s="217"/>
      <c r="L357" s="217"/>
      <c r="M357" s="217"/>
      <c r="N357" s="288"/>
      <c r="O357" s="237">
        <v>5</v>
      </c>
    </row>
    <row r="358" spans="2:15" s="238" customFormat="1">
      <c r="O358" s="237"/>
    </row>
    <row r="359" spans="2:15" s="238" customFormat="1" ht="36" customHeight="1">
      <c r="B359" s="203" t="s">
        <v>668</v>
      </c>
      <c r="C359" s="282" t="s">
        <v>13</v>
      </c>
      <c r="D359" s="282"/>
      <c r="E359" s="282"/>
      <c r="F359" s="282"/>
      <c r="G359" s="282"/>
      <c r="H359" s="282"/>
      <c r="I359" s="282"/>
      <c r="J359" s="282"/>
      <c r="K359" s="282"/>
      <c r="L359" s="282"/>
      <c r="M359" s="282"/>
      <c r="N359" s="282"/>
      <c r="O359" s="237"/>
    </row>
    <row r="360" spans="2:15" s="240" customFormat="1" ht="31.5">
      <c r="B360" s="283" t="s">
        <v>670</v>
      </c>
      <c r="C360" s="283"/>
      <c r="D360" s="283"/>
      <c r="E360" s="283"/>
      <c r="F360" s="283"/>
      <c r="G360" s="283"/>
      <c r="H360" s="283"/>
      <c r="I360" s="283"/>
      <c r="J360" s="204" t="s">
        <v>671</v>
      </c>
      <c r="K360" s="204" t="s">
        <v>672</v>
      </c>
      <c r="L360" s="204" t="s">
        <v>673</v>
      </c>
      <c r="M360" s="284" t="s">
        <v>674</v>
      </c>
      <c r="N360" s="204" t="s">
        <v>3</v>
      </c>
      <c r="O360" s="239"/>
    </row>
    <row r="361" spans="2:15" s="238" customFormat="1" ht="103.5" customHeight="1">
      <c r="B361" s="207" t="s">
        <v>675</v>
      </c>
      <c r="C361" s="208" t="s">
        <v>676</v>
      </c>
      <c r="D361" s="208" t="s">
        <v>677</v>
      </c>
      <c r="E361" s="208" t="s">
        <v>678</v>
      </c>
      <c r="F361" s="209" t="s">
        <v>679</v>
      </c>
      <c r="G361" s="209" t="s">
        <v>680</v>
      </c>
      <c r="H361" s="209" t="s">
        <v>681</v>
      </c>
      <c r="I361" s="209" t="s">
        <v>682</v>
      </c>
      <c r="J361" s="210" t="s">
        <v>683</v>
      </c>
      <c r="K361" s="210" t="s">
        <v>684</v>
      </c>
      <c r="L361" s="210" t="s">
        <v>685</v>
      </c>
      <c r="M361" s="285"/>
      <c r="N361" s="286" t="s">
        <v>242</v>
      </c>
      <c r="O361" s="237"/>
    </row>
    <row r="362" spans="2:15" s="238" customFormat="1" ht="97.5" customHeight="1">
      <c r="B362" s="211">
        <v>1</v>
      </c>
      <c r="C362" s="208" t="s">
        <v>845</v>
      </c>
      <c r="D362" s="212" t="s">
        <v>242</v>
      </c>
      <c r="E362" s="212" t="s">
        <v>846</v>
      </c>
      <c r="F362" s="213">
        <f>24853.24*0.4</f>
        <v>9941.2960000000021</v>
      </c>
      <c r="G362" s="212" t="s">
        <v>847</v>
      </c>
      <c r="H362" s="214">
        <v>44193</v>
      </c>
      <c r="I362" s="212"/>
      <c r="J362" s="212" t="s">
        <v>242</v>
      </c>
      <c r="K362" s="218"/>
      <c r="L362" s="212" t="s">
        <v>242</v>
      </c>
      <c r="M362" s="219" t="s">
        <v>242</v>
      </c>
      <c r="N362" s="286"/>
      <c r="O362" s="237"/>
    </row>
    <row r="363" spans="2:15" s="238" customFormat="1" ht="97.5" customHeight="1">
      <c r="B363" s="211">
        <v>2</v>
      </c>
      <c r="C363" s="208" t="s">
        <v>848</v>
      </c>
      <c r="D363" s="212" t="s">
        <v>242</v>
      </c>
      <c r="E363" s="212" t="s">
        <v>846</v>
      </c>
      <c r="F363" s="213">
        <f>28763.34*0.5</f>
        <v>14381.67</v>
      </c>
      <c r="G363" s="212" t="s">
        <v>849</v>
      </c>
      <c r="H363" s="214">
        <v>43866</v>
      </c>
      <c r="I363" s="212"/>
      <c r="J363" s="212" t="s">
        <v>242</v>
      </c>
      <c r="K363" s="212" t="s">
        <v>242</v>
      </c>
      <c r="L363" s="212" t="s">
        <v>242</v>
      </c>
      <c r="M363" s="219" t="s">
        <v>242</v>
      </c>
      <c r="N363" s="286"/>
      <c r="O363" s="237"/>
    </row>
    <row r="364" spans="2:15" s="238" customFormat="1" ht="97.5" customHeight="1">
      <c r="B364" s="211">
        <v>3</v>
      </c>
      <c r="C364" s="208" t="s">
        <v>848</v>
      </c>
      <c r="D364" s="212" t="s">
        <v>242</v>
      </c>
      <c r="E364" s="212" t="s">
        <v>846</v>
      </c>
      <c r="F364" s="213">
        <f>47943.92*0.5</f>
        <v>23971.96</v>
      </c>
      <c r="G364" s="212" t="s">
        <v>850</v>
      </c>
      <c r="H364" s="214">
        <v>44889</v>
      </c>
      <c r="I364" s="212"/>
      <c r="J364" s="212" t="s">
        <v>242</v>
      </c>
      <c r="K364" s="212" t="s">
        <v>242</v>
      </c>
      <c r="L364" s="212" t="s">
        <v>242</v>
      </c>
      <c r="M364" s="219" t="s">
        <v>242</v>
      </c>
      <c r="N364" s="286"/>
      <c r="O364" s="237"/>
    </row>
    <row r="365" spans="2:15" s="238" customFormat="1" ht="18.75" customHeight="1">
      <c r="B365" s="287" t="s">
        <v>689</v>
      </c>
      <c r="C365" s="287"/>
      <c r="D365" s="287"/>
      <c r="E365" s="215"/>
      <c r="F365" s="216">
        <f>SUM(F362:F364)</f>
        <v>48294.925999999999</v>
      </c>
      <c r="G365" s="217"/>
      <c r="H365" s="217"/>
      <c r="I365" s="217" t="s">
        <v>242</v>
      </c>
      <c r="J365" s="217"/>
      <c r="K365" s="217"/>
      <c r="L365" s="217"/>
      <c r="M365" s="217"/>
      <c r="N365" s="286"/>
      <c r="O365" s="237">
        <v>4</v>
      </c>
    </row>
    <row r="366" spans="2:15" s="238" customFormat="1">
      <c r="O366" s="237"/>
    </row>
    <row r="367" spans="2:15" s="238" customFormat="1" ht="36" customHeight="1">
      <c r="B367" s="203" t="s">
        <v>668</v>
      </c>
      <c r="C367" s="282" t="s">
        <v>12</v>
      </c>
      <c r="D367" s="282"/>
      <c r="E367" s="282"/>
      <c r="F367" s="282"/>
      <c r="G367" s="282"/>
      <c r="H367" s="282"/>
      <c r="I367" s="282"/>
      <c r="J367" s="282"/>
      <c r="K367" s="282"/>
      <c r="L367" s="282"/>
      <c r="M367" s="282"/>
      <c r="N367" s="282"/>
      <c r="O367" s="237"/>
    </row>
    <row r="368" spans="2:15" s="240" customFormat="1" ht="31.5">
      <c r="B368" s="283" t="s">
        <v>670</v>
      </c>
      <c r="C368" s="283"/>
      <c r="D368" s="283"/>
      <c r="E368" s="283"/>
      <c r="F368" s="283"/>
      <c r="G368" s="283"/>
      <c r="H368" s="283"/>
      <c r="I368" s="283"/>
      <c r="J368" s="204" t="s">
        <v>671</v>
      </c>
      <c r="K368" s="204" t="s">
        <v>672</v>
      </c>
      <c r="L368" s="204" t="s">
        <v>673</v>
      </c>
      <c r="M368" s="284" t="s">
        <v>674</v>
      </c>
      <c r="N368" s="204" t="s">
        <v>3</v>
      </c>
      <c r="O368" s="239"/>
    </row>
    <row r="369" spans="2:15" s="238" customFormat="1" ht="103.5" customHeight="1">
      <c r="B369" s="207" t="s">
        <v>675</v>
      </c>
      <c r="C369" s="208" t="s">
        <v>676</v>
      </c>
      <c r="D369" s="208" t="s">
        <v>677</v>
      </c>
      <c r="E369" s="208" t="s">
        <v>678</v>
      </c>
      <c r="F369" s="209" t="s">
        <v>679</v>
      </c>
      <c r="G369" s="209" t="s">
        <v>680</v>
      </c>
      <c r="H369" s="209" t="s">
        <v>681</v>
      </c>
      <c r="I369" s="209" t="s">
        <v>682</v>
      </c>
      <c r="J369" s="210" t="s">
        <v>683</v>
      </c>
      <c r="K369" s="210" t="s">
        <v>684</v>
      </c>
      <c r="L369" s="210" t="s">
        <v>685</v>
      </c>
      <c r="M369" s="285"/>
      <c r="N369" s="288" t="s">
        <v>802</v>
      </c>
      <c r="O369" s="237"/>
    </row>
    <row r="370" spans="2:15" s="238" customFormat="1" ht="97.5" customHeight="1">
      <c r="B370" s="211">
        <v>1</v>
      </c>
      <c r="C370" s="208" t="s">
        <v>879</v>
      </c>
      <c r="D370" s="212" t="s">
        <v>242</v>
      </c>
      <c r="E370" s="212" t="s">
        <v>851</v>
      </c>
      <c r="F370" s="213">
        <f>15618.63*0.5</f>
        <v>7809.3149999999996</v>
      </c>
      <c r="G370" s="212">
        <v>109</v>
      </c>
      <c r="H370" s="214">
        <v>44120</v>
      </c>
      <c r="I370" s="212"/>
      <c r="J370" s="212" t="s">
        <v>242</v>
      </c>
      <c r="K370" s="212" t="s">
        <v>128</v>
      </c>
      <c r="L370" s="212" t="s">
        <v>242</v>
      </c>
      <c r="M370" s="219" t="s">
        <v>242</v>
      </c>
      <c r="N370" s="288"/>
      <c r="O370" s="237"/>
    </row>
    <row r="371" spans="2:15" s="238" customFormat="1" ht="97.5" customHeight="1">
      <c r="B371" s="211">
        <v>2</v>
      </c>
      <c r="C371" s="208" t="s">
        <v>880</v>
      </c>
      <c r="D371" s="212" t="s">
        <v>242</v>
      </c>
      <c r="E371" s="212" t="s">
        <v>275</v>
      </c>
      <c r="F371" s="213">
        <f>1658.72*0.9</f>
        <v>1492.848</v>
      </c>
      <c r="G371" s="212">
        <v>78</v>
      </c>
      <c r="H371" s="214">
        <v>44900</v>
      </c>
      <c r="I371" s="212"/>
      <c r="J371" s="212" t="s">
        <v>128</v>
      </c>
      <c r="K371" s="212" t="s">
        <v>128</v>
      </c>
      <c r="L371" s="212"/>
      <c r="M371" s="219" t="s">
        <v>242</v>
      </c>
      <c r="N371" s="288"/>
      <c r="O371" s="237"/>
    </row>
    <row r="372" spans="2:15" s="238" customFormat="1" ht="18.75" customHeight="1">
      <c r="B372" s="287" t="s">
        <v>689</v>
      </c>
      <c r="C372" s="287"/>
      <c r="D372" s="287"/>
      <c r="E372" s="215"/>
      <c r="F372" s="216">
        <f>+F370</f>
        <v>7809.3149999999996</v>
      </c>
      <c r="G372" s="217"/>
      <c r="H372" s="217"/>
      <c r="I372" s="217" t="s">
        <v>242</v>
      </c>
      <c r="J372" s="217"/>
      <c r="K372" s="217"/>
      <c r="L372" s="217"/>
      <c r="M372" s="217"/>
      <c r="N372" s="288"/>
      <c r="O372" s="237">
        <v>3</v>
      </c>
    </row>
    <row r="373" spans="2:15" s="238" customFormat="1">
      <c r="O373" s="237"/>
    </row>
    <row r="374" spans="2:15" s="238" customFormat="1" ht="36" customHeight="1">
      <c r="B374" s="203" t="s">
        <v>668</v>
      </c>
      <c r="C374" s="282" t="s">
        <v>11</v>
      </c>
      <c r="D374" s="282"/>
      <c r="E374" s="282"/>
      <c r="F374" s="282"/>
      <c r="G374" s="282"/>
      <c r="H374" s="282"/>
      <c r="I374" s="282"/>
      <c r="J374" s="282"/>
      <c r="K374" s="282"/>
      <c r="L374" s="282"/>
      <c r="M374" s="282"/>
      <c r="N374" s="282"/>
      <c r="O374" s="237"/>
    </row>
    <row r="375" spans="2:15" s="240" customFormat="1" ht="39.75" customHeight="1">
      <c r="B375" s="283" t="s">
        <v>670</v>
      </c>
      <c r="C375" s="283"/>
      <c r="D375" s="283"/>
      <c r="E375" s="283"/>
      <c r="F375" s="283"/>
      <c r="G375" s="283"/>
      <c r="H375" s="283"/>
      <c r="I375" s="283"/>
      <c r="J375" s="204" t="s">
        <v>671</v>
      </c>
      <c r="K375" s="204" t="s">
        <v>672</v>
      </c>
      <c r="L375" s="204" t="s">
        <v>673</v>
      </c>
      <c r="M375" s="284" t="s">
        <v>674</v>
      </c>
      <c r="N375" s="204" t="s">
        <v>3</v>
      </c>
      <c r="O375" s="239"/>
    </row>
    <row r="376" spans="2:15" s="238" customFormat="1" ht="103.5" customHeight="1">
      <c r="B376" s="207" t="s">
        <v>675</v>
      </c>
      <c r="C376" s="208" t="s">
        <v>676</v>
      </c>
      <c r="D376" s="208" t="s">
        <v>677</v>
      </c>
      <c r="E376" s="208" t="s">
        <v>678</v>
      </c>
      <c r="F376" s="209" t="s">
        <v>679</v>
      </c>
      <c r="G376" s="209" t="s">
        <v>680</v>
      </c>
      <c r="H376" s="209" t="s">
        <v>681</v>
      </c>
      <c r="I376" s="209" t="s">
        <v>682</v>
      </c>
      <c r="J376" s="210" t="s">
        <v>683</v>
      </c>
      <c r="K376" s="210" t="s">
        <v>684</v>
      </c>
      <c r="L376" s="210" t="s">
        <v>685</v>
      </c>
      <c r="M376" s="285"/>
      <c r="N376" s="286" t="s">
        <v>242</v>
      </c>
      <c r="O376" s="237"/>
    </row>
    <row r="377" spans="2:15" s="238" customFormat="1" ht="97.5" customHeight="1">
      <c r="B377" s="211">
        <v>1</v>
      </c>
      <c r="C377" s="208" t="s">
        <v>852</v>
      </c>
      <c r="D377" s="212" t="s">
        <v>242</v>
      </c>
      <c r="E377" s="212" t="s">
        <v>853</v>
      </c>
      <c r="F377" s="213">
        <f>24191.72*0.2</f>
        <v>4838.3440000000001</v>
      </c>
      <c r="G377" s="212">
        <v>35</v>
      </c>
      <c r="H377" s="214">
        <v>41977</v>
      </c>
      <c r="I377" s="212"/>
      <c r="J377" s="212" t="s">
        <v>242</v>
      </c>
      <c r="K377" s="218"/>
      <c r="L377" s="212" t="s">
        <v>242</v>
      </c>
      <c r="M377" s="219" t="s">
        <v>242</v>
      </c>
      <c r="N377" s="286"/>
      <c r="O377" s="237"/>
    </row>
    <row r="378" spans="2:15" s="238" customFormat="1" ht="97.5" customHeight="1">
      <c r="B378" s="211">
        <v>2</v>
      </c>
      <c r="C378" s="208" t="s">
        <v>854</v>
      </c>
      <c r="D378" s="212" t="s">
        <v>242</v>
      </c>
      <c r="E378" s="212" t="s">
        <v>853</v>
      </c>
      <c r="F378" s="213">
        <v>5596.94</v>
      </c>
      <c r="G378" s="212">
        <v>7</v>
      </c>
      <c r="H378" s="214">
        <v>40310</v>
      </c>
      <c r="I378" s="212"/>
      <c r="J378" s="212" t="s">
        <v>242</v>
      </c>
      <c r="K378" s="212" t="s">
        <v>242</v>
      </c>
      <c r="L378" s="212"/>
      <c r="M378" s="219" t="s">
        <v>242</v>
      </c>
      <c r="N378" s="286"/>
      <c r="O378" s="237"/>
    </row>
    <row r="379" spans="2:15" s="238" customFormat="1" ht="18.75" customHeight="1">
      <c r="B379" s="287" t="s">
        <v>689</v>
      </c>
      <c r="C379" s="287"/>
      <c r="D379" s="287"/>
      <c r="E379" s="215"/>
      <c r="F379" s="216">
        <f>SUM(F377:F378)</f>
        <v>10435.284</v>
      </c>
      <c r="G379" s="217"/>
      <c r="H379" s="217"/>
      <c r="I379" s="217" t="s">
        <v>242</v>
      </c>
      <c r="J379" s="217"/>
      <c r="K379" s="217"/>
      <c r="L379" s="217"/>
      <c r="M379" s="217"/>
      <c r="N379" s="286"/>
      <c r="O379" s="237">
        <v>2</v>
      </c>
    </row>
    <row r="380" spans="2:15" s="238" customFormat="1">
      <c r="O380" s="237"/>
    </row>
    <row r="381" spans="2:15" s="238" customFormat="1" ht="36" customHeight="1">
      <c r="B381" s="203" t="s">
        <v>668</v>
      </c>
      <c r="C381" s="282" t="s">
        <v>10</v>
      </c>
      <c r="D381" s="282"/>
      <c r="E381" s="282"/>
      <c r="F381" s="282"/>
      <c r="G381" s="282"/>
      <c r="H381" s="282"/>
      <c r="I381" s="282"/>
      <c r="J381" s="282"/>
      <c r="K381" s="282"/>
      <c r="L381" s="282"/>
      <c r="M381" s="282"/>
      <c r="N381" s="282"/>
      <c r="O381" s="237"/>
    </row>
    <row r="382" spans="2:15" s="240" customFormat="1" ht="31.5">
      <c r="B382" s="283" t="s">
        <v>670</v>
      </c>
      <c r="C382" s="283"/>
      <c r="D382" s="283"/>
      <c r="E382" s="283"/>
      <c r="F382" s="283"/>
      <c r="G382" s="283"/>
      <c r="H382" s="283"/>
      <c r="I382" s="283"/>
      <c r="J382" s="204" t="s">
        <v>671</v>
      </c>
      <c r="K382" s="204" t="s">
        <v>672</v>
      </c>
      <c r="L382" s="204" t="s">
        <v>673</v>
      </c>
      <c r="M382" s="284" t="s">
        <v>674</v>
      </c>
      <c r="N382" s="204" t="s">
        <v>3</v>
      </c>
      <c r="O382" s="239"/>
    </row>
    <row r="383" spans="2:15" s="238" customFormat="1" ht="103.5" customHeight="1">
      <c r="B383" s="207" t="s">
        <v>675</v>
      </c>
      <c r="C383" s="208" t="s">
        <v>676</v>
      </c>
      <c r="D383" s="208" t="s">
        <v>677</v>
      </c>
      <c r="E383" s="208" t="s">
        <v>678</v>
      </c>
      <c r="F383" s="209" t="s">
        <v>679</v>
      </c>
      <c r="G383" s="209" t="s">
        <v>680</v>
      </c>
      <c r="H383" s="209" t="s">
        <v>681</v>
      </c>
      <c r="I383" s="209" t="s">
        <v>682</v>
      </c>
      <c r="J383" s="210" t="s">
        <v>683</v>
      </c>
      <c r="K383" s="210" t="s">
        <v>684</v>
      </c>
      <c r="L383" s="210" t="s">
        <v>685</v>
      </c>
      <c r="M383" s="285"/>
      <c r="N383" s="286" t="s">
        <v>242</v>
      </c>
      <c r="O383" s="237"/>
    </row>
    <row r="384" spans="2:15" s="238" customFormat="1" ht="97.5" customHeight="1">
      <c r="B384" s="211">
        <v>1</v>
      </c>
      <c r="C384" s="208" t="s">
        <v>855</v>
      </c>
      <c r="D384" s="212" t="s">
        <v>242</v>
      </c>
      <c r="E384" s="212" t="s">
        <v>856</v>
      </c>
      <c r="F384" s="213">
        <v>21361.22</v>
      </c>
      <c r="G384" s="212">
        <v>143</v>
      </c>
      <c r="H384" s="214">
        <v>41827</v>
      </c>
      <c r="I384" s="212"/>
      <c r="J384" s="212" t="s">
        <v>242</v>
      </c>
      <c r="K384" s="212" t="s">
        <v>242</v>
      </c>
      <c r="L384" s="212" t="s">
        <v>242</v>
      </c>
      <c r="M384" s="219" t="s">
        <v>242</v>
      </c>
      <c r="N384" s="286"/>
      <c r="O384" s="237"/>
    </row>
    <row r="385" spans="2:15" s="238" customFormat="1" ht="97.5" customHeight="1">
      <c r="B385" s="211">
        <v>2</v>
      </c>
      <c r="C385" s="208" t="s">
        <v>857</v>
      </c>
      <c r="D385" s="212" t="s">
        <v>242</v>
      </c>
      <c r="E385" s="212" t="s">
        <v>858</v>
      </c>
      <c r="F385" s="213">
        <v>8514.1299999999992</v>
      </c>
      <c r="G385" s="212">
        <v>110</v>
      </c>
      <c r="H385" s="214">
        <v>40541</v>
      </c>
      <c r="I385" s="212"/>
      <c r="J385" s="212" t="s">
        <v>242</v>
      </c>
      <c r="K385" s="218"/>
      <c r="L385" s="218"/>
      <c r="M385" s="219" t="s">
        <v>242</v>
      </c>
      <c r="N385" s="286"/>
      <c r="O385" s="237"/>
    </row>
    <row r="386" spans="2:15" s="238" customFormat="1" ht="97.5" customHeight="1">
      <c r="B386" s="211">
        <v>3</v>
      </c>
      <c r="C386" s="208" t="s">
        <v>859</v>
      </c>
      <c r="D386" s="212" t="s">
        <v>242</v>
      </c>
      <c r="E386" s="212" t="s">
        <v>860</v>
      </c>
      <c r="F386" s="213">
        <f>8001.12*0.5</f>
        <v>4000.56</v>
      </c>
      <c r="G386" s="212">
        <v>21</v>
      </c>
      <c r="H386" s="214">
        <v>44970</v>
      </c>
      <c r="I386" s="212"/>
      <c r="J386" s="212" t="s">
        <v>242</v>
      </c>
      <c r="K386" s="212"/>
      <c r="L386" s="212"/>
      <c r="M386" s="219" t="s">
        <v>242</v>
      </c>
      <c r="N386" s="286"/>
      <c r="O386" s="237"/>
    </row>
    <row r="387" spans="2:15" s="238" customFormat="1" ht="18.75" customHeight="1">
      <c r="B387" s="287" t="s">
        <v>689</v>
      </c>
      <c r="C387" s="287"/>
      <c r="D387" s="287"/>
      <c r="E387" s="215"/>
      <c r="F387" s="216">
        <f>SUM(F384:F386)</f>
        <v>33875.909999999996</v>
      </c>
      <c r="G387" s="217"/>
      <c r="H387" s="217"/>
      <c r="I387" s="217" t="s">
        <v>242</v>
      </c>
      <c r="J387" s="217"/>
      <c r="K387" s="217"/>
      <c r="L387" s="217"/>
      <c r="M387" s="217"/>
      <c r="N387" s="286"/>
      <c r="O387" s="237">
        <v>1</v>
      </c>
    </row>
    <row r="391" spans="2:15">
      <c r="B391" s="102" t="s">
        <v>861</v>
      </c>
    </row>
    <row r="392" spans="2:15">
      <c r="B392" s="102" t="s">
        <v>862</v>
      </c>
    </row>
    <row r="398" spans="2:15">
      <c r="B398" s="102" t="s">
        <v>863</v>
      </c>
    </row>
    <row r="399" spans="2:15">
      <c r="B399" s="102" t="s">
        <v>864</v>
      </c>
    </row>
    <row r="442" spans="15:15" s="238" customFormat="1">
      <c r="O442" s="237"/>
    </row>
    <row r="449" spans="15:15" s="238" customFormat="1">
      <c r="O449" s="237"/>
    </row>
    <row r="459" spans="15:15" s="238" customFormat="1">
      <c r="O459" s="237"/>
    </row>
  </sheetData>
  <mergeCells count="281">
    <mergeCell ref="C11:N11"/>
    <mergeCell ref="B12:I12"/>
    <mergeCell ref="M12:M13"/>
    <mergeCell ref="N13:N17"/>
    <mergeCell ref="B17:D17"/>
    <mergeCell ref="C19:N19"/>
    <mergeCell ref="B2:N2"/>
    <mergeCell ref="B3:N3"/>
    <mergeCell ref="B4:N4"/>
    <mergeCell ref="B6:N6"/>
    <mergeCell ref="B7:N7"/>
    <mergeCell ref="B9:C9"/>
    <mergeCell ref="B20:I20"/>
    <mergeCell ref="M20:M21"/>
    <mergeCell ref="N21:N24"/>
    <mergeCell ref="B24:D24"/>
    <mergeCell ref="C26:N26"/>
    <mergeCell ref="B27:I27"/>
    <mergeCell ref="M27:M28"/>
    <mergeCell ref="N28:N32"/>
    <mergeCell ref="C29:C30"/>
    <mergeCell ref="D29:D30"/>
    <mergeCell ref="B32:D32"/>
    <mergeCell ref="C34:N34"/>
    <mergeCell ref="B35:I35"/>
    <mergeCell ref="M35:M36"/>
    <mergeCell ref="N36:N39"/>
    <mergeCell ref="B39:D39"/>
    <mergeCell ref="F29:F30"/>
    <mergeCell ref="H29:H30"/>
    <mergeCell ref="I29:I30"/>
    <mergeCell ref="J29:J30"/>
    <mergeCell ref="K29:K30"/>
    <mergeCell ref="L29:L30"/>
    <mergeCell ref="B49:I49"/>
    <mergeCell ref="M49:M50"/>
    <mergeCell ref="N50:N53"/>
    <mergeCell ref="M51:M52"/>
    <mergeCell ref="B53:D53"/>
    <mergeCell ref="C55:N55"/>
    <mergeCell ref="C41:N41"/>
    <mergeCell ref="B42:I42"/>
    <mergeCell ref="M42:M43"/>
    <mergeCell ref="N43:N46"/>
    <mergeCell ref="B46:D46"/>
    <mergeCell ref="C48:N48"/>
    <mergeCell ref="B64:I64"/>
    <mergeCell ref="M64:M65"/>
    <mergeCell ref="N65:N68"/>
    <mergeCell ref="M66:M67"/>
    <mergeCell ref="B68:D68"/>
    <mergeCell ref="C70:N70"/>
    <mergeCell ref="B56:I56"/>
    <mergeCell ref="M56:M57"/>
    <mergeCell ref="N57:N61"/>
    <mergeCell ref="M58:M60"/>
    <mergeCell ref="B61:D61"/>
    <mergeCell ref="C63:N63"/>
    <mergeCell ref="B71:I71"/>
    <mergeCell ref="M71:M72"/>
    <mergeCell ref="N72:N75"/>
    <mergeCell ref="B75:D75"/>
    <mergeCell ref="C77:N77"/>
    <mergeCell ref="B78:I78"/>
    <mergeCell ref="M78:M79"/>
    <mergeCell ref="N79:N82"/>
    <mergeCell ref="B82:D82"/>
    <mergeCell ref="C84:N84"/>
    <mergeCell ref="B85:I85"/>
    <mergeCell ref="M85:M86"/>
    <mergeCell ref="N86:N93"/>
    <mergeCell ref="B88:B89"/>
    <mergeCell ref="C88:C89"/>
    <mergeCell ref="D88:D89"/>
    <mergeCell ref="F88:F89"/>
    <mergeCell ref="H88:H89"/>
    <mergeCell ref="I88:I89"/>
    <mergeCell ref="C104:N104"/>
    <mergeCell ref="B105:I105"/>
    <mergeCell ref="M105:M106"/>
    <mergeCell ref="N106:N109"/>
    <mergeCell ref="B109:D109"/>
    <mergeCell ref="C111:N111"/>
    <mergeCell ref="J88:J89"/>
    <mergeCell ref="K88:K89"/>
    <mergeCell ref="L88:L89"/>
    <mergeCell ref="B93:D93"/>
    <mergeCell ref="C95:N95"/>
    <mergeCell ref="B96:I96"/>
    <mergeCell ref="M96:M97"/>
    <mergeCell ref="N97:N102"/>
    <mergeCell ref="B102:D102"/>
    <mergeCell ref="C126:N126"/>
    <mergeCell ref="B127:I127"/>
    <mergeCell ref="M127:M128"/>
    <mergeCell ref="N128:N131"/>
    <mergeCell ref="B131:D131"/>
    <mergeCell ref="C133:N133"/>
    <mergeCell ref="B112:I112"/>
    <mergeCell ref="M112:M113"/>
    <mergeCell ref="N113:N117"/>
    <mergeCell ref="B117:D117"/>
    <mergeCell ref="C119:N119"/>
    <mergeCell ref="B120:I120"/>
    <mergeCell ref="M120:M121"/>
    <mergeCell ref="N121:N124"/>
    <mergeCell ref="B124:D124"/>
    <mergeCell ref="C147:N147"/>
    <mergeCell ref="B148:I148"/>
    <mergeCell ref="M148:M149"/>
    <mergeCell ref="N149:N154"/>
    <mergeCell ref="B154:D154"/>
    <mergeCell ref="C156:N156"/>
    <mergeCell ref="B134:I134"/>
    <mergeCell ref="M134:M135"/>
    <mergeCell ref="N135:N138"/>
    <mergeCell ref="B138:D138"/>
    <mergeCell ref="C140:N140"/>
    <mergeCell ref="B141:I141"/>
    <mergeCell ref="M141:M142"/>
    <mergeCell ref="N142:N145"/>
    <mergeCell ref="B145:D145"/>
    <mergeCell ref="C171:N171"/>
    <mergeCell ref="B172:I172"/>
    <mergeCell ref="M172:M173"/>
    <mergeCell ref="N173:N175"/>
    <mergeCell ref="B175:D175"/>
    <mergeCell ref="C177:N177"/>
    <mergeCell ref="B157:I157"/>
    <mergeCell ref="M157:M158"/>
    <mergeCell ref="N158:N162"/>
    <mergeCell ref="B162:D162"/>
    <mergeCell ref="C164:N164"/>
    <mergeCell ref="B165:I165"/>
    <mergeCell ref="M165:M166"/>
    <mergeCell ref="N166:N169"/>
    <mergeCell ref="B169:D169"/>
    <mergeCell ref="C193:N193"/>
    <mergeCell ref="B194:I194"/>
    <mergeCell ref="M194:M195"/>
    <mergeCell ref="N195:N198"/>
    <mergeCell ref="B198:D198"/>
    <mergeCell ref="C200:N200"/>
    <mergeCell ref="B178:I178"/>
    <mergeCell ref="M178:M179"/>
    <mergeCell ref="N179:N183"/>
    <mergeCell ref="B183:D183"/>
    <mergeCell ref="C185:N185"/>
    <mergeCell ref="B186:I186"/>
    <mergeCell ref="M186:M187"/>
    <mergeCell ref="N187:N191"/>
    <mergeCell ref="B191:D191"/>
    <mergeCell ref="C214:N214"/>
    <mergeCell ref="B215:I215"/>
    <mergeCell ref="M215:M216"/>
    <mergeCell ref="N216:N219"/>
    <mergeCell ref="B219:D219"/>
    <mergeCell ref="C221:N221"/>
    <mergeCell ref="B201:I201"/>
    <mergeCell ref="M201:M202"/>
    <mergeCell ref="N202:N205"/>
    <mergeCell ref="B205:D205"/>
    <mergeCell ref="C207:N207"/>
    <mergeCell ref="B208:I208"/>
    <mergeCell ref="M208:M209"/>
    <mergeCell ref="N209:N212"/>
    <mergeCell ref="B212:D212"/>
    <mergeCell ref="B222:I222"/>
    <mergeCell ref="M222:M223"/>
    <mergeCell ref="N223:N229"/>
    <mergeCell ref="B227:B228"/>
    <mergeCell ref="C227:C228"/>
    <mergeCell ref="D227:D228"/>
    <mergeCell ref="F227:F228"/>
    <mergeCell ref="G227:G228"/>
    <mergeCell ref="H227:H228"/>
    <mergeCell ref="I227:I228"/>
    <mergeCell ref="C238:N238"/>
    <mergeCell ref="B239:I239"/>
    <mergeCell ref="M239:M240"/>
    <mergeCell ref="N240:N243"/>
    <mergeCell ref="B243:D243"/>
    <mergeCell ref="C245:N245"/>
    <mergeCell ref="J227:J228"/>
    <mergeCell ref="K227:K228"/>
    <mergeCell ref="L227:L228"/>
    <mergeCell ref="B229:D229"/>
    <mergeCell ref="C231:N231"/>
    <mergeCell ref="B232:I232"/>
    <mergeCell ref="M232:M233"/>
    <mergeCell ref="N233:N236"/>
    <mergeCell ref="B236:D236"/>
    <mergeCell ref="C260:N260"/>
    <mergeCell ref="B261:I261"/>
    <mergeCell ref="M261:M262"/>
    <mergeCell ref="N262:N267"/>
    <mergeCell ref="B267:D267"/>
    <mergeCell ref="C269:N269"/>
    <mergeCell ref="B246:I246"/>
    <mergeCell ref="M246:M247"/>
    <mergeCell ref="N247:N251"/>
    <mergeCell ref="B251:D251"/>
    <mergeCell ref="C253:N253"/>
    <mergeCell ref="B254:I254"/>
    <mergeCell ref="M254:M255"/>
    <mergeCell ref="N255:N258"/>
    <mergeCell ref="B258:D258"/>
    <mergeCell ref="C287:N287"/>
    <mergeCell ref="B288:I288"/>
    <mergeCell ref="M288:M289"/>
    <mergeCell ref="N289:N294"/>
    <mergeCell ref="B294:D294"/>
    <mergeCell ref="C296:N296"/>
    <mergeCell ref="B270:I270"/>
    <mergeCell ref="M270:M271"/>
    <mergeCell ref="N271:N274"/>
    <mergeCell ref="B274:D274"/>
    <mergeCell ref="C276:N276"/>
    <mergeCell ref="B277:I277"/>
    <mergeCell ref="M277:M278"/>
    <mergeCell ref="N278:N285"/>
    <mergeCell ref="B285:D285"/>
    <mergeCell ref="B297:I297"/>
    <mergeCell ref="M297:M298"/>
    <mergeCell ref="N298:N303"/>
    <mergeCell ref="B303:D303"/>
    <mergeCell ref="C306:N306"/>
    <mergeCell ref="B307:I307"/>
    <mergeCell ref="M307:M308"/>
    <mergeCell ref="N308:N313"/>
    <mergeCell ref="B313:D313"/>
    <mergeCell ref="C315:N315"/>
    <mergeCell ref="B316:I316"/>
    <mergeCell ref="M316:M317"/>
    <mergeCell ref="N317:N320"/>
    <mergeCell ref="B320:D320"/>
    <mergeCell ref="C322:N322"/>
    <mergeCell ref="B323:I323"/>
    <mergeCell ref="M323:M324"/>
    <mergeCell ref="N324:N326"/>
    <mergeCell ref="B326:D326"/>
    <mergeCell ref="C328:N328"/>
    <mergeCell ref="B329:I329"/>
    <mergeCell ref="M329:M330"/>
    <mergeCell ref="N330:N333"/>
    <mergeCell ref="C351:N351"/>
    <mergeCell ref="B352:I352"/>
    <mergeCell ref="M352:M353"/>
    <mergeCell ref="N353:N357"/>
    <mergeCell ref="B357:D357"/>
    <mergeCell ref="B333:D333"/>
    <mergeCell ref="C335:N335"/>
    <mergeCell ref="B336:I336"/>
    <mergeCell ref="M336:M337"/>
    <mergeCell ref="N337:N340"/>
    <mergeCell ref="B340:D340"/>
    <mergeCell ref="C342:N342"/>
    <mergeCell ref="B343:I343"/>
    <mergeCell ref="M343:M344"/>
    <mergeCell ref="N344:N349"/>
    <mergeCell ref="B349:D349"/>
    <mergeCell ref="C359:N359"/>
    <mergeCell ref="B360:I360"/>
    <mergeCell ref="M360:M361"/>
    <mergeCell ref="N361:N365"/>
    <mergeCell ref="C381:N381"/>
    <mergeCell ref="B382:I382"/>
    <mergeCell ref="M382:M383"/>
    <mergeCell ref="N383:N387"/>
    <mergeCell ref="B387:D387"/>
    <mergeCell ref="B365:D365"/>
    <mergeCell ref="C367:N367"/>
    <mergeCell ref="B368:I368"/>
    <mergeCell ref="M368:M369"/>
    <mergeCell ref="N369:N372"/>
    <mergeCell ref="B372:D372"/>
    <mergeCell ref="C374:N374"/>
    <mergeCell ref="B375:I375"/>
    <mergeCell ref="M375:M376"/>
    <mergeCell ref="N376:N379"/>
    <mergeCell ref="B379:D37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1"/>
  <sheetViews>
    <sheetView workbookViewId="0">
      <selection activeCell="D16" sqref="D16"/>
    </sheetView>
  </sheetViews>
  <sheetFormatPr baseColWidth="10" defaultColWidth="11.42578125" defaultRowHeight="15"/>
  <cols>
    <col min="1" max="1" width="4.28515625" style="103" customWidth="1"/>
    <col min="2" max="2" width="4.5703125" style="103" bestFit="1" customWidth="1"/>
    <col min="3" max="3" width="38.7109375" style="103" customWidth="1"/>
    <col min="4" max="4" width="16.7109375" style="103" customWidth="1"/>
    <col min="5" max="5" width="62.28515625" style="104" customWidth="1"/>
    <col min="6" max="16384" width="11.42578125" style="103"/>
  </cols>
  <sheetData>
    <row r="1" spans="1:5">
      <c r="D1" s="104"/>
    </row>
    <row r="2" spans="1:5">
      <c r="A2" s="453" t="s">
        <v>0</v>
      </c>
      <c r="B2" s="453"/>
      <c r="C2" s="453"/>
      <c r="D2" s="453"/>
      <c r="E2" s="453"/>
    </row>
    <row r="3" spans="1:5">
      <c r="A3" s="453" t="s">
        <v>1</v>
      </c>
      <c r="B3" s="453"/>
      <c r="C3" s="453"/>
      <c r="D3" s="453"/>
      <c r="E3" s="453"/>
    </row>
    <row r="4" spans="1:5">
      <c r="A4" s="453" t="s">
        <v>2</v>
      </c>
      <c r="B4" s="453"/>
      <c r="C4" s="453"/>
      <c r="D4" s="453"/>
      <c r="E4" s="453"/>
    </row>
    <row r="5" spans="1:5">
      <c r="A5" s="253"/>
      <c r="B5" s="253"/>
      <c r="C5" s="253"/>
      <c r="D5" s="253"/>
      <c r="E5" s="253"/>
    </row>
    <row r="6" spans="1:5">
      <c r="A6" s="453" t="s">
        <v>69</v>
      </c>
      <c r="B6" s="453"/>
      <c r="C6" s="453"/>
      <c r="D6" s="453"/>
      <c r="E6" s="453"/>
    </row>
    <row r="7" spans="1:5">
      <c r="A7" s="254"/>
      <c r="B7" s="454" t="s">
        <v>865</v>
      </c>
      <c r="C7" s="454"/>
      <c r="D7" s="454"/>
      <c r="E7" s="454"/>
    </row>
    <row r="8" spans="1:5">
      <c r="A8" s="255"/>
      <c r="B8" s="454"/>
      <c r="C8" s="454"/>
      <c r="D8" s="454"/>
      <c r="E8" s="454"/>
    </row>
    <row r="9" spans="1:5">
      <c r="A9" s="104"/>
      <c r="B9" s="4" t="s">
        <v>866</v>
      </c>
      <c r="C9" s="4" t="s">
        <v>867</v>
      </c>
      <c r="D9" s="4" t="s">
        <v>75</v>
      </c>
      <c r="E9" s="4" t="s">
        <v>3</v>
      </c>
    </row>
    <row r="10" spans="1:5">
      <c r="A10" s="104"/>
      <c r="B10" s="256">
        <v>1</v>
      </c>
      <c r="C10" s="187" t="s">
        <v>10</v>
      </c>
      <c r="D10" s="99" t="s">
        <v>242</v>
      </c>
      <c r="E10" s="257"/>
    </row>
    <row r="11" spans="1:5">
      <c r="A11" s="104"/>
      <c r="B11" s="256">
        <v>2</v>
      </c>
      <c r="C11" s="187" t="s">
        <v>11</v>
      </c>
      <c r="D11" s="99" t="s">
        <v>242</v>
      </c>
      <c r="E11" s="258"/>
    </row>
    <row r="12" spans="1:5">
      <c r="B12" s="256">
        <v>3</v>
      </c>
      <c r="C12" s="187" t="s">
        <v>12</v>
      </c>
      <c r="D12" s="99" t="s">
        <v>242</v>
      </c>
      <c r="E12" s="257"/>
    </row>
    <row r="13" spans="1:5">
      <c r="B13" s="256">
        <v>4</v>
      </c>
      <c r="C13" s="187" t="s">
        <v>13</v>
      </c>
      <c r="D13" s="99" t="s">
        <v>242</v>
      </c>
      <c r="E13" s="257"/>
    </row>
    <row r="14" spans="1:5" ht="18">
      <c r="B14" s="256">
        <v>5</v>
      </c>
      <c r="C14" s="187" t="s">
        <v>14</v>
      </c>
      <c r="D14" s="259" t="s">
        <v>128</v>
      </c>
      <c r="E14" s="257" t="s">
        <v>868</v>
      </c>
    </row>
    <row r="15" spans="1:5">
      <c r="B15" s="256">
        <v>6</v>
      </c>
      <c r="C15" s="187" t="s">
        <v>15</v>
      </c>
      <c r="D15" s="99" t="s">
        <v>242</v>
      </c>
      <c r="E15" s="257"/>
    </row>
    <row r="16" spans="1:5">
      <c r="B16" s="256">
        <v>7</v>
      </c>
      <c r="C16" s="187" t="s">
        <v>16</v>
      </c>
      <c r="D16" s="187"/>
      <c r="E16" s="257" t="s">
        <v>764</v>
      </c>
    </row>
    <row r="17" spans="2:5">
      <c r="B17" s="256">
        <v>8</v>
      </c>
      <c r="C17" s="187" t="s">
        <v>17</v>
      </c>
      <c r="D17" s="99" t="s">
        <v>242</v>
      </c>
      <c r="E17" s="257"/>
    </row>
    <row r="18" spans="2:5">
      <c r="B18" s="256">
        <v>9</v>
      </c>
      <c r="C18" s="187" t="s">
        <v>825</v>
      </c>
      <c r="D18" s="99" t="s">
        <v>242</v>
      </c>
      <c r="E18" s="257"/>
    </row>
    <row r="19" spans="2:5">
      <c r="B19" s="256">
        <v>10</v>
      </c>
      <c r="C19" s="187" t="s">
        <v>19</v>
      </c>
      <c r="D19" s="99" t="s">
        <v>242</v>
      </c>
      <c r="E19" s="257"/>
    </row>
    <row r="20" spans="2:5">
      <c r="B20" s="256">
        <v>11</v>
      </c>
      <c r="C20" s="187" t="s">
        <v>819</v>
      </c>
      <c r="D20" s="187"/>
      <c r="E20" s="257" t="s">
        <v>869</v>
      </c>
    </row>
    <row r="21" spans="2:5">
      <c r="B21" s="256">
        <v>12</v>
      </c>
      <c r="C21" s="187" t="s">
        <v>21</v>
      </c>
      <c r="D21" s="99" t="s">
        <v>242</v>
      </c>
      <c r="E21" s="257"/>
    </row>
    <row r="22" spans="2:5">
      <c r="B22" s="256">
        <v>13</v>
      </c>
      <c r="C22" s="187" t="s">
        <v>22</v>
      </c>
      <c r="D22" s="99" t="s">
        <v>242</v>
      </c>
      <c r="E22" s="257"/>
    </row>
    <row r="23" spans="2:5">
      <c r="B23" s="256">
        <v>14</v>
      </c>
      <c r="C23" s="187" t="s">
        <v>23</v>
      </c>
      <c r="D23" s="99" t="s">
        <v>242</v>
      </c>
      <c r="E23" s="257"/>
    </row>
    <row r="24" spans="2:5">
      <c r="B24" s="256">
        <v>15</v>
      </c>
      <c r="C24" s="187" t="s">
        <v>95</v>
      </c>
      <c r="D24" s="187"/>
      <c r="E24" s="257" t="s">
        <v>869</v>
      </c>
    </row>
    <row r="25" spans="2:5">
      <c r="B25" s="256">
        <v>16</v>
      </c>
      <c r="C25" s="187" t="s">
        <v>25</v>
      </c>
      <c r="D25" s="99" t="s">
        <v>242</v>
      </c>
      <c r="E25" s="257"/>
    </row>
    <row r="26" spans="2:5">
      <c r="B26" s="256">
        <v>17</v>
      </c>
      <c r="C26" s="187" t="s">
        <v>24</v>
      </c>
      <c r="D26" s="99" t="s">
        <v>242</v>
      </c>
      <c r="E26" s="257"/>
    </row>
    <row r="27" spans="2:5">
      <c r="B27" s="256">
        <v>18</v>
      </c>
      <c r="C27" s="187" t="s">
        <v>96</v>
      </c>
      <c r="D27" s="99" t="s">
        <v>242</v>
      </c>
      <c r="E27" s="257"/>
    </row>
    <row r="28" spans="2:5">
      <c r="B28" s="256">
        <v>19</v>
      </c>
      <c r="C28" s="187" t="s">
        <v>26</v>
      </c>
      <c r="D28" s="99" t="s">
        <v>242</v>
      </c>
      <c r="E28" s="257"/>
    </row>
    <row r="29" spans="2:5">
      <c r="B29" s="256">
        <v>20</v>
      </c>
      <c r="C29" s="187" t="s">
        <v>27</v>
      </c>
      <c r="D29" s="99" t="s">
        <v>242</v>
      </c>
      <c r="E29" s="257"/>
    </row>
    <row r="30" spans="2:5">
      <c r="B30" s="256">
        <v>21</v>
      </c>
      <c r="C30" s="187" t="s">
        <v>28</v>
      </c>
      <c r="D30" s="99" t="s">
        <v>242</v>
      </c>
      <c r="E30" s="257"/>
    </row>
    <row r="31" spans="2:5">
      <c r="B31" s="256">
        <v>22</v>
      </c>
      <c r="C31" s="187" t="s">
        <v>29</v>
      </c>
      <c r="D31" s="99" t="s">
        <v>242</v>
      </c>
      <c r="E31" s="257"/>
    </row>
    <row r="32" spans="2:5">
      <c r="B32" s="256">
        <v>23</v>
      </c>
      <c r="C32" s="187" t="s">
        <v>30</v>
      </c>
      <c r="D32" s="187"/>
      <c r="E32" s="257" t="s">
        <v>764</v>
      </c>
    </row>
    <row r="33" spans="2:5">
      <c r="B33" s="256">
        <v>24</v>
      </c>
      <c r="C33" s="187" t="s">
        <v>31</v>
      </c>
      <c r="D33" s="187"/>
      <c r="E33" s="257" t="s">
        <v>764</v>
      </c>
    </row>
    <row r="34" spans="2:5">
      <c r="B34" s="256">
        <v>25</v>
      </c>
      <c r="C34" s="187" t="s">
        <v>32</v>
      </c>
      <c r="D34" s="99" t="s">
        <v>242</v>
      </c>
      <c r="E34" s="257"/>
    </row>
    <row r="35" spans="2:5">
      <c r="B35" s="256">
        <v>26</v>
      </c>
      <c r="C35" s="187" t="s">
        <v>33</v>
      </c>
      <c r="D35" s="99" t="s">
        <v>242</v>
      </c>
      <c r="E35" s="257"/>
    </row>
    <row r="36" spans="2:5">
      <c r="B36" s="256">
        <v>27</v>
      </c>
      <c r="C36" s="187" t="s">
        <v>34</v>
      </c>
      <c r="D36" s="99" t="s">
        <v>242</v>
      </c>
      <c r="E36" s="257"/>
    </row>
    <row r="37" spans="2:5">
      <c r="B37" s="256">
        <v>28</v>
      </c>
      <c r="C37" s="187" t="s">
        <v>35</v>
      </c>
      <c r="D37" s="99" t="s">
        <v>242</v>
      </c>
      <c r="E37" s="257"/>
    </row>
    <row r="38" spans="2:5">
      <c r="B38" s="256">
        <v>29</v>
      </c>
      <c r="C38" s="187" t="s">
        <v>36</v>
      </c>
      <c r="D38" s="99" t="s">
        <v>242</v>
      </c>
      <c r="E38" s="257"/>
    </row>
    <row r="39" spans="2:5">
      <c r="B39" s="256">
        <v>30</v>
      </c>
      <c r="C39" s="187" t="s">
        <v>37</v>
      </c>
      <c r="D39" s="187"/>
      <c r="E39" s="257" t="s">
        <v>764</v>
      </c>
    </row>
    <row r="40" spans="2:5">
      <c r="B40" s="256">
        <v>31</v>
      </c>
      <c r="C40" s="187" t="s">
        <v>38</v>
      </c>
      <c r="D40" s="99" t="s">
        <v>242</v>
      </c>
      <c r="E40" s="257"/>
    </row>
    <row r="41" spans="2:5">
      <c r="B41" s="256">
        <v>32</v>
      </c>
      <c r="C41" s="187" t="s">
        <v>39</v>
      </c>
      <c r="D41" s="99" t="s">
        <v>242</v>
      </c>
      <c r="E41" s="257"/>
    </row>
    <row r="42" spans="2:5">
      <c r="B42" s="256">
        <v>33</v>
      </c>
      <c r="C42" s="187" t="s">
        <v>40</v>
      </c>
      <c r="D42" s="99" t="s">
        <v>242</v>
      </c>
      <c r="E42" s="257"/>
    </row>
    <row r="43" spans="2:5">
      <c r="B43" s="256">
        <v>34</v>
      </c>
      <c r="C43" s="187" t="s">
        <v>41</v>
      </c>
      <c r="D43" s="99" t="s">
        <v>242</v>
      </c>
      <c r="E43" s="257"/>
    </row>
    <row r="44" spans="2:5">
      <c r="B44" s="256">
        <v>35</v>
      </c>
      <c r="C44" s="187" t="s">
        <v>42</v>
      </c>
      <c r="D44" s="187"/>
      <c r="E44" s="257" t="s">
        <v>870</v>
      </c>
    </row>
    <row r="45" spans="2:5" ht="24">
      <c r="B45" s="256">
        <v>36</v>
      </c>
      <c r="C45" s="187" t="s">
        <v>43</v>
      </c>
      <c r="D45" s="99" t="s">
        <v>242</v>
      </c>
      <c r="E45" s="257"/>
    </row>
    <row r="46" spans="2:5">
      <c r="B46" s="256">
        <v>37</v>
      </c>
      <c r="C46" s="187" t="s">
        <v>44</v>
      </c>
      <c r="D46" s="99" t="s">
        <v>242</v>
      </c>
      <c r="E46" s="257"/>
    </row>
    <row r="47" spans="2:5">
      <c r="B47" s="256">
        <v>38</v>
      </c>
      <c r="C47" s="187" t="s">
        <v>45</v>
      </c>
      <c r="D47" s="99" t="s">
        <v>242</v>
      </c>
      <c r="E47" s="257"/>
    </row>
    <row r="48" spans="2:5">
      <c r="B48" s="256">
        <v>39</v>
      </c>
      <c r="C48" s="187" t="s">
        <v>46</v>
      </c>
      <c r="D48" s="99" t="s">
        <v>242</v>
      </c>
      <c r="E48" s="257"/>
    </row>
    <row r="49" spans="2:5">
      <c r="B49" s="256">
        <v>40</v>
      </c>
      <c r="C49" s="187" t="s">
        <v>47</v>
      </c>
      <c r="D49" s="99" t="s">
        <v>242</v>
      </c>
      <c r="E49" s="257"/>
    </row>
    <row r="50" spans="2:5">
      <c r="B50" s="256">
        <v>41</v>
      </c>
      <c r="C50" s="187" t="s">
        <v>48</v>
      </c>
      <c r="D50" s="99" t="s">
        <v>242</v>
      </c>
      <c r="E50" s="257"/>
    </row>
    <row r="51" spans="2:5">
      <c r="B51" s="256">
        <v>42</v>
      </c>
      <c r="C51" s="187" t="s">
        <v>49</v>
      </c>
      <c r="D51" s="187"/>
      <c r="E51" s="257" t="s">
        <v>869</v>
      </c>
    </row>
    <row r="52" spans="2:5">
      <c r="B52" s="256">
        <v>43</v>
      </c>
      <c r="C52" s="187" t="s">
        <v>50</v>
      </c>
      <c r="D52" s="99" t="s">
        <v>242</v>
      </c>
      <c r="E52" s="257"/>
    </row>
    <row r="53" spans="2:5">
      <c r="B53" s="256">
        <v>44</v>
      </c>
      <c r="C53" s="187" t="s">
        <v>51</v>
      </c>
      <c r="D53" s="99"/>
      <c r="E53" s="257" t="s">
        <v>870</v>
      </c>
    </row>
    <row r="54" spans="2:5">
      <c r="B54" s="256">
        <v>45</v>
      </c>
      <c r="C54" s="187" t="s">
        <v>52</v>
      </c>
      <c r="D54" s="99" t="s">
        <v>242</v>
      </c>
      <c r="E54" s="257"/>
    </row>
    <row r="55" spans="2:5">
      <c r="B55" s="256">
        <v>46</v>
      </c>
      <c r="C55" s="187" t="s">
        <v>53</v>
      </c>
      <c r="D55" s="99" t="s">
        <v>242</v>
      </c>
      <c r="E55" s="257"/>
    </row>
    <row r="56" spans="2:5">
      <c r="B56" s="256">
        <v>47</v>
      </c>
      <c r="C56" s="187" t="s">
        <v>37</v>
      </c>
      <c r="D56" s="187"/>
      <c r="E56" s="257" t="s">
        <v>764</v>
      </c>
    </row>
    <row r="57" spans="2:5">
      <c r="B57" s="256">
        <v>48</v>
      </c>
      <c r="C57" s="187" t="s">
        <v>54</v>
      </c>
      <c r="D57" s="99" t="s">
        <v>242</v>
      </c>
      <c r="E57" s="257"/>
    </row>
    <row r="58" spans="2:5">
      <c r="B58" s="256">
        <v>49</v>
      </c>
      <c r="C58" s="187" t="s">
        <v>55</v>
      </c>
      <c r="D58" s="99" t="s">
        <v>242</v>
      </c>
      <c r="E58" s="257"/>
    </row>
    <row r="62" spans="2:5">
      <c r="B62" s="103" t="s">
        <v>861</v>
      </c>
    </row>
    <row r="63" spans="2:5">
      <c r="B63" s="103" t="s">
        <v>862</v>
      </c>
    </row>
    <row r="70" spans="2:3">
      <c r="B70" s="102" t="s">
        <v>863</v>
      </c>
      <c r="C70" s="102"/>
    </row>
    <row r="71" spans="2:3">
      <c r="B71" s="102" t="s">
        <v>864</v>
      </c>
      <c r="C71" s="102"/>
    </row>
  </sheetData>
  <mergeCells count="5">
    <mergeCell ref="A2:E2"/>
    <mergeCell ref="A3:E3"/>
    <mergeCell ref="A4:E4"/>
    <mergeCell ref="A6:E6"/>
    <mergeCell ref="B7:E8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Q60"/>
  <sheetViews>
    <sheetView tabSelected="1" zoomScale="70" zoomScaleNormal="70" workbookViewId="0">
      <selection activeCell="B6" sqref="B6:Q6"/>
    </sheetView>
  </sheetViews>
  <sheetFormatPr baseColWidth="10" defaultColWidth="11.5703125" defaultRowHeight="12"/>
  <cols>
    <col min="1" max="1" width="3.7109375" style="3" customWidth="1"/>
    <col min="2" max="2" width="8.28515625" style="1" customWidth="1"/>
    <col min="3" max="3" width="47.42578125" style="2" bestFit="1" customWidth="1"/>
    <col min="4" max="4" width="29.85546875" style="2" customWidth="1"/>
    <col min="5" max="5" width="22.85546875" style="2" customWidth="1"/>
    <col min="6" max="6" width="32" style="2" customWidth="1"/>
    <col min="7" max="7" width="29.7109375" style="2" customWidth="1"/>
    <col min="8" max="8" width="22.42578125" style="3" customWidth="1"/>
    <col min="9" max="9" width="20.28515625" style="3" customWidth="1"/>
    <col min="10" max="10" width="19.28515625" style="3" customWidth="1"/>
    <col min="11" max="11" width="17.5703125" style="3" customWidth="1"/>
    <col min="12" max="12" width="17.140625" style="3" customWidth="1"/>
    <col min="13" max="13" width="18.42578125" style="3" customWidth="1"/>
    <col min="14" max="14" width="20.5703125" style="3" customWidth="1"/>
    <col min="15" max="15" width="19.85546875" style="3" customWidth="1"/>
    <col min="16" max="16" width="17.7109375" style="15" customWidth="1"/>
    <col min="17" max="17" width="14.42578125" style="3" customWidth="1"/>
    <col min="18" max="16384" width="11.5703125" style="3"/>
  </cols>
  <sheetData>
    <row r="2" spans="2:17" ht="15">
      <c r="B2" s="455" t="s">
        <v>0</v>
      </c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</row>
    <row r="3" spans="2:17" ht="15">
      <c r="B3" s="455" t="s">
        <v>1</v>
      </c>
      <c r="C3" s="455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</row>
    <row r="4" spans="2:17" ht="15">
      <c r="B4" s="455" t="s">
        <v>2</v>
      </c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</row>
    <row r="5" spans="2:17" ht="1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</row>
    <row r="6" spans="2:17" ht="15">
      <c r="B6" s="455" t="s">
        <v>69</v>
      </c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  <c r="N6" s="455"/>
      <c r="O6" s="455"/>
      <c r="P6" s="455"/>
      <c r="Q6" s="455"/>
    </row>
    <row r="7" spans="2:17" ht="15.75">
      <c r="B7" s="456" t="s">
        <v>70</v>
      </c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456"/>
      <c r="N7" s="456"/>
      <c r="O7" s="456"/>
      <c r="P7" s="456"/>
      <c r="Q7" s="456"/>
    </row>
    <row r="8" spans="2:17">
      <c r="H8" s="458"/>
      <c r="I8" s="458"/>
      <c r="J8" s="458"/>
      <c r="K8" s="9"/>
      <c r="L8" s="458"/>
      <c r="M8" s="458"/>
      <c r="N8" s="458"/>
      <c r="O8" s="458"/>
      <c r="P8" s="16"/>
    </row>
    <row r="9" spans="2:17" ht="60">
      <c r="B9" s="457" t="s">
        <v>4</v>
      </c>
      <c r="C9" s="457" t="s">
        <v>5</v>
      </c>
      <c r="D9" s="459" t="s">
        <v>72</v>
      </c>
      <c r="E9" s="459" t="s">
        <v>73</v>
      </c>
      <c r="F9" s="459" t="s">
        <v>74</v>
      </c>
      <c r="G9" s="459" t="s">
        <v>75</v>
      </c>
      <c r="H9" s="6" t="s">
        <v>56</v>
      </c>
      <c r="I9" s="6" t="s">
        <v>57</v>
      </c>
      <c r="J9" s="6" t="s">
        <v>58</v>
      </c>
      <c r="K9" s="6" t="s">
        <v>62</v>
      </c>
      <c r="L9" s="6" t="s">
        <v>65</v>
      </c>
      <c r="M9" s="6" t="s">
        <v>66</v>
      </c>
      <c r="N9" s="6" t="s">
        <v>9</v>
      </c>
      <c r="O9" s="6" t="s">
        <v>8</v>
      </c>
      <c r="P9" s="12" t="s">
        <v>71</v>
      </c>
      <c r="Q9" s="457" t="s">
        <v>6</v>
      </c>
    </row>
    <row r="10" spans="2:17">
      <c r="B10" s="457"/>
      <c r="C10" s="457"/>
      <c r="D10" s="460"/>
      <c r="E10" s="460"/>
      <c r="F10" s="460"/>
      <c r="G10" s="460"/>
      <c r="H10" s="7" t="s">
        <v>59</v>
      </c>
      <c r="I10" s="7" t="s">
        <v>60</v>
      </c>
      <c r="J10" s="7" t="s">
        <v>61</v>
      </c>
      <c r="K10" s="7" t="s">
        <v>64</v>
      </c>
      <c r="L10" s="7" t="s">
        <v>63</v>
      </c>
      <c r="M10" s="7" t="s">
        <v>67</v>
      </c>
      <c r="N10" s="7" t="s">
        <v>68</v>
      </c>
      <c r="O10" s="7"/>
      <c r="P10" s="13"/>
      <c r="Q10" s="457"/>
    </row>
    <row r="11" spans="2:17">
      <c r="B11" s="457"/>
      <c r="C11" s="457"/>
      <c r="D11" s="461"/>
      <c r="E11" s="461"/>
      <c r="F11" s="461"/>
      <c r="G11" s="461"/>
      <c r="H11" s="4" t="s">
        <v>7</v>
      </c>
      <c r="I11" s="4" t="s">
        <v>7</v>
      </c>
      <c r="J11" s="4" t="s">
        <v>7</v>
      </c>
      <c r="K11" s="4" t="s">
        <v>7</v>
      </c>
      <c r="L11" s="4" t="s">
        <v>7</v>
      </c>
      <c r="M11" s="4" t="s">
        <v>7</v>
      </c>
      <c r="N11" s="4" t="s">
        <v>7</v>
      </c>
      <c r="O11" s="4" t="s">
        <v>7</v>
      </c>
      <c r="P11" s="14" t="s">
        <v>7</v>
      </c>
      <c r="Q11" s="457"/>
    </row>
    <row r="12" spans="2:17" ht="24">
      <c r="B12" s="5">
        <v>1</v>
      </c>
      <c r="C12" s="187" t="s">
        <v>10</v>
      </c>
      <c r="D12" s="99" t="s">
        <v>242</v>
      </c>
      <c r="E12" s="99" t="s">
        <v>242</v>
      </c>
      <c r="F12" s="99" t="s">
        <v>242</v>
      </c>
      <c r="G12" s="99" t="s">
        <v>242</v>
      </c>
      <c r="H12" s="171" t="s">
        <v>583</v>
      </c>
      <c r="I12" s="171" t="s">
        <v>584</v>
      </c>
      <c r="J12" s="171" t="s">
        <v>585</v>
      </c>
      <c r="K12" s="171">
        <v>15</v>
      </c>
      <c r="L12" s="171" t="s">
        <v>585</v>
      </c>
      <c r="M12" s="171">
        <v>20</v>
      </c>
      <c r="N12" s="171">
        <v>0</v>
      </c>
      <c r="O12" s="171">
        <v>0.25</v>
      </c>
      <c r="P12" s="186">
        <v>1</v>
      </c>
      <c r="Q12" s="8">
        <f t="shared" ref="Q12:Q15" si="0">SUM(H12:P12)</f>
        <v>36.25</v>
      </c>
    </row>
    <row r="13" spans="2:17">
      <c r="B13" s="5">
        <v>2</v>
      </c>
      <c r="C13" s="187" t="s">
        <v>11</v>
      </c>
      <c r="D13" s="99" t="s">
        <v>242</v>
      </c>
      <c r="E13" s="99" t="s">
        <v>242</v>
      </c>
      <c r="F13" s="99" t="s">
        <v>242</v>
      </c>
      <c r="G13" s="99" t="s">
        <v>242</v>
      </c>
      <c r="H13" s="171">
        <v>3</v>
      </c>
      <c r="I13" s="171">
        <v>2</v>
      </c>
      <c r="J13" s="171">
        <v>5</v>
      </c>
      <c r="K13" s="171">
        <v>15</v>
      </c>
      <c r="L13" s="171">
        <v>5</v>
      </c>
      <c r="M13" s="171">
        <v>20</v>
      </c>
      <c r="N13" s="171">
        <v>0.25</v>
      </c>
      <c r="O13" s="171">
        <v>0.25</v>
      </c>
      <c r="P13" s="186">
        <v>1</v>
      </c>
      <c r="Q13" s="8">
        <f t="shared" si="0"/>
        <v>51.5</v>
      </c>
    </row>
    <row r="14" spans="2:17" ht="48">
      <c r="B14" s="5">
        <v>3</v>
      </c>
      <c r="C14" s="169" t="s">
        <v>12</v>
      </c>
      <c r="D14" s="99" t="s">
        <v>242</v>
      </c>
      <c r="E14" s="99" t="s">
        <v>242</v>
      </c>
      <c r="F14" s="169" t="s">
        <v>589</v>
      </c>
      <c r="G14" s="169" t="s">
        <v>590</v>
      </c>
      <c r="H14" s="171"/>
      <c r="I14" s="171"/>
      <c r="J14" s="171"/>
      <c r="K14" s="171"/>
      <c r="L14" s="171"/>
      <c r="M14" s="171"/>
      <c r="N14" s="171"/>
      <c r="O14" s="171"/>
      <c r="P14" s="186"/>
      <c r="Q14" s="8"/>
    </row>
    <row r="15" spans="2:17" ht="31.5" customHeight="1">
      <c r="B15" s="5">
        <v>4</v>
      </c>
      <c r="C15" s="187" t="s">
        <v>13</v>
      </c>
      <c r="D15" s="99" t="s">
        <v>242</v>
      </c>
      <c r="E15" s="99" t="s">
        <v>242</v>
      </c>
      <c r="F15" s="99" t="s">
        <v>242</v>
      </c>
      <c r="G15" s="99" t="s">
        <v>242</v>
      </c>
      <c r="H15" s="171">
        <v>3</v>
      </c>
      <c r="I15" s="171">
        <v>2</v>
      </c>
      <c r="J15" s="171">
        <v>5</v>
      </c>
      <c r="K15" s="171">
        <v>15</v>
      </c>
      <c r="L15" s="171">
        <v>5</v>
      </c>
      <c r="M15" s="171">
        <v>20</v>
      </c>
      <c r="N15" s="171">
        <v>0.25</v>
      </c>
      <c r="O15" s="171">
        <v>0.25</v>
      </c>
      <c r="P15" s="1">
        <v>1</v>
      </c>
      <c r="Q15" s="8">
        <f t="shared" si="0"/>
        <v>51.5</v>
      </c>
    </row>
    <row r="16" spans="2:17" ht="54.6" customHeight="1">
      <c r="B16" s="5">
        <v>5</v>
      </c>
      <c r="C16" s="169" t="s">
        <v>14</v>
      </c>
      <c r="D16" s="169" t="s">
        <v>129</v>
      </c>
      <c r="E16" s="169" t="s">
        <v>249</v>
      </c>
      <c r="F16" s="169" t="s">
        <v>246</v>
      </c>
      <c r="G16" s="169" t="s">
        <v>248</v>
      </c>
      <c r="H16" s="171"/>
      <c r="I16" s="171"/>
      <c r="J16" s="171"/>
      <c r="K16" s="171"/>
      <c r="L16" s="171"/>
      <c r="M16" s="171"/>
      <c r="N16" s="171"/>
      <c r="O16" s="171"/>
      <c r="P16" s="9"/>
      <c r="Q16" s="182"/>
    </row>
    <row r="17" spans="2:17">
      <c r="B17" s="5">
        <v>6</v>
      </c>
      <c r="C17" s="187" t="s">
        <v>15</v>
      </c>
      <c r="D17" s="99" t="s">
        <v>242</v>
      </c>
      <c r="E17" s="99" t="s">
        <v>242</v>
      </c>
      <c r="F17" s="99" t="s">
        <v>242</v>
      </c>
      <c r="G17" s="99" t="s">
        <v>242</v>
      </c>
      <c r="H17" s="171">
        <v>3</v>
      </c>
      <c r="I17" s="171">
        <v>2</v>
      </c>
      <c r="J17" s="171">
        <v>5</v>
      </c>
      <c r="K17" s="171">
        <v>15</v>
      </c>
      <c r="L17" s="171">
        <v>5</v>
      </c>
      <c r="M17" s="171">
        <v>20</v>
      </c>
      <c r="N17" s="171">
        <v>0</v>
      </c>
      <c r="O17" s="171">
        <v>0.25</v>
      </c>
      <c r="P17" s="9">
        <v>1</v>
      </c>
      <c r="Q17" s="182">
        <f t="shared" ref="Q17:Q32" si="1">SUM(H17:P17)</f>
        <v>51.25</v>
      </c>
    </row>
    <row r="18" spans="2:17" ht="24">
      <c r="B18" s="5">
        <v>7</v>
      </c>
      <c r="C18" s="169" t="s">
        <v>16</v>
      </c>
      <c r="D18" s="99" t="s">
        <v>242</v>
      </c>
      <c r="E18" s="169" t="s">
        <v>249</v>
      </c>
      <c r="F18" s="169" t="s">
        <v>128</v>
      </c>
      <c r="G18" s="169" t="s">
        <v>128</v>
      </c>
      <c r="H18" s="171"/>
      <c r="I18" s="171"/>
      <c r="J18" s="171"/>
      <c r="K18" s="171"/>
      <c r="L18" s="171"/>
      <c r="M18" s="171"/>
      <c r="N18" s="171"/>
      <c r="O18" s="171"/>
      <c r="P18" s="9"/>
      <c r="Q18" s="182"/>
    </row>
    <row r="19" spans="2:17" ht="26.25" customHeight="1">
      <c r="B19" s="5">
        <v>8</v>
      </c>
      <c r="C19" s="187" t="s">
        <v>17</v>
      </c>
      <c r="D19" s="99" t="s">
        <v>242</v>
      </c>
      <c r="E19" s="99" t="s">
        <v>242</v>
      </c>
      <c r="F19" s="99" t="s">
        <v>242</v>
      </c>
      <c r="G19" s="99" t="s">
        <v>242</v>
      </c>
      <c r="H19" s="171">
        <v>3</v>
      </c>
      <c r="I19" s="171">
        <v>2</v>
      </c>
      <c r="J19" s="171">
        <v>5</v>
      </c>
      <c r="K19" s="171">
        <v>15</v>
      </c>
      <c r="L19" s="171">
        <v>5</v>
      </c>
      <c r="M19" s="171">
        <v>20</v>
      </c>
      <c r="N19" s="171">
        <v>0.25</v>
      </c>
      <c r="O19" s="171">
        <v>0.25</v>
      </c>
      <c r="P19" s="9">
        <v>1</v>
      </c>
      <c r="Q19" s="182">
        <f t="shared" si="1"/>
        <v>51.5</v>
      </c>
    </row>
    <row r="20" spans="2:17" ht="26.25" customHeight="1">
      <c r="B20" s="5">
        <v>9</v>
      </c>
      <c r="C20" s="260" t="s">
        <v>18</v>
      </c>
      <c r="D20" s="99" t="s">
        <v>242</v>
      </c>
      <c r="E20" s="99" t="s">
        <v>242</v>
      </c>
      <c r="F20" s="99" t="s">
        <v>242</v>
      </c>
      <c r="G20" s="99" t="s">
        <v>242</v>
      </c>
      <c r="H20" s="171">
        <v>3</v>
      </c>
      <c r="I20" s="171">
        <v>2</v>
      </c>
      <c r="J20" s="171">
        <v>5</v>
      </c>
      <c r="K20" s="171">
        <v>15</v>
      </c>
      <c r="L20" s="171">
        <v>5</v>
      </c>
      <c r="M20" s="171">
        <v>20</v>
      </c>
      <c r="N20" s="171">
        <v>0.25</v>
      </c>
      <c r="O20" s="171">
        <v>0.25</v>
      </c>
      <c r="P20" s="9">
        <v>1</v>
      </c>
      <c r="Q20" s="182">
        <f t="shared" si="1"/>
        <v>51.5</v>
      </c>
    </row>
    <row r="21" spans="2:17" ht="20.25" customHeight="1">
      <c r="B21" s="9">
        <v>10</v>
      </c>
      <c r="C21" s="187" t="s">
        <v>19</v>
      </c>
      <c r="D21" s="99" t="s">
        <v>242</v>
      </c>
      <c r="E21" s="99" t="s">
        <v>242</v>
      </c>
      <c r="F21" s="99" t="s">
        <v>242</v>
      </c>
      <c r="G21" s="99" t="s">
        <v>242</v>
      </c>
      <c r="H21" s="100">
        <v>3</v>
      </c>
      <c r="I21" s="100">
        <v>2</v>
      </c>
      <c r="J21" s="100">
        <v>5</v>
      </c>
      <c r="K21" s="100">
        <v>15</v>
      </c>
      <c r="L21" s="100">
        <v>5</v>
      </c>
      <c r="M21" s="100">
        <v>20</v>
      </c>
      <c r="N21" s="184">
        <v>0.25</v>
      </c>
      <c r="O21" s="100">
        <v>0.25</v>
      </c>
      <c r="P21" s="9">
        <v>1</v>
      </c>
      <c r="Q21" s="182">
        <f t="shared" si="1"/>
        <v>51.5</v>
      </c>
    </row>
    <row r="22" spans="2:17">
      <c r="B22" s="9">
        <v>11</v>
      </c>
      <c r="C22" s="187" t="s">
        <v>20</v>
      </c>
      <c r="D22" s="99" t="s">
        <v>242</v>
      </c>
      <c r="E22" s="99" t="s">
        <v>242</v>
      </c>
      <c r="F22" s="99" t="s">
        <v>242</v>
      </c>
      <c r="G22" s="99" t="s">
        <v>242</v>
      </c>
      <c r="H22" s="100">
        <v>3</v>
      </c>
      <c r="I22" s="100">
        <v>2</v>
      </c>
      <c r="J22" s="100">
        <v>5</v>
      </c>
      <c r="K22" s="100">
        <v>15</v>
      </c>
      <c r="L22" s="100">
        <v>5</v>
      </c>
      <c r="M22" s="100">
        <v>20</v>
      </c>
      <c r="N22" s="171">
        <v>0.25</v>
      </c>
      <c r="O22" s="100">
        <v>0.25</v>
      </c>
      <c r="P22" s="9">
        <v>1</v>
      </c>
      <c r="Q22" s="182">
        <f t="shared" si="1"/>
        <v>51.5</v>
      </c>
    </row>
    <row r="23" spans="2:17" ht="20.45" customHeight="1">
      <c r="B23" s="9">
        <v>12</v>
      </c>
      <c r="C23" s="187" t="s">
        <v>21</v>
      </c>
      <c r="D23" s="99" t="s">
        <v>242</v>
      </c>
      <c r="E23" s="99" t="s">
        <v>242</v>
      </c>
      <c r="F23" s="99" t="s">
        <v>242</v>
      </c>
      <c r="G23" s="99" t="s">
        <v>242</v>
      </c>
      <c r="H23" s="100">
        <v>3</v>
      </c>
      <c r="I23" s="185">
        <v>2</v>
      </c>
      <c r="J23" s="100">
        <v>5</v>
      </c>
      <c r="K23" s="100">
        <v>15</v>
      </c>
      <c r="L23" s="100">
        <v>5</v>
      </c>
      <c r="M23" s="100">
        <v>20</v>
      </c>
      <c r="N23" s="184">
        <v>0.25</v>
      </c>
      <c r="O23" s="100">
        <v>0.25</v>
      </c>
      <c r="P23" s="9">
        <v>1</v>
      </c>
      <c r="Q23" s="182">
        <f t="shared" si="1"/>
        <v>51.5</v>
      </c>
    </row>
    <row r="24" spans="2:17" ht="36">
      <c r="B24" s="9">
        <v>13</v>
      </c>
      <c r="C24" s="169" t="s">
        <v>22</v>
      </c>
      <c r="D24" s="99" t="s">
        <v>242</v>
      </c>
      <c r="E24" s="99" t="s">
        <v>242</v>
      </c>
      <c r="F24" s="169" t="s">
        <v>588</v>
      </c>
      <c r="G24" s="99" t="s">
        <v>242</v>
      </c>
      <c r="H24" s="100"/>
      <c r="I24" s="100"/>
      <c r="J24" s="100"/>
      <c r="K24" s="100"/>
      <c r="L24" s="100"/>
      <c r="M24" s="100"/>
      <c r="N24" s="100"/>
      <c r="O24" s="100"/>
      <c r="P24" s="9"/>
      <c r="Q24" s="182"/>
    </row>
    <row r="25" spans="2:17" ht="53.25" customHeight="1">
      <c r="B25" s="9">
        <v>14</v>
      </c>
      <c r="C25" s="187" t="s">
        <v>23</v>
      </c>
      <c r="D25" s="99" t="s">
        <v>242</v>
      </c>
      <c r="E25" s="99" t="s">
        <v>242</v>
      </c>
      <c r="F25" s="99" t="s">
        <v>242</v>
      </c>
      <c r="G25" s="99" t="s">
        <v>242</v>
      </c>
      <c r="H25" s="100">
        <v>3</v>
      </c>
      <c r="I25" s="100">
        <v>2</v>
      </c>
      <c r="J25" s="100">
        <v>5</v>
      </c>
      <c r="K25" s="100">
        <v>15</v>
      </c>
      <c r="L25" s="100">
        <v>5</v>
      </c>
      <c r="M25" s="100">
        <v>20</v>
      </c>
      <c r="N25" s="171">
        <v>0</v>
      </c>
      <c r="O25" s="100">
        <v>0.25</v>
      </c>
      <c r="P25" s="9">
        <v>1</v>
      </c>
      <c r="Q25" s="182">
        <f t="shared" si="1"/>
        <v>51.25</v>
      </c>
    </row>
    <row r="26" spans="2:17" ht="27.95" customHeight="1">
      <c r="B26" s="9">
        <v>15</v>
      </c>
      <c r="C26" s="169" t="s">
        <v>95</v>
      </c>
      <c r="D26" s="169" t="s">
        <v>240</v>
      </c>
      <c r="E26" s="99" t="s">
        <v>242</v>
      </c>
      <c r="F26" s="169" t="s">
        <v>872</v>
      </c>
      <c r="G26" s="169" t="s">
        <v>247</v>
      </c>
      <c r="H26" s="100"/>
      <c r="I26" s="100"/>
      <c r="J26" s="100"/>
      <c r="K26" s="100"/>
      <c r="L26" s="100"/>
      <c r="M26" s="100"/>
      <c r="N26" s="184"/>
      <c r="O26" s="100"/>
      <c r="P26" s="9"/>
      <c r="Q26" s="182"/>
    </row>
    <row r="27" spans="2:17" ht="29.45" customHeight="1">
      <c r="B27" s="9">
        <v>16</v>
      </c>
      <c r="C27" s="187" t="s">
        <v>25</v>
      </c>
      <c r="D27" s="99" t="s">
        <v>242</v>
      </c>
      <c r="E27" s="99" t="s">
        <v>242</v>
      </c>
      <c r="F27" s="99" t="s">
        <v>242</v>
      </c>
      <c r="G27" s="99" t="s">
        <v>242</v>
      </c>
      <c r="H27" s="100">
        <v>3</v>
      </c>
      <c r="I27" s="100">
        <v>2</v>
      </c>
      <c r="J27" s="100">
        <v>5</v>
      </c>
      <c r="K27" s="100">
        <v>15</v>
      </c>
      <c r="L27" s="100">
        <v>5</v>
      </c>
      <c r="M27" s="100">
        <v>20</v>
      </c>
      <c r="N27" s="100">
        <v>0.25</v>
      </c>
      <c r="O27" s="100">
        <v>0.25</v>
      </c>
      <c r="P27" s="9">
        <v>1</v>
      </c>
      <c r="Q27" s="182">
        <f t="shared" si="1"/>
        <v>51.5</v>
      </c>
    </row>
    <row r="28" spans="2:17" ht="30.75" customHeight="1">
      <c r="B28" s="9">
        <v>17</v>
      </c>
      <c r="C28" s="169" t="s">
        <v>24</v>
      </c>
      <c r="D28" s="99" t="s">
        <v>242</v>
      </c>
      <c r="E28" s="99" t="s">
        <v>242</v>
      </c>
      <c r="F28" s="169" t="s">
        <v>872</v>
      </c>
      <c r="G28" s="99" t="s">
        <v>242</v>
      </c>
      <c r="H28" s="100"/>
      <c r="I28" s="100"/>
      <c r="J28" s="100"/>
      <c r="K28" s="100"/>
      <c r="L28" s="100"/>
      <c r="M28" s="100"/>
      <c r="N28" s="100"/>
      <c r="O28" s="100"/>
      <c r="P28" s="9"/>
      <c r="Q28" s="182"/>
    </row>
    <row r="29" spans="2:17" ht="116.1" customHeight="1">
      <c r="B29" s="9">
        <v>18</v>
      </c>
      <c r="C29" s="169" t="s">
        <v>96</v>
      </c>
      <c r="D29" s="99" t="s">
        <v>242</v>
      </c>
      <c r="E29" s="99" t="s">
        <v>242</v>
      </c>
      <c r="F29" s="169" t="s">
        <v>245</v>
      </c>
      <c r="G29" s="99" t="s">
        <v>242</v>
      </c>
      <c r="H29" s="100"/>
      <c r="I29" s="100"/>
      <c r="J29" s="100"/>
      <c r="K29" s="100"/>
      <c r="L29" s="100"/>
      <c r="M29" s="100"/>
      <c r="N29" s="100"/>
      <c r="O29" s="100"/>
      <c r="P29" s="9"/>
      <c r="Q29" s="182"/>
    </row>
    <row r="30" spans="2:17" ht="34.5" customHeight="1">
      <c r="B30" s="9">
        <v>19</v>
      </c>
      <c r="C30" s="169" t="s">
        <v>26</v>
      </c>
      <c r="D30" s="99" t="s">
        <v>242</v>
      </c>
      <c r="E30" s="99" t="s">
        <v>242</v>
      </c>
      <c r="F30" s="169" t="s">
        <v>582</v>
      </c>
      <c r="G30" s="99" t="s">
        <v>242</v>
      </c>
      <c r="H30" s="100"/>
      <c r="I30" s="100"/>
      <c r="J30" s="100"/>
      <c r="K30" s="100"/>
      <c r="L30" s="100"/>
      <c r="M30" s="100"/>
      <c r="N30" s="100"/>
      <c r="O30" s="100"/>
      <c r="P30" s="9"/>
      <c r="Q30" s="182"/>
    </row>
    <row r="31" spans="2:17" ht="11.45" customHeight="1">
      <c r="B31" s="9">
        <v>20</v>
      </c>
      <c r="C31" s="169" t="s">
        <v>27</v>
      </c>
      <c r="D31" s="99" t="s">
        <v>242</v>
      </c>
      <c r="E31" s="99" t="s">
        <v>242</v>
      </c>
      <c r="F31" s="169" t="s">
        <v>581</v>
      </c>
      <c r="G31" s="99" t="s">
        <v>242</v>
      </c>
      <c r="H31" s="100"/>
      <c r="I31" s="100"/>
      <c r="J31" s="100"/>
      <c r="K31" s="100"/>
      <c r="L31" s="100"/>
      <c r="M31" s="100"/>
      <c r="N31" s="100"/>
      <c r="O31" s="100"/>
      <c r="P31" s="9"/>
      <c r="Q31" s="182"/>
    </row>
    <row r="32" spans="2:17" ht="39.75" customHeight="1">
      <c r="B32" s="9">
        <v>21</v>
      </c>
      <c r="C32" s="187" t="s">
        <v>28</v>
      </c>
      <c r="D32" s="99" t="s">
        <v>242</v>
      </c>
      <c r="E32" s="99" t="s">
        <v>242</v>
      </c>
      <c r="F32" s="99" t="s">
        <v>242</v>
      </c>
      <c r="G32" s="99" t="s">
        <v>242</v>
      </c>
      <c r="H32" s="100">
        <v>3</v>
      </c>
      <c r="I32" s="100">
        <v>2</v>
      </c>
      <c r="J32" s="100">
        <v>5</v>
      </c>
      <c r="K32" s="100">
        <v>15</v>
      </c>
      <c r="L32" s="100">
        <v>5</v>
      </c>
      <c r="M32" s="100">
        <v>20</v>
      </c>
      <c r="N32" s="100">
        <v>0.25</v>
      </c>
      <c r="O32" s="100">
        <v>0.25</v>
      </c>
      <c r="P32" s="9">
        <v>1</v>
      </c>
      <c r="Q32" s="182">
        <f t="shared" si="1"/>
        <v>51.5</v>
      </c>
    </row>
    <row r="33" spans="2:17" ht="42" customHeight="1">
      <c r="B33" s="9">
        <v>22</v>
      </c>
      <c r="C33" s="187" t="s">
        <v>29</v>
      </c>
      <c r="D33" s="99" t="s">
        <v>242</v>
      </c>
      <c r="E33" s="99" t="s">
        <v>242</v>
      </c>
      <c r="F33" s="99" t="s">
        <v>242</v>
      </c>
      <c r="G33" s="99" t="s">
        <v>242</v>
      </c>
      <c r="H33" s="100">
        <v>3</v>
      </c>
      <c r="I33" s="100">
        <v>2</v>
      </c>
      <c r="J33" s="100">
        <v>5</v>
      </c>
      <c r="K33" s="100">
        <v>15</v>
      </c>
      <c r="L33" s="100">
        <v>5</v>
      </c>
      <c r="M33" s="100">
        <v>20</v>
      </c>
      <c r="N33" s="100">
        <v>0.25</v>
      </c>
      <c r="O33" s="100">
        <v>0.25</v>
      </c>
      <c r="P33" s="9">
        <v>1</v>
      </c>
      <c r="Q33" s="182">
        <f t="shared" ref="Q33:Q60" si="2">SUM(H33:P33)</f>
        <v>51.5</v>
      </c>
    </row>
    <row r="34" spans="2:17" ht="33.950000000000003" customHeight="1">
      <c r="B34" s="9">
        <v>23</v>
      </c>
      <c r="C34" s="169" t="s">
        <v>30</v>
      </c>
      <c r="D34" s="99" t="s">
        <v>242</v>
      </c>
      <c r="E34" s="169" t="s">
        <v>587</v>
      </c>
      <c r="F34" s="169" t="s">
        <v>241</v>
      </c>
      <c r="G34" s="169" t="s">
        <v>247</v>
      </c>
      <c r="H34" s="100"/>
      <c r="I34" s="100"/>
      <c r="J34" s="100"/>
      <c r="K34" s="100"/>
      <c r="L34" s="100"/>
      <c r="M34" s="100"/>
      <c r="N34" s="100"/>
      <c r="O34" s="100"/>
      <c r="P34" s="9"/>
      <c r="Q34" s="182"/>
    </row>
    <row r="35" spans="2:17" ht="24.95" customHeight="1">
      <c r="B35" s="9">
        <v>24</v>
      </c>
      <c r="C35" s="169" t="s">
        <v>31</v>
      </c>
      <c r="D35" s="99" t="s">
        <v>242</v>
      </c>
      <c r="E35" s="169" t="s">
        <v>580</v>
      </c>
      <c r="F35" s="169" t="s">
        <v>241</v>
      </c>
      <c r="G35" s="169" t="s">
        <v>247</v>
      </c>
      <c r="H35" s="100"/>
      <c r="I35" s="100"/>
      <c r="J35" s="100"/>
      <c r="K35" s="100"/>
      <c r="L35" s="100"/>
      <c r="M35" s="100"/>
      <c r="N35" s="100"/>
      <c r="O35" s="100"/>
      <c r="P35" s="9"/>
      <c r="Q35" s="182"/>
    </row>
    <row r="36" spans="2:17" ht="43.5" customHeight="1">
      <c r="B36" s="9">
        <v>25</v>
      </c>
      <c r="C36" s="169" t="s">
        <v>32</v>
      </c>
      <c r="D36" s="99" t="s">
        <v>242</v>
      </c>
      <c r="E36" s="170" t="s">
        <v>586</v>
      </c>
      <c r="F36" s="170" t="s">
        <v>579</v>
      </c>
      <c r="G36" s="99" t="s">
        <v>242</v>
      </c>
      <c r="H36" s="100"/>
      <c r="I36" s="100"/>
      <c r="J36" s="100"/>
      <c r="K36" s="100"/>
      <c r="L36" s="100"/>
      <c r="M36" s="100"/>
      <c r="N36" s="100"/>
      <c r="O36" s="100"/>
      <c r="P36" s="9"/>
      <c r="Q36" s="182"/>
    </row>
    <row r="37" spans="2:17" ht="36">
      <c r="B37" s="9">
        <v>26</v>
      </c>
      <c r="C37" s="169" t="s">
        <v>33</v>
      </c>
      <c r="D37" s="99" t="s">
        <v>242</v>
      </c>
      <c r="E37" s="99" t="s">
        <v>242</v>
      </c>
      <c r="F37" s="169" t="s">
        <v>581</v>
      </c>
      <c r="G37" s="99" t="s">
        <v>242</v>
      </c>
      <c r="H37" s="100"/>
      <c r="I37" s="100"/>
      <c r="J37" s="100"/>
      <c r="K37" s="100"/>
      <c r="L37" s="100"/>
      <c r="M37" s="100"/>
      <c r="N37" s="100"/>
      <c r="O37" s="100"/>
      <c r="P37" s="9"/>
      <c r="Q37" s="182"/>
    </row>
    <row r="38" spans="2:17">
      <c r="B38" s="9">
        <v>27</v>
      </c>
      <c r="C38" s="187" t="s">
        <v>34</v>
      </c>
      <c r="D38" s="99" t="s">
        <v>242</v>
      </c>
      <c r="E38" s="99" t="s">
        <v>242</v>
      </c>
      <c r="F38" s="99" t="s">
        <v>242</v>
      </c>
      <c r="G38" s="99" t="s">
        <v>242</v>
      </c>
      <c r="H38" s="100">
        <v>3</v>
      </c>
      <c r="I38" s="100">
        <v>2</v>
      </c>
      <c r="J38" s="100">
        <v>5</v>
      </c>
      <c r="K38" s="100">
        <v>15</v>
      </c>
      <c r="L38" s="100">
        <v>5</v>
      </c>
      <c r="M38" s="100">
        <v>20</v>
      </c>
      <c r="N38" s="100">
        <v>0</v>
      </c>
      <c r="O38" s="100">
        <v>0.25</v>
      </c>
      <c r="P38" s="9">
        <v>1</v>
      </c>
      <c r="Q38" s="182">
        <f t="shared" si="2"/>
        <v>51.25</v>
      </c>
    </row>
    <row r="39" spans="2:17" ht="31.5" customHeight="1">
      <c r="B39" s="9">
        <v>28</v>
      </c>
      <c r="C39" s="187" t="s">
        <v>35</v>
      </c>
      <c r="D39" s="99" t="s">
        <v>242</v>
      </c>
      <c r="E39" s="99" t="s">
        <v>242</v>
      </c>
      <c r="F39" s="99" t="s">
        <v>242</v>
      </c>
      <c r="G39" s="99" t="s">
        <v>242</v>
      </c>
      <c r="H39" s="100">
        <v>3</v>
      </c>
      <c r="I39" s="100">
        <v>2</v>
      </c>
      <c r="J39" s="100">
        <v>5</v>
      </c>
      <c r="K39" s="100">
        <v>15</v>
      </c>
      <c r="L39" s="100">
        <v>5</v>
      </c>
      <c r="M39" s="100">
        <v>20</v>
      </c>
      <c r="N39" s="100">
        <v>0.25</v>
      </c>
      <c r="O39" s="100">
        <v>0.25</v>
      </c>
      <c r="P39" s="9">
        <v>1</v>
      </c>
      <c r="Q39" s="182">
        <f t="shared" si="2"/>
        <v>51.5</v>
      </c>
    </row>
    <row r="40" spans="2:17" ht="45.95" customHeight="1">
      <c r="B40" s="9">
        <v>29</v>
      </c>
      <c r="C40" s="187" t="s">
        <v>36</v>
      </c>
      <c r="D40" s="99" t="s">
        <v>242</v>
      </c>
      <c r="E40" s="99" t="s">
        <v>242</v>
      </c>
      <c r="F40" s="99" t="s">
        <v>242</v>
      </c>
      <c r="G40" s="99" t="s">
        <v>242</v>
      </c>
      <c r="H40" s="100">
        <v>3</v>
      </c>
      <c r="I40" s="100">
        <v>2</v>
      </c>
      <c r="J40" s="100">
        <v>5</v>
      </c>
      <c r="K40" s="100">
        <v>15</v>
      </c>
      <c r="L40" s="100">
        <v>5</v>
      </c>
      <c r="M40" s="100">
        <v>20</v>
      </c>
      <c r="N40" s="100">
        <v>0.25</v>
      </c>
      <c r="O40" s="100">
        <v>0.25</v>
      </c>
      <c r="P40" s="9">
        <v>1</v>
      </c>
      <c r="Q40" s="182">
        <f t="shared" si="2"/>
        <v>51.5</v>
      </c>
    </row>
    <row r="41" spans="2:17" ht="45.75" customHeight="1">
      <c r="B41" s="9">
        <v>30</v>
      </c>
      <c r="C41" s="169" t="s">
        <v>37</v>
      </c>
      <c r="D41" s="99" t="s">
        <v>242</v>
      </c>
      <c r="E41" s="169" t="s">
        <v>249</v>
      </c>
      <c r="F41" s="169" t="s">
        <v>241</v>
      </c>
      <c r="G41" s="169" t="s">
        <v>247</v>
      </c>
      <c r="H41" s="100"/>
      <c r="I41" s="100"/>
      <c r="J41" s="100"/>
      <c r="K41" s="100"/>
      <c r="L41" s="100"/>
      <c r="M41" s="100"/>
      <c r="N41" s="100"/>
      <c r="O41" s="100"/>
      <c r="P41" s="9"/>
      <c r="Q41" s="182"/>
    </row>
    <row r="42" spans="2:17" ht="91.5" customHeight="1">
      <c r="B42" s="9">
        <v>31</v>
      </c>
      <c r="C42" s="169" t="s">
        <v>38</v>
      </c>
      <c r="D42" s="99" t="s">
        <v>242</v>
      </c>
      <c r="E42" s="99" t="s">
        <v>242</v>
      </c>
      <c r="F42" s="169" t="s">
        <v>244</v>
      </c>
      <c r="G42" s="99" t="s">
        <v>242</v>
      </c>
      <c r="H42" s="100"/>
      <c r="I42" s="100"/>
      <c r="J42" s="100"/>
      <c r="K42" s="100"/>
      <c r="L42" s="100"/>
      <c r="M42" s="100"/>
      <c r="N42" s="100"/>
      <c r="O42" s="100"/>
      <c r="P42" s="9"/>
      <c r="Q42" s="182"/>
    </row>
    <row r="43" spans="2:17" ht="23.1" customHeight="1">
      <c r="B43" s="9">
        <v>32</v>
      </c>
      <c r="C43" s="187" t="s">
        <v>39</v>
      </c>
      <c r="D43" s="99" t="s">
        <v>242</v>
      </c>
      <c r="E43" s="99" t="s">
        <v>242</v>
      </c>
      <c r="F43" s="99" t="s">
        <v>242</v>
      </c>
      <c r="G43" s="99" t="s">
        <v>242</v>
      </c>
      <c r="H43" s="100">
        <v>3</v>
      </c>
      <c r="I43" s="100">
        <v>2</v>
      </c>
      <c r="J43" s="100">
        <v>5</v>
      </c>
      <c r="K43" s="100">
        <v>15</v>
      </c>
      <c r="L43" s="100">
        <v>5</v>
      </c>
      <c r="M43" s="100">
        <v>20</v>
      </c>
      <c r="N43" s="100">
        <v>0.25</v>
      </c>
      <c r="O43" s="100">
        <v>0.25</v>
      </c>
      <c r="P43" s="9">
        <v>1</v>
      </c>
      <c r="Q43" s="182">
        <f t="shared" si="2"/>
        <v>51.5</v>
      </c>
    </row>
    <row r="44" spans="2:17" ht="34.5" customHeight="1">
      <c r="B44" s="9">
        <v>33</v>
      </c>
      <c r="C44" s="187" t="s">
        <v>40</v>
      </c>
      <c r="D44" s="99" t="s">
        <v>242</v>
      </c>
      <c r="E44" s="99" t="s">
        <v>242</v>
      </c>
      <c r="F44" s="99" t="s">
        <v>242</v>
      </c>
      <c r="G44" s="99" t="s">
        <v>242</v>
      </c>
      <c r="H44" s="100">
        <v>3</v>
      </c>
      <c r="I44" s="100">
        <v>2</v>
      </c>
      <c r="J44" s="100">
        <v>5</v>
      </c>
      <c r="K44" s="100">
        <v>15</v>
      </c>
      <c r="L44" s="100">
        <v>5</v>
      </c>
      <c r="M44" s="100">
        <v>20</v>
      </c>
      <c r="N44" s="100">
        <v>0.25</v>
      </c>
      <c r="O44" s="100">
        <v>0.25</v>
      </c>
      <c r="P44" s="9">
        <v>1</v>
      </c>
      <c r="Q44" s="182">
        <f t="shared" si="2"/>
        <v>51.5</v>
      </c>
    </row>
    <row r="45" spans="2:17">
      <c r="B45" s="9">
        <v>34</v>
      </c>
      <c r="C45" s="187" t="s">
        <v>41</v>
      </c>
      <c r="D45" s="99" t="s">
        <v>242</v>
      </c>
      <c r="E45" s="99" t="s">
        <v>242</v>
      </c>
      <c r="F45" s="99" t="s">
        <v>242</v>
      </c>
      <c r="G45" s="99" t="s">
        <v>242</v>
      </c>
      <c r="H45" s="100">
        <v>3</v>
      </c>
      <c r="I45" s="100">
        <v>2</v>
      </c>
      <c r="J45" s="100">
        <v>5</v>
      </c>
      <c r="K45" s="100">
        <v>15</v>
      </c>
      <c r="L45" s="100">
        <v>5</v>
      </c>
      <c r="M45" s="100">
        <v>20</v>
      </c>
      <c r="N45" s="100">
        <v>0</v>
      </c>
      <c r="O45" s="100">
        <v>0.25</v>
      </c>
      <c r="P45" s="9">
        <v>1</v>
      </c>
      <c r="Q45" s="182">
        <f t="shared" si="2"/>
        <v>51.25</v>
      </c>
    </row>
    <row r="46" spans="2:17" ht="23.1" customHeight="1">
      <c r="B46" s="9">
        <v>35</v>
      </c>
      <c r="C46" s="169" t="s">
        <v>42</v>
      </c>
      <c r="D46" s="169" t="s">
        <v>154</v>
      </c>
      <c r="E46" s="169" t="s">
        <v>154</v>
      </c>
      <c r="F46" s="169" t="s">
        <v>154</v>
      </c>
      <c r="G46" s="169" t="s">
        <v>154</v>
      </c>
      <c r="H46" s="100"/>
      <c r="I46" s="100"/>
      <c r="J46" s="100"/>
      <c r="K46" s="100"/>
      <c r="L46" s="100"/>
      <c r="M46" s="100"/>
      <c r="N46" s="100"/>
      <c r="O46" s="100"/>
      <c r="P46" s="9"/>
      <c r="Q46" s="182"/>
    </row>
    <row r="47" spans="2:17" ht="69" customHeight="1">
      <c r="B47" s="9">
        <v>36</v>
      </c>
      <c r="C47" s="187" t="s">
        <v>43</v>
      </c>
      <c r="D47" s="99" t="s">
        <v>242</v>
      </c>
      <c r="E47" s="99" t="s">
        <v>242</v>
      </c>
      <c r="F47" s="99" t="s">
        <v>242</v>
      </c>
      <c r="G47" s="99" t="s">
        <v>242</v>
      </c>
      <c r="H47" s="100">
        <v>3</v>
      </c>
      <c r="I47" s="100">
        <v>2</v>
      </c>
      <c r="J47" s="100">
        <v>5</v>
      </c>
      <c r="K47" s="100">
        <v>15</v>
      </c>
      <c r="L47" s="100">
        <v>5</v>
      </c>
      <c r="M47" s="100">
        <v>20</v>
      </c>
      <c r="N47" s="100">
        <v>0</v>
      </c>
      <c r="O47" s="100">
        <v>0.25</v>
      </c>
      <c r="P47" s="9">
        <v>1</v>
      </c>
      <c r="Q47" s="182">
        <f t="shared" si="2"/>
        <v>51.25</v>
      </c>
    </row>
    <row r="48" spans="2:17" ht="57" customHeight="1">
      <c r="B48" s="9">
        <v>37</v>
      </c>
      <c r="C48" s="187" t="s">
        <v>44</v>
      </c>
      <c r="D48" s="99" t="s">
        <v>242</v>
      </c>
      <c r="E48" s="99" t="s">
        <v>242</v>
      </c>
      <c r="F48" s="99" t="s">
        <v>242</v>
      </c>
      <c r="G48" s="99" t="s">
        <v>242</v>
      </c>
      <c r="H48" s="100">
        <v>3</v>
      </c>
      <c r="I48" s="100">
        <v>2</v>
      </c>
      <c r="J48" s="100">
        <v>5</v>
      </c>
      <c r="K48" s="100">
        <v>15</v>
      </c>
      <c r="L48" s="171" t="s">
        <v>585</v>
      </c>
      <c r="M48" s="100">
        <v>20</v>
      </c>
      <c r="N48" s="100">
        <v>0</v>
      </c>
      <c r="O48" s="100">
        <v>0.25</v>
      </c>
      <c r="P48" s="1">
        <v>1</v>
      </c>
      <c r="Q48" s="182">
        <f t="shared" si="2"/>
        <v>46.25</v>
      </c>
    </row>
    <row r="49" spans="2:17" ht="25.5" customHeight="1">
      <c r="B49" s="9">
        <v>38</v>
      </c>
      <c r="C49" s="187" t="s">
        <v>45</v>
      </c>
      <c r="D49" s="99" t="s">
        <v>242</v>
      </c>
      <c r="E49" s="99" t="s">
        <v>242</v>
      </c>
      <c r="F49" s="99" t="s">
        <v>242</v>
      </c>
      <c r="G49" s="99" t="s">
        <v>242</v>
      </c>
      <c r="H49" s="100">
        <v>3</v>
      </c>
      <c r="I49" s="100">
        <v>2</v>
      </c>
      <c r="J49" s="183">
        <v>5</v>
      </c>
      <c r="K49" s="100">
        <v>15</v>
      </c>
      <c r="L49" s="100">
        <v>5</v>
      </c>
      <c r="M49" s="100">
        <v>20</v>
      </c>
      <c r="N49" s="100">
        <v>0.25</v>
      </c>
      <c r="O49" s="100">
        <v>0.25</v>
      </c>
      <c r="P49" s="9">
        <v>1</v>
      </c>
      <c r="Q49" s="182">
        <f t="shared" si="2"/>
        <v>51.5</v>
      </c>
    </row>
    <row r="50" spans="2:17" ht="69" customHeight="1">
      <c r="B50" s="9">
        <v>39</v>
      </c>
      <c r="C50" s="187" t="s">
        <v>46</v>
      </c>
      <c r="D50" s="99" t="s">
        <v>242</v>
      </c>
      <c r="E50" s="99" t="s">
        <v>242</v>
      </c>
      <c r="F50" s="99" t="s">
        <v>242</v>
      </c>
      <c r="G50" s="99" t="s">
        <v>242</v>
      </c>
      <c r="H50" s="100">
        <v>3</v>
      </c>
      <c r="I50" s="100">
        <v>2</v>
      </c>
      <c r="J50" s="100">
        <v>5</v>
      </c>
      <c r="K50" s="100">
        <v>15</v>
      </c>
      <c r="L50" s="100">
        <v>5</v>
      </c>
      <c r="M50" s="100">
        <v>20</v>
      </c>
      <c r="N50" s="100">
        <v>0</v>
      </c>
      <c r="O50" s="100">
        <v>0.25</v>
      </c>
      <c r="P50" s="9">
        <v>1</v>
      </c>
      <c r="Q50" s="182">
        <f t="shared" si="2"/>
        <v>51.25</v>
      </c>
    </row>
    <row r="51" spans="2:17" ht="39.75" customHeight="1">
      <c r="B51" s="9">
        <v>40</v>
      </c>
      <c r="C51" s="187" t="s">
        <v>47</v>
      </c>
      <c r="D51" s="99" t="s">
        <v>242</v>
      </c>
      <c r="E51" s="99" t="s">
        <v>242</v>
      </c>
      <c r="F51" s="99" t="s">
        <v>242</v>
      </c>
      <c r="G51" s="99" t="s">
        <v>242</v>
      </c>
      <c r="H51" s="100">
        <v>3</v>
      </c>
      <c r="I51" s="100">
        <v>2</v>
      </c>
      <c r="J51" s="100">
        <v>5</v>
      </c>
      <c r="K51" s="100">
        <v>15</v>
      </c>
      <c r="L51" s="100">
        <v>5</v>
      </c>
      <c r="M51" s="100">
        <v>20</v>
      </c>
      <c r="N51" s="100">
        <v>0.25</v>
      </c>
      <c r="O51" s="100">
        <v>0.25</v>
      </c>
      <c r="P51" s="9">
        <v>1</v>
      </c>
      <c r="Q51" s="182">
        <f t="shared" si="2"/>
        <v>51.5</v>
      </c>
    </row>
    <row r="52" spans="2:17" ht="41.25" customHeight="1">
      <c r="B52" s="9">
        <v>41</v>
      </c>
      <c r="C52" s="187" t="s">
        <v>48</v>
      </c>
      <c r="D52" s="99" t="s">
        <v>242</v>
      </c>
      <c r="E52" s="99" t="s">
        <v>242</v>
      </c>
      <c r="F52" s="99" t="s">
        <v>242</v>
      </c>
      <c r="G52" s="99" t="s">
        <v>242</v>
      </c>
      <c r="H52" s="100">
        <v>3</v>
      </c>
      <c r="I52" s="100">
        <v>2</v>
      </c>
      <c r="J52" s="100">
        <v>5</v>
      </c>
      <c r="K52" s="100">
        <v>15</v>
      </c>
      <c r="L52" s="100">
        <v>5</v>
      </c>
      <c r="M52" s="100">
        <v>20</v>
      </c>
      <c r="N52" s="100">
        <v>0</v>
      </c>
      <c r="O52" s="100">
        <v>0.25</v>
      </c>
      <c r="P52" s="9">
        <v>1</v>
      </c>
      <c r="Q52" s="182">
        <f t="shared" si="2"/>
        <v>51.25</v>
      </c>
    </row>
    <row r="53" spans="2:17" ht="48" customHeight="1">
      <c r="B53" s="9">
        <v>42</v>
      </c>
      <c r="C53" s="169" t="s">
        <v>49</v>
      </c>
      <c r="D53" s="169" t="s">
        <v>240</v>
      </c>
      <c r="E53" s="99" t="s">
        <v>242</v>
      </c>
      <c r="F53" s="169" t="s">
        <v>241</v>
      </c>
      <c r="G53" s="169" t="s">
        <v>247</v>
      </c>
      <c r="H53" s="100"/>
      <c r="I53" s="100"/>
      <c r="J53" s="100"/>
      <c r="K53" s="100"/>
      <c r="L53" s="100"/>
      <c r="M53" s="100"/>
      <c r="N53" s="100"/>
      <c r="O53" s="100"/>
      <c r="P53" s="9"/>
      <c r="Q53" s="182"/>
    </row>
    <row r="54" spans="2:17" ht="33.75" customHeight="1">
      <c r="B54" s="9">
        <v>43</v>
      </c>
      <c r="C54" s="187" t="s">
        <v>50</v>
      </c>
      <c r="D54" s="99" t="s">
        <v>242</v>
      </c>
      <c r="E54" s="99" t="s">
        <v>242</v>
      </c>
      <c r="F54" s="99" t="s">
        <v>242</v>
      </c>
      <c r="G54" s="99" t="s">
        <v>242</v>
      </c>
      <c r="H54" s="100">
        <v>3</v>
      </c>
      <c r="I54" s="100">
        <v>2</v>
      </c>
      <c r="J54" s="100">
        <v>5</v>
      </c>
      <c r="K54" s="100">
        <v>15</v>
      </c>
      <c r="L54" s="100">
        <v>5</v>
      </c>
      <c r="M54" s="100">
        <v>20</v>
      </c>
      <c r="N54" s="100">
        <v>0.25</v>
      </c>
      <c r="O54" s="100">
        <v>0.25</v>
      </c>
      <c r="P54" s="9">
        <v>1</v>
      </c>
      <c r="Q54" s="182">
        <f t="shared" si="2"/>
        <v>51.5</v>
      </c>
    </row>
    <row r="55" spans="2:17" ht="119.25" customHeight="1">
      <c r="B55" s="9">
        <v>44</v>
      </c>
      <c r="C55" s="169" t="s">
        <v>51</v>
      </c>
      <c r="D55" s="99" t="s">
        <v>242</v>
      </c>
      <c r="E55" s="169" t="s">
        <v>249</v>
      </c>
      <c r="F55" s="169" t="s">
        <v>243</v>
      </c>
      <c r="G55" s="99" t="s">
        <v>242</v>
      </c>
      <c r="H55" s="100"/>
      <c r="I55" s="100"/>
      <c r="J55" s="100"/>
      <c r="K55" s="100"/>
      <c r="L55" s="100"/>
      <c r="M55" s="100"/>
      <c r="N55" s="100"/>
      <c r="O55" s="100"/>
      <c r="P55" s="9"/>
      <c r="Q55" s="182"/>
    </row>
    <row r="56" spans="2:17" ht="45" customHeight="1">
      <c r="B56" s="9">
        <v>45</v>
      </c>
      <c r="C56" s="187" t="s">
        <v>52</v>
      </c>
      <c r="D56" s="99" t="s">
        <v>242</v>
      </c>
      <c r="E56" s="99" t="s">
        <v>242</v>
      </c>
      <c r="F56" s="99" t="s">
        <v>242</v>
      </c>
      <c r="G56" s="99" t="s">
        <v>242</v>
      </c>
      <c r="H56" s="100">
        <v>3</v>
      </c>
      <c r="I56" s="100">
        <v>2</v>
      </c>
      <c r="J56" s="100">
        <v>5</v>
      </c>
      <c r="K56" s="100">
        <v>15</v>
      </c>
      <c r="L56" s="100">
        <v>5</v>
      </c>
      <c r="M56" s="100">
        <v>20</v>
      </c>
      <c r="N56" s="100">
        <v>0.25</v>
      </c>
      <c r="O56" s="100">
        <v>0.25</v>
      </c>
      <c r="P56" s="9">
        <v>1</v>
      </c>
      <c r="Q56" s="182">
        <f t="shared" si="2"/>
        <v>51.5</v>
      </c>
    </row>
    <row r="57" spans="2:17" ht="114" customHeight="1">
      <c r="B57" s="9">
        <v>46</v>
      </c>
      <c r="C57" s="187" t="s">
        <v>53</v>
      </c>
      <c r="D57" s="99" t="s">
        <v>242</v>
      </c>
      <c r="E57" s="99" t="s">
        <v>242</v>
      </c>
      <c r="F57" s="99" t="s">
        <v>242</v>
      </c>
      <c r="G57" s="99" t="s">
        <v>242</v>
      </c>
      <c r="H57" s="100">
        <v>3</v>
      </c>
      <c r="I57" s="100">
        <v>2</v>
      </c>
      <c r="J57" s="100">
        <v>5</v>
      </c>
      <c r="K57" s="100">
        <v>15</v>
      </c>
      <c r="L57" s="100">
        <v>5</v>
      </c>
      <c r="M57" s="100">
        <v>20</v>
      </c>
      <c r="N57" s="100">
        <v>0.25</v>
      </c>
      <c r="O57" s="100">
        <v>0.25</v>
      </c>
      <c r="P57" s="9">
        <v>1</v>
      </c>
      <c r="Q57" s="182">
        <f t="shared" si="2"/>
        <v>51.5</v>
      </c>
    </row>
    <row r="58" spans="2:17" ht="56.25" customHeight="1">
      <c r="B58" s="9">
        <v>47</v>
      </c>
      <c r="C58" s="169" t="s">
        <v>37</v>
      </c>
      <c r="D58" s="99" t="s">
        <v>242</v>
      </c>
      <c r="E58" s="169" t="s">
        <v>249</v>
      </c>
      <c r="F58" s="169" t="s">
        <v>249</v>
      </c>
      <c r="G58" s="99" t="s">
        <v>242</v>
      </c>
      <c r="H58" s="100"/>
      <c r="I58" s="100"/>
      <c r="J58" s="100"/>
      <c r="K58" s="100"/>
      <c r="L58" s="100"/>
      <c r="M58" s="100"/>
      <c r="N58" s="100"/>
      <c r="O58" s="100"/>
      <c r="P58" s="9"/>
      <c r="Q58" s="182"/>
    </row>
    <row r="59" spans="2:17" ht="59.25" customHeight="1">
      <c r="B59" s="9">
        <v>48</v>
      </c>
      <c r="C59" s="187" t="s">
        <v>54</v>
      </c>
      <c r="D59" s="99" t="s">
        <v>242</v>
      </c>
      <c r="E59" s="99" t="s">
        <v>242</v>
      </c>
      <c r="F59" s="99" t="s">
        <v>242</v>
      </c>
      <c r="G59" s="99" t="s">
        <v>242</v>
      </c>
      <c r="H59" s="100">
        <v>3</v>
      </c>
      <c r="I59" s="100">
        <v>2</v>
      </c>
      <c r="J59" s="100">
        <v>5</v>
      </c>
      <c r="K59" s="100">
        <v>15</v>
      </c>
      <c r="L59" s="100">
        <v>5</v>
      </c>
      <c r="M59" s="100">
        <v>20</v>
      </c>
      <c r="N59" s="100">
        <v>0</v>
      </c>
      <c r="O59" s="100">
        <v>0.25</v>
      </c>
      <c r="P59" s="9">
        <v>1</v>
      </c>
      <c r="Q59" s="182">
        <f t="shared" si="2"/>
        <v>51.25</v>
      </c>
    </row>
    <row r="60" spans="2:17" ht="54" customHeight="1">
      <c r="B60" s="9">
        <v>49</v>
      </c>
      <c r="C60" s="187" t="s">
        <v>55</v>
      </c>
      <c r="D60" s="99" t="s">
        <v>242</v>
      </c>
      <c r="E60" s="99" t="s">
        <v>242</v>
      </c>
      <c r="F60" s="99" t="s">
        <v>242</v>
      </c>
      <c r="G60" s="99" t="s">
        <v>242</v>
      </c>
      <c r="H60" s="100">
        <v>3</v>
      </c>
      <c r="I60" s="100">
        <v>2</v>
      </c>
      <c r="J60" s="100">
        <v>5</v>
      </c>
      <c r="K60" s="100">
        <v>15</v>
      </c>
      <c r="L60" s="100">
        <v>5</v>
      </c>
      <c r="M60" s="100">
        <v>20</v>
      </c>
      <c r="N60" s="100">
        <v>0.25</v>
      </c>
      <c r="O60" s="100">
        <v>0.25</v>
      </c>
      <c r="P60" s="9">
        <v>1</v>
      </c>
      <c r="Q60" s="182">
        <f t="shared" si="2"/>
        <v>51.5</v>
      </c>
    </row>
  </sheetData>
  <autoFilter ref="B9:G60" xr:uid="{00000000-0009-0000-0000-000006000000}">
    <sortState xmlns:xlrd2="http://schemas.microsoft.com/office/spreadsheetml/2017/richdata2" ref="B14:G60">
      <sortCondition sortBy="cellColor" ref="C9:C60" dxfId="1"/>
    </sortState>
  </autoFilter>
  <mergeCells count="15">
    <mergeCell ref="B2:Q2"/>
    <mergeCell ref="B7:Q7"/>
    <mergeCell ref="B6:Q6"/>
    <mergeCell ref="B4:Q4"/>
    <mergeCell ref="B9:B11"/>
    <mergeCell ref="C9:C11"/>
    <mergeCell ref="Q9:Q11"/>
    <mergeCell ref="B3:Q3"/>
    <mergeCell ref="N8:O8"/>
    <mergeCell ref="H8:J8"/>
    <mergeCell ref="L8:M8"/>
    <mergeCell ref="D9:D11"/>
    <mergeCell ref="E9:E11"/>
    <mergeCell ref="F9:F11"/>
    <mergeCell ref="G9:G11"/>
  </mergeCells>
  <pageMargins left="0.7" right="0.7" top="0.75" bottom="0.75" header="0.3" footer="0.3"/>
  <pageSetup scale="66" orientation="landscape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00000000-0003-0000-0600-000000000000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RESUMEN!C9:C9</xm:f>
              <xm:sqref>C9</xm:sqref>
            </x14:sparkline>
            <x14:sparkline>
              <xm:f>RESUMEN!C10:C10</xm:f>
              <xm:sqref>C10</xm:sqref>
            </x14:sparkline>
            <x14:sparkline>
              <xm:f>RESUMEN!E10:E10</xm:f>
              <xm:sqref>E10</xm:sqref>
            </x14:sparkline>
            <x14:sparkline>
              <xm:f>RESUMEN!F10:F10</xm:f>
              <xm:sqref>F10</xm:sqref>
            </x14:sparkline>
            <x14:sparkline>
              <xm:f>RESUMEN!G10:G10</xm:f>
              <xm:sqref>G10</xm:sqref>
            </x14:sparkline>
          </x14:sparklines>
        </x14:sparklineGroup>
        <x14:sparklineGroup manualMax="0" manualMin="0" displayEmptyCellsAs="gap" xr2:uid="{00000000-0003-0000-0600-000001000000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RESUMEN!B9:B9</xm:f>
              <xm:sqref>B9</xm:sqref>
            </x14:sparkline>
            <x14:sparkline>
              <xm:f>RESUMEN!B10:B10</xm:f>
              <xm:sqref>B10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EVALUACIÓN JURÍDICA</vt:lpstr>
      <vt:lpstr>RESUMEN INDICADORES</vt:lpstr>
      <vt:lpstr>INDICADORES</vt:lpstr>
      <vt:lpstr>DETALLADA FINANCIERA CONSORCIOS</vt:lpstr>
      <vt:lpstr>EXPERIENCIA</vt:lpstr>
      <vt:lpstr>K RESIDUAL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VILLEGAS SADDER</dc:creator>
  <cp:lastModifiedBy>SILVIO VILLEGAS SADDER</cp:lastModifiedBy>
  <cp:lastPrinted>2019-12-18T22:26:32Z</cp:lastPrinted>
  <dcterms:created xsi:type="dcterms:W3CDTF">2019-12-03T22:13:48Z</dcterms:created>
  <dcterms:modified xsi:type="dcterms:W3CDTF">2026-05-27T13:32:00Z</dcterms:modified>
</cp:coreProperties>
</file>