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IVADM\SECCION CONTRATOS\INFRAESTRUCTURA\DOCUMENTOS PROYECTADOS\"/>
    </mc:Choice>
  </mc:AlternateContent>
  <bookViews>
    <workbookView xWindow="0" yWindow="0" windowWidth="28740" windowHeight="12270" activeTab="1"/>
  </bookViews>
  <sheets>
    <sheet name="ANALISIS DE COTIZACIONES " sheetId="2" r:id="rId1"/>
    <sheet name="VALOR TECHO ESTIMADO" sheetId="3" r:id="rId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32" i="2" l="1"/>
  <c r="O131" i="2"/>
  <c r="O130" i="2"/>
  <c r="O129" i="2"/>
  <c r="S5" i="2"/>
  <c r="T5" i="2"/>
  <c r="L121" i="3"/>
  <c r="L120" i="3"/>
  <c r="L119" i="3"/>
  <c r="L118" i="3"/>
  <c r="L117" i="3"/>
  <c r="L116" i="3"/>
  <c r="K119" i="3"/>
  <c r="K118" i="3"/>
  <c r="K117" i="3"/>
  <c r="K5" i="3"/>
  <c r="F116" i="3"/>
  <c r="F117" i="3" s="1"/>
  <c r="L115" i="3"/>
  <c r="K115" i="3"/>
  <c r="D115" i="3"/>
  <c r="L114" i="3"/>
  <c r="K114" i="3"/>
  <c r="L113" i="3"/>
  <c r="K113" i="3"/>
  <c r="L112" i="3"/>
  <c r="K112" i="3"/>
  <c r="L111" i="3"/>
  <c r="K111" i="3"/>
  <c r="L110" i="3"/>
  <c r="K110" i="3"/>
  <c r="L109" i="3"/>
  <c r="K109" i="3"/>
  <c r="L108" i="3"/>
  <c r="K108" i="3"/>
  <c r="L107" i="3"/>
  <c r="K107" i="3"/>
  <c r="L106" i="3"/>
  <c r="K106" i="3"/>
  <c r="L105" i="3"/>
  <c r="K105" i="3"/>
  <c r="D105" i="3"/>
  <c r="L104" i="3"/>
  <c r="K104" i="3"/>
  <c r="D104" i="3"/>
  <c r="L103" i="3"/>
  <c r="K103" i="3"/>
  <c r="D103" i="3"/>
  <c r="L102" i="3"/>
  <c r="K102" i="3"/>
  <c r="L101" i="3"/>
  <c r="K101" i="3"/>
  <c r="L100" i="3"/>
  <c r="K100" i="3"/>
  <c r="L98" i="3"/>
  <c r="K98" i="3"/>
  <c r="L97" i="3"/>
  <c r="K97" i="3"/>
  <c r="L96" i="3"/>
  <c r="K96" i="3"/>
  <c r="D96" i="3"/>
  <c r="L95" i="3"/>
  <c r="K95" i="3"/>
  <c r="L94" i="3"/>
  <c r="K94" i="3"/>
  <c r="D94" i="3"/>
  <c r="D95" i="3" s="1"/>
  <c r="L93" i="3"/>
  <c r="K93" i="3"/>
  <c r="D93" i="3"/>
  <c r="L92" i="3"/>
  <c r="K92" i="3"/>
  <c r="L91" i="3"/>
  <c r="K91" i="3"/>
  <c r="L90" i="3"/>
  <c r="K90" i="3"/>
  <c r="D90" i="3"/>
  <c r="D91" i="3" s="1"/>
  <c r="L88" i="3"/>
  <c r="K88" i="3"/>
  <c r="L87" i="3"/>
  <c r="K87" i="3"/>
  <c r="L86" i="3"/>
  <c r="K86" i="3"/>
  <c r="L85" i="3"/>
  <c r="K85" i="3"/>
  <c r="L84" i="3"/>
  <c r="K84" i="3"/>
  <c r="L83" i="3"/>
  <c r="K83" i="3"/>
  <c r="L82" i="3"/>
  <c r="K82" i="3"/>
  <c r="L81" i="3"/>
  <c r="K81" i="3"/>
  <c r="L80" i="3"/>
  <c r="K80" i="3"/>
  <c r="L79" i="3"/>
  <c r="K79" i="3"/>
  <c r="L78" i="3"/>
  <c r="K78" i="3"/>
  <c r="L77" i="3"/>
  <c r="K77" i="3"/>
  <c r="L76" i="3"/>
  <c r="K76" i="3"/>
  <c r="L75" i="3"/>
  <c r="K75" i="3"/>
  <c r="L74" i="3"/>
  <c r="K74" i="3"/>
  <c r="L73" i="3"/>
  <c r="K73" i="3"/>
  <c r="L72" i="3"/>
  <c r="K72" i="3"/>
  <c r="L71" i="3"/>
  <c r="K71" i="3"/>
  <c r="L70" i="3"/>
  <c r="K70" i="3"/>
  <c r="L69" i="3"/>
  <c r="K69" i="3"/>
  <c r="L68" i="3"/>
  <c r="K68" i="3"/>
  <c r="L67" i="3"/>
  <c r="K67" i="3"/>
  <c r="L66" i="3"/>
  <c r="K66" i="3"/>
  <c r="L65" i="3"/>
  <c r="K65" i="3"/>
  <c r="L62" i="3"/>
  <c r="K62" i="3"/>
  <c r="L61" i="3"/>
  <c r="K61" i="3"/>
  <c r="D61" i="3"/>
  <c r="L60" i="3"/>
  <c r="K60" i="3"/>
  <c r="L59" i="3"/>
  <c r="K59" i="3"/>
  <c r="L58" i="3"/>
  <c r="K58" i="3"/>
  <c r="L56" i="3"/>
  <c r="K56" i="3"/>
  <c r="L55" i="3"/>
  <c r="K55" i="3"/>
  <c r="L54" i="3"/>
  <c r="K54" i="3"/>
  <c r="L53" i="3"/>
  <c r="K53" i="3"/>
  <c r="D53" i="3"/>
  <c r="D55" i="3" s="1"/>
  <c r="L51" i="3"/>
  <c r="K51" i="3"/>
  <c r="L50" i="3"/>
  <c r="K50" i="3"/>
  <c r="L49" i="3"/>
  <c r="K49" i="3"/>
  <c r="D49" i="3"/>
  <c r="D51" i="3" s="1"/>
  <c r="L47" i="3"/>
  <c r="K47" i="3"/>
  <c r="L46" i="3"/>
  <c r="K46" i="3"/>
  <c r="L45" i="3"/>
  <c r="K45" i="3"/>
  <c r="L44" i="3"/>
  <c r="K44" i="3"/>
  <c r="D44" i="3"/>
  <c r="D47" i="3" s="1"/>
  <c r="L43" i="3"/>
  <c r="K43" i="3"/>
  <c r="D43" i="3"/>
  <c r="D46" i="3" s="1"/>
  <c r="L41" i="3"/>
  <c r="K41" i="3"/>
  <c r="L40" i="3"/>
  <c r="K40" i="3"/>
  <c r="L39" i="3"/>
  <c r="K39" i="3"/>
  <c r="L38" i="3"/>
  <c r="K38" i="3"/>
  <c r="L35" i="3"/>
  <c r="K35" i="3"/>
  <c r="L34" i="3"/>
  <c r="K34" i="3"/>
  <c r="L33" i="3"/>
  <c r="K33" i="3"/>
  <c r="D33" i="3"/>
  <c r="L32" i="3"/>
  <c r="K32" i="3"/>
  <c r="D32" i="3"/>
  <c r="L31" i="3"/>
  <c r="K31" i="3"/>
  <c r="D31" i="3"/>
  <c r="L30" i="3"/>
  <c r="K30" i="3"/>
  <c r="D30" i="3"/>
  <c r="L29" i="3"/>
  <c r="K29" i="3"/>
  <c r="D29" i="3"/>
  <c r="L28" i="3"/>
  <c r="K28" i="3"/>
  <c r="D28" i="3"/>
  <c r="L27" i="3"/>
  <c r="K27" i="3"/>
  <c r="D27" i="3"/>
  <c r="L26" i="3"/>
  <c r="K26" i="3"/>
  <c r="D26" i="3"/>
  <c r="L25" i="3"/>
  <c r="K25" i="3"/>
  <c r="D25" i="3"/>
  <c r="L24" i="3"/>
  <c r="K24" i="3"/>
  <c r="D24" i="3"/>
  <c r="L23" i="3"/>
  <c r="K23" i="3"/>
  <c r="L22" i="3"/>
  <c r="K22" i="3"/>
  <c r="L21" i="3"/>
  <c r="K21" i="3"/>
  <c r="L20" i="3"/>
  <c r="K20" i="3"/>
  <c r="D20" i="3"/>
  <c r="L19" i="3"/>
  <c r="K19" i="3"/>
  <c r="L17" i="3"/>
  <c r="K17" i="3"/>
  <c r="L16" i="3"/>
  <c r="K16" i="3"/>
  <c r="L15" i="3"/>
  <c r="K15" i="3"/>
  <c r="L14" i="3"/>
  <c r="K14" i="3"/>
  <c r="L13" i="3"/>
  <c r="K13" i="3"/>
  <c r="L12" i="3"/>
  <c r="K12" i="3"/>
  <c r="L11" i="3"/>
  <c r="K11" i="3"/>
  <c r="L10" i="3"/>
  <c r="K10" i="3"/>
  <c r="L9" i="3"/>
  <c r="K9" i="3"/>
  <c r="L8" i="3"/>
  <c r="K8" i="3"/>
  <c r="L7" i="3"/>
  <c r="K7" i="3"/>
  <c r="L6" i="3"/>
  <c r="K6" i="3"/>
  <c r="L5" i="3"/>
  <c r="N130" i="2"/>
  <c r="N131" i="2"/>
  <c r="N129" i="2"/>
  <c r="F118" i="3" l="1"/>
  <c r="F119" i="3"/>
  <c r="F120" i="3" s="1"/>
  <c r="R7" i="2"/>
  <c r="P5" i="2"/>
  <c r="N6" i="2"/>
  <c r="N7" i="2"/>
  <c r="N8" i="2"/>
  <c r="N9" i="2"/>
  <c r="N10" i="2"/>
  <c r="N11" i="2"/>
  <c r="N12" i="2"/>
  <c r="N13" i="2"/>
  <c r="N14" i="2"/>
  <c r="N15" i="2"/>
  <c r="N16" i="2"/>
  <c r="N17" i="2"/>
  <c r="N19" i="2"/>
  <c r="N20" i="2"/>
  <c r="N21" i="2"/>
  <c r="N22" i="2"/>
  <c r="N23" i="2"/>
  <c r="N24" i="2"/>
  <c r="N25" i="2"/>
  <c r="N26" i="2"/>
  <c r="N27" i="2"/>
  <c r="N28" i="2"/>
  <c r="N29" i="2"/>
  <c r="N30" i="2"/>
  <c r="N31" i="2"/>
  <c r="N32" i="2"/>
  <c r="N33" i="2"/>
  <c r="N34" i="2"/>
  <c r="N35" i="2"/>
  <c r="N38" i="2"/>
  <c r="N39" i="2"/>
  <c r="N40" i="2"/>
  <c r="N41" i="2"/>
  <c r="N43" i="2"/>
  <c r="N44" i="2"/>
  <c r="N45" i="2"/>
  <c r="N46" i="2"/>
  <c r="N47" i="2"/>
  <c r="N49" i="2"/>
  <c r="N50" i="2"/>
  <c r="N51" i="2"/>
  <c r="N53" i="2"/>
  <c r="N54" i="2"/>
  <c r="N55" i="2"/>
  <c r="N56" i="2"/>
  <c r="N58" i="2"/>
  <c r="N59" i="2"/>
  <c r="N60" i="2"/>
  <c r="N61" i="2"/>
  <c r="N62" i="2"/>
  <c r="N65" i="2"/>
  <c r="N66" i="2"/>
  <c r="N67" i="2"/>
  <c r="N68" i="2"/>
  <c r="N69" i="2"/>
  <c r="N70" i="2"/>
  <c r="N71" i="2"/>
  <c r="N72" i="2"/>
  <c r="N73" i="2"/>
  <c r="N74" i="2"/>
  <c r="N75" i="2"/>
  <c r="N76" i="2"/>
  <c r="N77" i="2"/>
  <c r="N78" i="2"/>
  <c r="N79" i="2"/>
  <c r="N80" i="2"/>
  <c r="N81" i="2"/>
  <c r="N82" i="2"/>
  <c r="N83" i="2"/>
  <c r="N84" i="2"/>
  <c r="N85" i="2"/>
  <c r="N86" i="2"/>
  <c r="N87" i="2"/>
  <c r="N88" i="2"/>
  <c r="N90" i="2"/>
  <c r="N91" i="2"/>
  <c r="N92" i="2"/>
  <c r="N93" i="2"/>
  <c r="N94" i="2"/>
  <c r="N95" i="2"/>
  <c r="N96" i="2"/>
  <c r="N97" i="2"/>
  <c r="N98" i="2"/>
  <c r="N100" i="2"/>
  <c r="N101" i="2"/>
  <c r="N102" i="2"/>
  <c r="N103" i="2"/>
  <c r="N104" i="2"/>
  <c r="N105" i="2"/>
  <c r="N106" i="2"/>
  <c r="N107" i="2"/>
  <c r="N108" i="2"/>
  <c r="N109" i="2"/>
  <c r="N110" i="2"/>
  <c r="N111" i="2"/>
  <c r="N112" i="2"/>
  <c r="N113" i="2"/>
  <c r="N114" i="2"/>
  <c r="N115" i="2"/>
  <c r="O5" i="2"/>
  <c r="N5" i="2"/>
  <c r="I128" i="2" l="1"/>
  <c r="T6" i="2" l="1"/>
  <c r="T7" i="2"/>
  <c r="T8" i="2"/>
  <c r="T9" i="2"/>
  <c r="T10" i="2"/>
  <c r="T11" i="2"/>
  <c r="T12" i="2"/>
  <c r="T13" i="2"/>
  <c r="T14" i="2"/>
  <c r="T15" i="2"/>
  <c r="T16" i="2"/>
  <c r="T17" i="2"/>
  <c r="T19" i="2"/>
  <c r="T20" i="2"/>
  <c r="T21" i="2"/>
  <c r="T22" i="2"/>
  <c r="T23" i="2"/>
  <c r="T24" i="2"/>
  <c r="T25" i="2"/>
  <c r="T26" i="2"/>
  <c r="T27" i="2"/>
  <c r="T28" i="2"/>
  <c r="T29" i="2"/>
  <c r="T30" i="2"/>
  <c r="T31" i="2"/>
  <c r="T32" i="2"/>
  <c r="T33" i="2"/>
  <c r="T34" i="2"/>
  <c r="T35" i="2"/>
  <c r="T38" i="2"/>
  <c r="T39" i="2"/>
  <c r="T40" i="2"/>
  <c r="T41" i="2"/>
  <c r="T43" i="2"/>
  <c r="T44" i="2"/>
  <c r="T45" i="2"/>
  <c r="T46" i="2"/>
  <c r="T47" i="2"/>
  <c r="T49" i="2"/>
  <c r="T50" i="2"/>
  <c r="T51" i="2"/>
  <c r="T53" i="2"/>
  <c r="T54" i="2"/>
  <c r="T55" i="2"/>
  <c r="T56" i="2"/>
  <c r="T58" i="2"/>
  <c r="T59" i="2"/>
  <c r="T60" i="2"/>
  <c r="T61" i="2"/>
  <c r="T62" i="2"/>
  <c r="T65" i="2"/>
  <c r="T66" i="2"/>
  <c r="T67" i="2"/>
  <c r="T68" i="2"/>
  <c r="T69" i="2"/>
  <c r="T70" i="2"/>
  <c r="T71" i="2"/>
  <c r="T72" i="2"/>
  <c r="T73" i="2"/>
  <c r="T74" i="2"/>
  <c r="T75" i="2"/>
  <c r="T76" i="2"/>
  <c r="T77" i="2"/>
  <c r="T78" i="2"/>
  <c r="T79" i="2"/>
  <c r="T80" i="2"/>
  <c r="T81" i="2"/>
  <c r="T82" i="2"/>
  <c r="T83" i="2"/>
  <c r="T84" i="2"/>
  <c r="T85" i="2"/>
  <c r="T86" i="2"/>
  <c r="T87" i="2"/>
  <c r="T88" i="2"/>
  <c r="T90" i="2"/>
  <c r="T91" i="2"/>
  <c r="T92" i="2"/>
  <c r="T93" i="2"/>
  <c r="T94" i="2"/>
  <c r="T95" i="2"/>
  <c r="T96" i="2"/>
  <c r="T97" i="2"/>
  <c r="T98" i="2"/>
  <c r="T100" i="2"/>
  <c r="T101" i="2"/>
  <c r="T102" i="2"/>
  <c r="T103" i="2"/>
  <c r="T104" i="2"/>
  <c r="T105" i="2"/>
  <c r="T106" i="2"/>
  <c r="T107" i="2"/>
  <c r="T108" i="2"/>
  <c r="T109" i="2"/>
  <c r="T110" i="2"/>
  <c r="T111" i="2"/>
  <c r="T112" i="2"/>
  <c r="T113" i="2"/>
  <c r="T114" i="2"/>
  <c r="T115" i="2"/>
  <c r="R6" i="2"/>
  <c r="R8" i="2"/>
  <c r="R9" i="2"/>
  <c r="R10" i="2"/>
  <c r="R11" i="2"/>
  <c r="R12" i="2"/>
  <c r="R13" i="2"/>
  <c r="R14" i="2"/>
  <c r="R15" i="2"/>
  <c r="R16" i="2"/>
  <c r="R17" i="2"/>
  <c r="R19" i="2"/>
  <c r="R20" i="2"/>
  <c r="R21" i="2"/>
  <c r="R22" i="2"/>
  <c r="R23" i="2"/>
  <c r="R24" i="2"/>
  <c r="R25" i="2"/>
  <c r="R26" i="2"/>
  <c r="R27" i="2"/>
  <c r="R28" i="2"/>
  <c r="R29" i="2"/>
  <c r="R30" i="2"/>
  <c r="R31" i="2"/>
  <c r="R32" i="2"/>
  <c r="R33" i="2"/>
  <c r="R34" i="2"/>
  <c r="R35" i="2"/>
  <c r="R38" i="2"/>
  <c r="R39" i="2"/>
  <c r="R40" i="2"/>
  <c r="R41" i="2"/>
  <c r="R43" i="2"/>
  <c r="R44" i="2"/>
  <c r="R45" i="2"/>
  <c r="R46" i="2"/>
  <c r="R47" i="2"/>
  <c r="R49" i="2"/>
  <c r="R50" i="2"/>
  <c r="R51" i="2"/>
  <c r="R53" i="2"/>
  <c r="R54" i="2"/>
  <c r="R55" i="2"/>
  <c r="R56" i="2"/>
  <c r="R58" i="2"/>
  <c r="R59" i="2"/>
  <c r="R60" i="2"/>
  <c r="R61" i="2"/>
  <c r="R62" i="2"/>
  <c r="R65" i="2"/>
  <c r="R66" i="2"/>
  <c r="R67" i="2"/>
  <c r="R68" i="2"/>
  <c r="R69" i="2"/>
  <c r="R70" i="2"/>
  <c r="R71" i="2"/>
  <c r="R72" i="2"/>
  <c r="R73" i="2"/>
  <c r="R74" i="2"/>
  <c r="R75" i="2"/>
  <c r="R76" i="2"/>
  <c r="R77" i="2"/>
  <c r="R78" i="2"/>
  <c r="R79" i="2"/>
  <c r="R80" i="2"/>
  <c r="R81" i="2"/>
  <c r="R82" i="2"/>
  <c r="R83" i="2"/>
  <c r="R84" i="2"/>
  <c r="R85" i="2"/>
  <c r="R86" i="2"/>
  <c r="R87" i="2"/>
  <c r="R88" i="2"/>
  <c r="R90" i="2"/>
  <c r="R91" i="2"/>
  <c r="R92" i="2"/>
  <c r="R93" i="2"/>
  <c r="R94" i="2"/>
  <c r="R95" i="2"/>
  <c r="R96" i="2"/>
  <c r="R97" i="2"/>
  <c r="R98" i="2"/>
  <c r="R100" i="2"/>
  <c r="R101" i="2"/>
  <c r="R102" i="2"/>
  <c r="R103" i="2"/>
  <c r="R104" i="2"/>
  <c r="R105" i="2"/>
  <c r="R106" i="2"/>
  <c r="R107" i="2"/>
  <c r="R108" i="2"/>
  <c r="R109" i="2"/>
  <c r="R110" i="2"/>
  <c r="R111" i="2"/>
  <c r="R112" i="2"/>
  <c r="R113" i="2"/>
  <c r="R114" i="2"/>
  <c r="R115" i="2"/>
  <c r="R5" i="2"/>
  <c r="Q6" i="2"/>
  <c r="Q7" i="2"/>
  <c r="Q8" i="2"/>
  <c r="Q9" i="2"/>
  <c r="Q10" i="2"/>
  <c r="Q11" i="2"/>
  <c r="Q12" i="2"/>
  <c r="Q13" i="2"/>
  <c r="Q14" i="2"/>
  <c r="Q15" i="2"/>
  <c r="Q16" i="2"/>
  <c r="Q17" i="2"/>
  <c r="Q19" i="2"/>
  <c r="Q20" i="2"/>
  <c r="Q21" i="2"/>
  <c r="Q22" i="2"/>
  <c r="Q23" i="2"/>
  <c r="Q24" i="2"/>
  <c r="Q25" i="2"/>
  <c r="Q26" i="2"/>
  <c r="Q27" i="2"/>
  <c r="Q28" i="2"/>
  <c r="Q29" i="2"/>
  <c r="Q30" i="2"/>
  <c r="Q31" i="2"/>
  <c r="Q32" i="2"/>
  <c r="Q33" i="2"/>
  <c r="Q34" i="2"/>
  <c r="Q35" i="2"/>
  <c r="Q38" i="2"/>
  <c r="Q39" i="2"/>
  <c r="Q40" i="2"/>
  <c r="Q41" i="2"/>
  <c r="Q43" i="2"/>
  <c r="Q44" i="2"/>
  <c r="Q45" i="2"/>
  <c r="Q46" i="2"/>
  <c r="Q47" i="2"/>
  <c r="Q49" i="2"/>
  <c r="Q50" i="2"/>
  <c r="Q51" i="2"/>
  <c r="Q53" i="2"/>
  <c r="Q54" i="2"/>
  <c r="Q55" i="2"/>
  <c r="Q56" i="2"/>
  <c r="Q58" i="2"/>
  <c r="Q59" i="2"/>
  <c r="Q60" i="2"/>
  <c r="Q61" i="2"/>
  <c r="Q62" i="2"/>
  <c r="Q65" i="2"/>
  <c r="Q66" i="2"/>
  <c r="Q67" i="2"/>
  <c r="Q68" i="2"/>
  <c r="Q69" i="2"/>
  <c r="Q70" i="2"/>
  <c r="Q71" i="2"/>
  <c r="Q72" i="2"/>
  <c r="Q73" i="2"/>
  <c r="Q74" i="2"/>
  <c r="Q75" i="2"/>
  <c r="Q76" i="2"/>
  <c r="Q77" i="2"/>
  <c r="Q78" i="2"/>
  <c r="Q79" i="2"/>
  <c r="Q80" i="2"/>
  <c r="Q81" i="2"/>
  <c r="Q82" i="2"/>
  <c r="Q83" i="2"/>
  <c r="Q84" i="2"/>
  <c r="Q85" i="2"/>
  <c r="Q86" i="2"/>
  <c r="Q87" i="2"/>
  <c r="Q88" i="2"/>
  <c r="Q90" i="2"/>
  <c r="Q91" i="2"/>
  <c r="Q92" i="2"/>
  <c r="Q93" i="2"/>
  <c r="Q94" i="2"/>
  <c r="Q95" i="2"/>
  <c r="Q96" i="2"/>
  <c r="Q97" i="2"/>
  <c r="Q98" i="2"/>
  <c r="Q100" i="2"/>
  <c r="Q101" i="2"/>
  <c r="Q102" i="2"/>
  <c r="Q103" i="2"/>
  <c r="Q104" i="2"/>
  <c r="Q105" i="2"/>
  <c r="Q106" i="2"/>
  <c r="Q107" i="2"/>
  <c r="Q108" i="2"/>
  <c r="Q109" i="2"/>
  <c r="Q110" i="2"/>
  <c r="Q111" i="2"/>
  <c r="Q112" i="2"/>
  <c r="Q113" i="2"/>
  <c r="Q114" i="2"/>
  <c r="Q115" i="2"/>
  <c r="Q5" i="2"/>
  <c r="O128" i="2" l="1"/>
  <c r="O19" i="2"/>
  <c r="S19" i="2" s="1"/>
  <c r="P6" i="2"/>
  <c r="P7" i="2"/>
  <c r="P8" i="2"/>
  <c r="P9" i="2"/>
  <c r="P10" i="2"/>
  <c r="P11" i="2"/>
  <c r="P12" i="2"/>
  <c r="P13" i="2"/>
  <c r="P14" i="2"/>
  <c r="P15" i="2"/>
  <c r="P16" i="2"/>
  <c r="P17" i="2"/>
  <c r="P19" i="2"/>
  <c r="P20" i="2"/>
  <c r="P21" i="2"/>
  <c r="P22" i="2"/>
  <c r="P23" i="2"/>
  <c r="P24" i="2"/>
  <c r="P25" i="2"/>
  <c r="P26" i="2"/>
  <c r="P27" i="2"/>
  <c r="P28" i="2"/>
  <c r="P29" i="2"/>
  <c r="P30" i="2"/>
  <c r="P31" i="2"/>
  <c r="P32" i="2"/>
  <c r="P33" i="2"/>
  <c r="P34" i="2"/>
  <c r="P35" i="2"/>
  <c r="P38" i="2"/>
  <c r="P39" i="2"/>
  <c r="P40" i="2"/>
  <c r="P41" i="2"/>
  <c r="P43" i="2"/>
  <c r="P44" i="2"/>
  <c r="P45" i="2"/>
  <c r="P46" i="2"/>
  <c r="P47" i="2"/>
  <c r="P49" i="2"/>
  <c r="P50" i="2"/>
  <c r="P51" i="2"/>
  <c r="P53" i="2"/>
  <c r="P54" i="2"/>
  <c r="P55" i="2"/>
  <c r="P56" i="2"/>
  <c r="P58" i="2"/>
  <c r="P59" i="2"/>
  <c r="P60" i="2"/>
  <c r="P61" i="2"/>
  <c r="P62" i="2"/>
  <c r="P65" i="2"/>
  <c r="P66" i="2"/>
  <c r="P67" i="2"/>
  <c r="P68" i="2"/>
  <c r="P69" i="2"/>
  <c r="P70" i="2"/>
  <c r="P71" i="2"/>
  <c r="P72" i="2"/>
  <c r="P73" i="2"/>
  <c r="P74" i="2"/>
  <c r="P75" i="2"/>
  <c r="P76" i="2"/>
  <c r="P77" i="2"/>
  <c r="P78" i="2"/>
  <c r="P79" i="2"/>
  <c r="P80" i="2"/>
  <c r="P81" i="2"/>
  <c r="P82" i="2"/>
  <c r="P83" i="2"/>
  <c r="P84" i="2"/>
  <c r="P85" i="2"/>
  <c r="P86" i="2"/>
  <c r="P87" i="2"/>
  <c r="P88" i="2"/>
  <c r="P90" i="2"/>
  <c r="P91" i="2"/>
  <c r="P92" i="2"/>
  <c r="P93" i="2"/>
  <c r="P94" i="2"/>
  <c r="P95" i="2"/>
  <c r="P96" i="2"/>
  <c r="P97" i="2"/>
  <c r="P98" i="2"/>
  <c r="P100" i="2"/>
  <c r="P101" i="2"/>
  <c r="P102" i="2"/>
  <c r="P103" i="2"/>
  <c r="P104" i="2"/>
  <c r="P105" i="2"/>
  <c r="P106" i="2"/>
  <c r="P107" i="2"/>
  <c r="P108" i="2"/>
  <c r="P109" i="2"/>
  <c r="P110" i="2"/>
  <c r="P111" i="2"/>
  <c r="P112" i="2"/>
  <c r="P113" i="2"/>
  <c r="P114" i="2"/>
  <c r="P115" i="2"/>
  <c r="O6" i="2"/>
  <c r="S6" i="2" s="1"/>
  <c r="O7" i="2"/>
  <c r="S7" i="2" s="1"/>
  <c r="O8" i="2"/>
  <c r="S8" i="2" s="1"/>
  <c r="O9" i="2"/>
  <c r="S9" i="2" s="1"/>
  <c r="O10" i="2"/>
  <c r="S10" i="2" s="1"/>
  <c r="O11" i="2"/>
  <c r="S11" i="2" s="1"/>
  <c r="O12" i="2"/>
  <c r="S12" i="2" s="1"/>
  <c r="O13" i="2"/>
  <c r="S13" i="2" s="1"/>
  <c r="O14" i="2"/>
  <c r="S14" i="2" s="1"/>
  <c r="O15" i="2"/>
  <c r="S15" i="2" s="1"/>
  <c r="O16" i="2"/>
  <c r="S16" i="2" s="1"/>
  <c r="O17" i="2"/>
  <c r="S17" i="2" s="1"/>
  <c r="O20" i="2"/>
  <c r="S20" i="2" s="1"/>
  <c r="O21" i="2"/>
  <c r="S21" i="2" s="1"/>
  <c r="O22" i="2"/>
  <c r="S22" i="2" s="1"/>
  <c r="O23" i="2"/>
  <c r="S23" i="2" s="1"/>
  <c r="O24" i="2"/>
  <c r="S24" i="2" s="1"/>
  <c r="O25" i="2"/>
  <c r="S25" i="2" s="1"/>
  <c r="O26" i="2"/>
  <c r="S26" i="2" s="1"/>
  <c r="O27" i="2"/>
  <c r="S27" i="2" s="1"/>
  <c r="O28" i="2"/>
  <c r="S28" i="2" s="1"/>
  <c r="O29" i="2"/>
  <c r="S29" i="2" s="1"/>
  <c r="O30" i="2"/>
  <c r="S30" i="2" s="1"/>
  <c r="O31" i="2"/>
  <c r="S31" i="2" s="1"/>
  <c r="O32" i="2"/>
  <c r="S32" i="2" s="1"/>
  <c r="O33" i="2"/>
  <c r="S33" i="2" s="1"/>
  <c r="O34" i="2"/>
  <c r="S34" i="2" s="1"/>
  <c r="O35" i="2"/>
  <c r="S35" i="2" s="1"/>
  <c r="O38" i="2"/>
  <c r="S38" i="2" s="1"/>
  <c r="O39" i="2"/>
  <c r="S39" i="2" s="1"/>
  <c r="O40" i="2"/>
  <c r="S40" i="2" s="1"/>
  <c r="O41" i="2"/>
  <c r="S41" i="2" s="1"/>
  <c r="O43" i="2"/>
  <c r="S43" i="2" s="1"/>
  <c r="O44" i="2"/>
  <c r="S44" i="2" s="1"/>
  <c r="O45" i="2"/>
  <c r="S45" i="2" s="1"/>
  <c r="O46" i="2"/>
  <c r="S46" i="2" s="1"/>
  <c r="O47" i="2"/>
  <c r="S47" i="2" s="1"/>
  <c r="O49" i="2"/>
  <c r="S49" i="2" s="1"/>
  <c r="O50" i="2"/>
  <c r="S50" i="2" s="1"/>
  <c r="O51" i="2"/>
  <c r="S51" i="2" s="1"/>
  <c r="O53" i="2"/>
  <c r="S53" i="2" s="1"/>
  <c r="O54" i="2"/>
  <c r="S54" i="2" s="1"/>
  <c r="O55" i="2"/>
  <c r="S55" i="2" s="1"/>
  <c r="O56" i="2"/>
  <c r="S56" i="2" s="1"/>
  <c r="O58" i="2"/>
  <c r="S58" i="2" s="1"/>
  <c r="O59" i="2"/>
  <c r="S59" i="2" s="1"/>
  <c r="O60" i="2"/>
  <c r="S60" i="2" s="1"/>
  <c r="O61" i="2"/>
  <c r="S61" i="2" s="1"/>
  <c r="O62" i="2"/>
  <c r="S62" i="2" s="1"/>
  <c r="O65" i="2"/>
  <c r="S65" i="2" s="1"/>
  <c r="O66" i="2"/>
  <c r="S66" i="2" s="1"/>
  <c r="O67" i="2"/>
  <c r="S67" i="2" s="1"/>
  <c r="O68" i="2"/>
  <c r="S68" i="2" s="1"/>
  <c r="O69" i="2"/>
  <c r="S69" i="2" s="1"/>
  <c r="O70" i="2"/>
  <c r="S70" i="2" s="1"/>
  <c r="O71" i="2"/>
  <c r="S71" i="2" s="1"/>
  <c r="O72" i="2"/>
  <c r="S72" i="2" s="1"/>
  <c r="O73" i="2"/>
  <c r="S73" i="2" s="1"/>
  <c r="O74" i="2"/>
  <c r="S74" i="2" s="1"/>
  <c r="O75" i="2"/>
  <c r="S75" i="2" s="1"/>
  <c r="O76" i="2"/>
  <c r="S76" i="2" s="1"/>
  <c r="O77" i="2"/>
  <c r="S77" i="2" s="1"/>
  <c r="O78" i="2"/>
  <c r="S78" i="2" s="1"/>
  <c r="O79" i="2"/>
  <c r="S79" i="2" s="1"/>
  <c r="O80" i="2"/>
  <c r="S80" i="2" s="1"/>
  <c r="O81" i="2"/>
  <c r="S81" i="2" s="1"/>
  <c r="O82" i="2"/>
  <c r="S82" i="2" s="1"/>
  <c r="O83" i="2"/>
  <c r="S83" i="2" s="1"/>
  <c r="O84" i="2"/>
  <c r="S84" i="2" s="1"/>
  <c r="O85" i="2"/>
  <c r="S85" i="2" s="1"/>
  <c r="O86" i="2"/>
  <c r="S86" i="2" s="1"/>
  <c r="O87" i="2"/>
  <c r="S87" i="2" s="1"/>
  <c r="O88" i="2"/>
  <c r="S88" i="2" s="1"/>
  <c r="O90" i="2"/>
  <c r="S90" i="2" s="1"/>
  <c r="O91" i="2"/>
  <c r="S91" i="2" s="1"/>
  <c r="O92" i="2"/>
  <c r="S92" i="2" s="1"/>
  <c r="O93" i="2"/>
  <c r="S93" i="2" s="1"/>
  <c r="O94" i="2"/>
  <c r="S94" i="2" s="1"/>
  <c r="O95" i="2"/>
  <c r="S95" i="2" s="1"/>
  <c r="O96" i="2"/>
  <c r="S96" i="2" s="1"/>
  <c r="O97" i="2"/>
  <c r="S97" i="2" s="1"/>
  <c r="O98" i="2"/>
  <c r="S98" i="2" s="1"/>
  <c r="O100" i="2"/>
  <c r="S100" i="2" s="1"/>
  <c r="O101" i="2"/>
  <c r="S101" i="2" s="1"/>
  <c r="O102" i="2"/>
  <c r="S102" i="2" s="1"/>
  <c r="O103" i="2"/>
  <c r="S103" i="2" s="1"/>
  <c r="O104" i="2"/>
  <c r="S104" i="2" s="1"/>
  <c r="O105" i="2"/>
  <c r="S105" i="2" s="1"/>
  <c r="O106" i="2"/>
  <c r="S106" i="2" s="1"/>
  <c r="O107" i="2"/>
  <c r="S107" i="2" s="1"/>
  <c r="O108" i="2"/>
  <c r="S108" i="2" s="1"/>
  <c r="O109" i="2"/>
  <c r="S109" i="2" s="1"/>
  <c r="O110" i="2"/>
  <c r="S110" i="2" s="1"/>
  <c r="O111" i="2"/>
  <c r="S111" i="2" s="1"/>
  <c r="O112" i="2"/>
  <c r="S112" i="2" s="1"/>
  <c r="O113" i="2"/>
  <c r="S113" i="2" s="1"/>
  <c r="O114" i="2"/>
  <c r="S114" i="2" s="1"/>
  <c r="O115" i="2"/>
  <c r="S115" i="2" s="1"/>
  <c r="G115" i="2"/>
  <c r="G105" i="2"/>
  <c r="G104" i="2"/>
  <c r="G103" i="2"/>
  <c r="G96" i="2"/>
  <c r="G94" i="2"/>
  <c r="G95" i="2" s="1"/>
  <c r="G93" i="2"/>
  <c r="G90" i="2"/>
  <c r="G91" i="2" s="1"/>
  <c r="G61" i="2"/>
  <c r="G53" i="2"/>
  <c r="G49" i="2"/>
  <c r="G51" i="2" s="1"/>
  <c r="G44" i="2"/>
  <c r="G47" i="2" s="1"/>
  <c r="G43" i="2"/>
  <c r="G46" i="2" s="1"/>
  <c r="G32" i="2"/>
  <c r="G33" i="2" s="1"/>
  <c r="G31" i="2"/>
  <c r="G30" i="2"/>
  <c r="G29" i="2" s="1"/>
  <c r="G28" i="2"/>
  <c r="G27" i="2"/>
  <c r="G26" i="2"/>
  <c r="G25" i="2"/>
  <c r="G24" i="2"/>
  <c r="G20" i="2"/>
  <c r="G55" i="2" l="1"/>
  <c r="O133" i="2" l="1"/>
  <c r="I131" i="2"/>
  <c r="I132" i="2" s="1"/>
  <c r="I130" i="2"/>
  <c r="I129" i="2"/>
  <c r="I133" i="2" s="1"/>
</calcChain>
</file>

<file path=xl/sharedStrings.xml><?xml version="1.0" encoding="utf-8"?>
<sst xmlns="http://schemas.openxmlformats.org/spreadsheetml/2006/main" count="699" uniqueCount="227">
  <si>
    <t xml:space="preserve"> ADECUACIÓN DISAN</t>
  </si>
  <si>
    <t xml:space="preserve">ITEM </t>
  </si>
  <si>
    <t xml:space="preserve">DESCRIPCION </t>
  </si>
  <si>
    <t>UNIDAD</t>
  </si>
  <si>
    <t>CANT.</t>
  </si>
  <si>
    <t xml:space="preserve">VALOR TOTAL </t>
  </si>
  <si>
    <t>1.1.0</t>
  </si>
  <si>
    <t>INSTALACIONES ELECTRICAS</t>
  </si>
  <si>
    <t>1.1.1</t>
  </si>
  <si>
    <t>SUMINISTRO E INSTALACIÓN DE CABLEADO 3XNO.12 AWG (F(AZUL)+ N(BLANCO)+ T(VERDE)) LIBRE DE ALOGENOS EN CU Y ACCESORIOS DE UNIÓN PARA SU CORRECTO FUNCIONAMIENTO Y CONECTORES CERTIFICADOS, MARCACION Y DEMÁS ELEMENTOS PARA SU CORRECTA INSTALACIÓN Y FUNCIONAMIENTO SEGÚN RETIE.</t>
  </si>
  <si>
    <t>ML</t>
  </si>
  <si>
    <t>1.1.2</t>
  </si>
  <si>
    <t>SUMINISTRO E INSTALACIÓN DE CANALIZACIÓN, INCLUYE TUBERÍA Ø3/4"  EMT, CON ACCESORIOS DE UNIÓN, CURVAS, TERMNALES Y FIJACIÓN DE TUBERÍA, CAJA DE PASO, Y DEMÁS ELEMENTOS PARA SU CORRECTA INSTALACIÓN Y FUNCIONAMIENTO SEGÚN RETIE.</t>
  </si>
  <si>
    <t>1.1.3</t>
  </si>
  <si>
    <t>SUMINISTRO E INSTALACIÓN DE HASTA 3 METROS DE SALIDA PARA TOMACORRIENTE DOBLE MONOFÁSICO SISTEMA NORMAL EN MUROS TIPO NEMA, 125V, CON POLO A TIERRA GRADO COMERCIAL, COLOR BLANCO, TAPA COLOR BLANCO, INCLUYE TOMA,  MARQUILLADO, CONECTORES DE RESORTE, ACCESORIOS DE INSTALACIÓN, CAJA CON SUPLEMENTO, CANALETA METALICA CON DIVISION 12x5 cm O DUCTO EMT 3/4", CON ACCESORIOS DE UNIÓN, FIJACIÓN DE TUBERÍA, MARCACIÓN SEGÚN RETIE Y  ALIMENTADOR EN CABLE TRENZADO CU NO.12 (F+N+T)AWG-LIBRE DE ALOGENOS  Y DEMÁS ELEMENTOS PARA SU CORRECTA INSTALACIÓN Y FUNCIONAMIENTO SEGÚN RETIE.</t>
  </si>
  <si>
    <t>UN</t>
  </si>
  <si>
    <t>1.1.4</t>
  </si>
  <si>
    <t>SUMINISTRO E INSTALACIÓN DE HASTA 3 METROS  DE SALIDA PARA PANEL LED DE 60X60 , INCLUYE LUMINARIA LED DE 60X60W, INCLUYE APARATO, MARQUILLADO, CONECTORES DE RESORTE, ACCESORIOS DE INSTALACIÓN Y FIJACIÓN , CAJA CON SUPLEMENTO, TUBERÍA Ø3/4" EMT, CON ACCESORIOS DE UNIÓN, FIJACIÓN DE TUBERÍA, MARCACIÓN SEGÚN RETIE Y ALIMENTADOR EN CABLE TRENZADO CU NO.12 (F+N+T)AWG-LIBRE DE ALOGENOS, COLA ENCAUCHETADA 3X12 CON PRENSA ESTOPA, CONECTOR TIPO RESORTE  Y DEMÁS ELEMENTOS PARA SU CORRECTA INSTALACIÓN Y FUNCIONAMIENTO SEGÚN RETIE.</t>
  </si>
  <si>
    <t>1.1.5</t>
  </si>
  <si>
    <t>SUMINISTRO E INSTALACIÓN DE HASTA 3 METROS  DE SALIDA PARA LAMPARA LED HERMETICA DE 2X 18W , INCLUYE LUMINARIA LED , INCLUYE APARATO, MARQUILLADO, CONECTORES DE RESORTE, ACCESORIOS DE INSTALACIÓN Y FIJACIÓN , CAJA CON SUPLEMENTO, TUBERÍA Ø3/4" EMT, CON ACCESORIOS DE UNIÓN, FIJACIÓN DE TUBERÍA, MARCACIÓN SEGÚN RETIE Y ALIMENTADOR EN CABLE TRENZADO CU NO.12 (F+N+T)AWG-LIBRE DE ALOGENOS, COLA ENCAUCHETADA 3X12 CON PRENSA ESTOPA, CONECTOR TIPO RESORTE  Y DEMÁS ELEMENTOS PARA SU CORRECTA INSTALACIÓN Y FUNCIONAMIENTO SEGÚN RETIE.</t>
  </si>
  <si>
    <t>1.1.6</t>
  </si>
  <si>
    <t>1.1.7</t>
  </si>
  <si>
    <t>SUMINISTRO E INSTALACIÓN DE TABLERO DE CONTROL PARA 02 ELECTROBOMBAS DE 5HP, INCLUYE TOTALIZADORTRIFILAR  30 AMP PARA RIEL OMEGA SIEMENS, ABB O SIMILAR ,01 VIGILANTE DETENSION TRIFILAR, 02 CONTACTORES IGUAL O MAYOR A 20 AMP AC3 SIEMENS, ABB, SCHNEIDER O SIMILAR. 02 RELE PROTECCION TERMICO DE ENTRE EL RANGO DE CORRIENTE DE 10 A 20 AMP, 01 PARA DE EMERGENCIA TIPO HONGO, 02 DISYUNTOR, 02 LUZ PILOTO 220V COLOR ROJO, 02 LUZ PILOTO 220V COLOR VERDE, 02 SELECTORES DE 3 POSICIONES, INSTALACION DE 5 MTS CABLE  CON AISLAMENTO MAYOR O IGUAL A 600V (3F NO.8 + 1N NO. 8 + 1T NO.10)  A 90°C, EL   TABLERO FABRICADO EN LAMINA COL-ROLLED CAL 16 BWG, CON DOBLE PUERTA Y CHAPA FRONTAL, PANELES LATERALES, INFERIOR Y SUPERIOR DESMONTABLES, CIERRES DE PUNTAS, CON SISTEMA DE AUTOMACIZACION DE CIERRE Y APERTURA SEGUN NIVEL DE TANQUE DE AGUA MEDIANTE FLOTADORES DE CONTRA PESO MEDIANTE  CON ACCESO PROYECTADO POR LA CARA INFERIOR, ACABADO EN PINTURA ELECTRÓSTATICA RAL 7031, DE DIMENSIONES SUGERIDAS EN PLANOS, INCLUYE BARRAJE TRIFÁSICO PARA 50 AMP PINTANDO O CON AUTOFUNDENTE DE COLORES PARA LAS FASES A 220V, BARRAJE DE NEUTRO PINTADO O CON AUTOFUNDENTE DE COLOR BLANCO, BARRAJE DE TIERRA PINTADO O CON AUTOFUNDENTE DE CORLOR VELER, ACCESORIOS DE ANCLAJE EN PISO, VARILLA, ROSCADA, TUERCA, ARANDELA Y ANCLAS HDI DE 3/8", CINTAS DE MARCACIÓN, MARQUILLA EN ACRÍLICO COLOR NEGRA EN LETRA BLANCA, INCLUYE TRANSPORTE, ZAJE Y UBICACIÓN TABLERO. EL TABLERISTA FABRICANTE DEBE ADJUNTAR LOS CERTIFCADOS DE CONFORMIDAD CON EL RETIE PARA LA CETIFICACIÓN DEL PROYECTO ELÉCTRICO. INCLUYENDO REGISTRO DE PRUEBAS Y PROTOCOLOS VIGENTES EXIGIDOS. Y DEMÁS ELEMENTOS PARA SU CORRECTA INSTALACIÓN Y FUNCIONAMIENTO SEGÚN RETIE.</t>
  </si>
  <si>
    <t>1.1.8</t>
  </si>
  <si>
    <t>SUMINISTRO Y EXTENSIÓN DE ACOMETIDA EN CABLE DE COBRE ,CON AISLAMENTO MAYOR O IGUAL A 600V (3F NO.6 + 1N NO. 6 + 1T NO.10)  A 90°C, PARA ACOMETIDAS DE TABLERO TOMAS, INCLUYE MARQUILLADO, CONECTORES Y DEMÁS ELEMENTOS PARA SU CORRECTA INSTALACIÓN Y FUNCIONAMIENTO SEGÚN RETIE.</t>
  </si>
  <si>
    <t>1.1.9</t>
  </si>
  <si>
    <t>SUMINISTRO E INSTALACIÓN DE DUCTERÍA EN TUBERÍA CONDUIT EMT 1ML X Ø1 1/4" O MAYOR, PARA SUBACOMETIDAS PARCIALES. INCLUYE ACCESORIOS DE UNIÓN CURVAS, TERMNALES, CAJAS DE PASO, ELEMENTOS DE FIJACIÓN Y DEMÁS ELEMENTOS PARA SU CORRECTA INSTALACIÓN Y FUNCIONAMIENTO SEGÚN RETIE.</t>
  </si>
  <si>
    <t>1.1.10</t>
  </si>
  <si>
    <t>SUMINISTRO E INSTALACIÓN DE CABLEADO 3XNO.12 AWG (F(ROJO)+ N(BLANCO)+ T(VERDE)) LIBRE DE ALOGENOS EN CU Y ACCESORIOS DE UNIÓN PARA SU CORRECTO FUNCIONAMIENTO Y CONECTORES CERTIFICADOS, MARCACION Y DEMÁS ELEMENTOS PARA SU CORRECTA INSTALACIÓN Y FUNCIONAMIENTO SEGÚN RETIE.</t>
  </si>
  <si>
    <t>1.1.11</t>
  </si>
  <si>
    <t>1.1.12</t>
  </si>
  <si>
    <t>SUMINISTRO E INSTALACIÓN DE HASTA 3 METROS DE SALIDA PARA TOMACORRIENTE DOBLE MONOFÁSICO SISTEMA REGULADA EN MUROS TIPO NEMA, 125V, CON POLO A TIERRA GRADO COMERCIAL, COLOR BLANCO, TAPA COLOR BLANCO, INCLUYE TOMA,  MARQUILLADO, CONECTORES DE RESORTE, ACCESORIOS DE INSTALACIÓN, CAJA CON SUPLEMENTO, CANALETA METALICA CON DIVISION 12x5 cm O DUCTO EMT 3/4", CON ACCESORIOS DE UNIÓN, FIJACIÓN DE TUBERÍA, MARCACIÓN SEGÚN RETIE Y  ALIMENTADOR EN CABLE TRENZADO CU NO.12 (F+N+T)AWG-LIBRE DE ALOGENOS  Y DEMÁS ELEMENTOS PARA SU CORRECTA INSTALACIÓN Y FUNCIONAMIENTO SEGÚN RETIE.</t>
  </si>
  <si>
    <t>1.1.13</t>
  </si>
  <si>
    <t>SUMINISTRO, INSTALACIÓN, CONEXIÓN Y PUESTA EN SERVICIO DE UNA UNIDAD DE ALIMENTACIÓN ININTERRUMPIDA (UPS) TRIFÁSICA DE 20 KVA O SUPERIOR CAPACIDAD, MARCA TRIPP LITE O DE SIMILARES CARACTERISTICAS, TENSIÓN DE ENTRADA 208/120 VCA – 60 HZ, CON TECNOLOGÍA ONLINE DE DOBLE CONVERSIÓN, FACTOR DE POTENCIA ≥ 0.9, RANGO DE TENSIÓN DE ENTRADA AMPLIO PARA OPERACIÓN SIN TRANSFERENCIA A BYPASS. EL EQUIPO DEBERÁ INCLUIR BANCO DE BATERÍAS DE AUTONOMÍA MÍNIMA DE 15 MINUTOS AL 100 % DE CARGA, CON GABINETES METÁLICOS Y PROTECCIONES INTERNAS CONTRA SOBRECARGA, SISTEMA DE PUESTA A TIERRA, CORTOCIRCUITO. LA UPS DEBERÁ CONTAR CON BYPASS AUTOMÁTICO Y MANUAL, PANTALLA LCD DE ESTADO Y ALARMA AUDIBLE ANTE FALLAS O FUNCIONAMIENTO EN MODO BATERÍA. EL BANCO DE BATERIA DEBERA SER LIBRE DE MANTENIMIENTO.</t>
  </si>
  <si>
    <t>AMPLIACION DE OFICINA ODONTOLOGIA</t>
  </si>
  <si>
    <t>DESMONTE VENTANA O PUERTAS, INCLUYE CARGUE, RETIRO Y DISPOSICIÓN FINAL</t>
  </si>
  <si>
    <t>UND</t>
  </si>
  <si>
    <t>1.1.14</t>
  </si>
  <si>
    <t xml:space="preserve">DEMOLICIÓN  MUROS  EXISTENTES  (INCLUYE:  DINTELES, LINEALES,   RETIRO   MATERIAL   SOBRANTE   Y   ASEO   DE OBRA)  </t>
  </si>
  <si>
    <t>M2</t>
  </si>
  <si>
    <t>1.1.15</t>
  </si>
  <si>
    <t>DEMOLICIÓN Y RETIRO DE CERAMICA AFECTADA POR DEMOLICION DEL MURO, (INCLUYE    RETIRO    DE    ESCOMBROS    HASTA    LUGAR AUTORIZADO)</t>
  </si>
  <si>
    <t>1.1.16</t>
  </si>
  <si>
    <t>ALISTADO DE PISO EN MORTERO IMPERMEABILIZADO 1:3 E=0,04MT,  INCLUYE  PENDIENTE  DE  DESAGÜE,  INCLUYE TODO LO NECESARIO PARA SU CORRECTA INSTALACIÓN Y FUNCIONAMIENTO,</t>
  </si>
  <si>
    <t>1.1.17</t>
  </si>
  <si>
    <t xml:space="preserve">SUMINISTRO Y APLICACIÓN DE RECUBRIMIENTO EPÓXICO DE ALTO DESEMPEÑO PARA USO HOSPITALARIO SOBRE SUPERFICIE EXISTENTE, INCLUYE LA PREPARACIÓN DE LA BASE MEDIANTE LIMPIEZA PROFUNDA, DESENGRASE, RETIRO DE PARTÍCULAS SUELTAS, REPARACIÓN DE FISURAS O IRREGULARIDADES Y NIVELACIÓN PUNTUAL CON MORTERO O RESANE EPÓXICO CUANDO SEA NECESARIO. EL SISTEMA DEBERÁ CONTEMPLAR LA APLICACIÓN DE IMPRIMANTE O PRIMER DE ADHERENCIA Y POSTERIOR COLOCACIÓN DE RECUBRIMIENTO EPÓXICO AUTONIVELANTE O PINTURA EPÓXICA DE ALTA RESISTENCIA QUÍMICA Y MECÁNICA, APTA PARA ÁREAS DE ATENCIÓN EN SALUD, GARANTIZANDO UNA SUPERFICIE CONTINUA, IMPERMEABLE, LISA, ANTIDESLIZANTE Y DE FÁCIL LIMPIEZA Y DESINFECCIÓN. </t>
  </si>
  <si>
    <t>1.1.18</t>
  </si>
  <si>
    <t xml:space="preserve">SUMINISTRO E INSTALACIÓN DE ZÓCALO SANITARIO EN MEDIA CAÑA EN EL ENCUENTRO ENTRE PISO Y MURO DENTRO DEL ÁREA DE ESTERILIZACIÓN, INCLUYE LA PREPARACIÓN DE LA SUPERFICIE MEDIANTE LIMPIEZA, DESENGRASE Y RETIRO DE PARTÍCULAS SUELTAS, LA CONFORMACIÓN DEL ZÓCALO CON MORTERO O MATERIAL EPÓXICO MOLDEABLE HASTA LOGRAR UNA CURVATURA UNIFORME, Y LA POSTERIOR APLICACIÓN DE RECUBRIMIENTO EPÓXICO HOSPITALARIO CONTINUO SOBRE LA SUPERFICIE DEL ZÓCALO, ASEGURANDO SU INTEGRACIÓN CON EL ACABADO DEL PISO Y EL MURO. </t>
  </si>
  <si>
    <t>1.1.19</t>
  </si>
  <si>
    <t>MURO    EN    MAMPOSTERÍA,    LEVANTADO    EN    BLOQUE VIBRADO O LADRILLO NO 6, CON MORTERO 1:3 (INCLUYE LINEALES, FILOS, JUNTOS, ETC.)</t>
  </si>
  <si>
    <t>1.1.20</t>
  </si>
  <si>
    <t>SUMINISTRO E INSTALACIÓN DE PUERTA METÁLICA SANITARIA PARA ACCESO AL CUARTO DE ESTERILIZACIÓN, FABRICADA EN LÁMINA METÁLICA CON ACABADO EN PINTURA EPÓXICA. INCLUYE SUPERFICIE LISA, RESISTENTE A LA HUMEDAD Y PRODUCTOS QUÍMICOS, MARCO METÁLICO, HERRAJES COMPLETOS Y SISTEMA DE CIERRE ADECUADO QUE GARANTICE EL AISLAMIENTO DEL ÁREA.. (0,90mts x 2,05mts)</t>
  </si>
  <si>
    <t>1.1.21</t>
  </si>
  <si>
    <t>SELLADO VENTANA EXISTENTE EN EL CUARTO DE ESTERILIZACIÓN INCLUYE EL RETIRO DEL MARCO Y ELEMENTOS ASOCIADOS DE LA VENTANA EXISTENTE, LA EJECUCIÓN DEL CERRAMIENTO DEL VANO MEDIANTE MAMPOSTERÍA EN LADRILLO O BLOQUE SEGÚN LAS CONDICIONES DEL MURO EXISTENTE, FIJACIÓN Y AMARRE ESTRUCTURAL CON MORTERO DE PEGA,</t>
  </si>
  <si>
    <t>1.1.22</t>
  </si>
  <si>
    <t>PAÑETE EN MURO CON MORTERO 1.3 Y SIKA 1 E:0,02 MTS APROX (INCLUYE: FILOS, DILATACIONES, JUNTAS, LINEALES)</t>
  </si>
  <si>
    <t>1.1.23</t>
  </si>
  <si>
    <t>SUMINISTRO Y APLICACIÓN DE ESTUCO PLASTICO USO INTERIOR Y EXTERIOR DE IGUAL O MAYOR CALIDAD A PINTULAND (INCLUYE: DESISTALACIÓN E INSTALACIÓN DE ELEMENTOS EN LOS MUROS, FILOS, LINEALES, DILATACIONES, ESTRIAS Y TODO LO NECESARIO PARA SU CORRECTA APLICACIÓN).</t>
  </si>
  <si>
    <t>1.1.24</t>
  </si>
  <si>
    <t xml:space="preserve">SUMINISTRO Y APLICACIÓN DE PINTURA VINILO TIPO 1 - (3 MANOS ) (INCLUYE: ADECUACION MUROS, RESANE DE SUPERFICIE CON ESTUCO, RETIRO DE ELEMENTOS EN MURO, FILOS, DILATACIONES, LINEALES)     </t>
  </si>
  <si>
    <t>1.1.25</t>
  </si>
  <si>
    <t xml:space="preserve">SUMINISTRO Y APLICACIÓN DE PINTURA HOSPITALARIA LAVABLE EN MUROS INTERIORES DEL CUARTO DE ESTERILIZACIÓN, INCLUYE LA PREPARACIÓN DE LA SUPERFICIE PREVIAMENTE ESTUCADA MEDIANTE LIMPIEZA, RESANE DE IMPERFECCIONES MENORES, LIJADO Y RETIRO DE POLVO; APLICACIÓN DE SELLADOR O BASE PARA MUROS QUE GARANTICE LA ADECUADA ADHERENCIA DEL ACABADO FINAL; Y POSTERIOR APLICACIÓN DE PINTURA HOSPITALARIA DE ALTA RESISTENCIA QUÍMICA Y MECÁNICA (3 MANOS) 
</t>
  </si>
  <si>
    <t>1.1.26</t>
  </si>
  <si>
    <t>DESMONTE DE CIELO RASO, CON ESTRUCTURAS SUSPENDIDAS EN ETERBOARD,DRYWAL, MACHIMBRE Y/O PVC (INCLUYE: CORTE DE ELEMENTOS AFECTADOS,DESMONTE ESTRUCTURA DE SOPORTE. MOLDURAS, LINEALES, DILATACIONES YDEMAS ACCESORIOS, RETIRO MATERIAL SOBRANTE HASTA LUGAR AUTORIZADO YASEO DE LA OBRA).</t>
  </si>
  <si>
    <t>1.1.27</t>
  </si>
  <si>
    <t>1.1.28</t>
  </si>
  <si>
    <t>SUMINISTRO E INSTALACION CIELORASO LAMINA PVC 9 MM   ESPESOR   LISA   COLOR   A   CONVENIR   (INCLUYE: SOPORTERIA        LAMINAS        CIELORASO-SOPORTERIA ESTRUCTURA  INDEPENDIENTE  CIELORASO-  LINEALES- DILATACIONES- VANO LAMPARAS, ACABADO),</t>
  </si>
  <si>
    <t>1.1.29</t>
  </si>
  <si>
    <t>1.1.30</t>
  </si>
  <si>
    <t>1.2.0</t>
  </si>
  <si>
    <t>1.2.1</t>
  </si>
  <si>
    <t>1.2.2</t>
  </si>
  <si>
    <t>1.2.3</t>
  </si>
  <si>
    <t>1.2.4</t>
  </si>
  <si>
    <t>1.2.5</t>
  </si>
  <si>
    <t>1.2.6</t>
  </si>
  <si>
    <t>1.2.7</t>
  </si>
  <si>
    <t>1.2.8</t>
  </si>
  <si>
    <t>SUMINISTRO,   INSTALACIÓN,   CONEXION,   PRUEBAS   Y PUESTA    EN    SERVICIO  DE PANEL DE INCRUSTAR DE 1.20 (ACUERDO     REQUERIMIENTO),     DE     36W,     (100-227 VOLTIOS),   1260   LM,   3000   K,   INCLUYE   TUBERIA   EMT, CABLEADO  No  12  AWG  (CANTIDAD  ACUERDO  PLANO), CAJAS  DE  PASO  Y  DE  SALIDA,  CABLE  ENCAUCHETADO HASTA LA LAMPARA, TERMINALES, SOPORTES, GUAYAS, CONSUMIBLES   Y   DEMAS   ELEMENTOS   REQUERIDOS PARA SU CORRECTO FUNCIONAMIENTO, LUZ DIA</t>
  </si>
  <si>
    <t>CUARTO DE COMPRESOR</t>
  </si>
  <si>
    <t>1.2.9</t>
  </si>
  <si>
    <t>DESMONTE DE LOS SISTEMAS DE INSONORIZACIÓN, INCLUYE EL RETIRO DE PANELES ACÚSTICOS, LÁMINAS DE RECUBRIMIENTO, BASTIDORES O ESTRUCTURAS DE SOPORTE, MATERIAL AISLANTE (FIBRA DE VIDRIO, LANA MINERAL U OTRO MATERIAL ABSORBENTE), ELEMENTOS DE FIJACIÓN Y DEMÁS COMPONENTES ASOCIADOS AL SISTEMA ACTUAL. EL ÍTEM COMPRENDE LA EJECUCIÓN CUIDADOSA DE LAS LABORES DE DESMONTAJE PARA EVITAR AFECTACIONES A LA ESTRUCTURA DEL MURO EXISTENTE, LA LIMPIEZA DEL ÁREA INTERVENIDA, EL ACOPIO Y RETIRO DE LOS MATERIALES DESMONTADOS, ASÍ COMO SU CARGUE, TRANSPORTE Y DISPOSICIÓN FINAL DE ESCOMBROS O RESIDUOS EN SITIO AUTORIZADO</t>
  </si>
  <si>
    <t>1.2.10</t>
  </si>
  <si>
    <t>1.2.11</t>
  </si>
  <si>
    <t>1.2.12</t>
  </si>
  <si>
    <t>1.2.13</t>
  </si>
  <si>
    <t>1.2.14</t>
  </si>
  <si>
    <t>1.2.15</t>
  </si>
  <si>
    <t>BAÑO</t>
  </si>
  <si>
    <t>1.2.16</t>
  </si>
  <si>
    <t>1.2.17</t>
  </si>
  <si>
    <t>1.2.18</t>
  </si>
  <si>
    <t>1.2.19</t>
  </si>
  <si>
    <t>CUARTO DE COMPRESOR 2</t>
  </si>
  <si>
    <t>1.2.20</t>
  </si>
  <si>
    <t>1.2.21</t>
  </si>
  <si>
    <t>SUMINISTRO E INSTALACIÓN DE HASTA 3 METROS DE SALIDA PARA INTERRUPTOR, INCLUYE APARATO, MARQUILLADO, CONECTORES DE RESORTE, ACCESORIOS DE INSTALACIÓN Y FIJACIÓN , CAJA CON SUPLEMENTO, TUBERÍA Ø3/4" EMT, CON ACCESORIOS DE UNIÓN, FIJACIÓN DE TUBERÍA, MARCACIÓN SEGÚN RETIE Y ALIMENTADOR EN CABLE TRENZADO CU NO.12 (F+N+T)AWG-LIBRE DE ALOGENOS  Y DEMÁS ELEMENTOS PARA SU CORRECTA INSTALACIÓN Y FUNCIONAMIENTO SEGÚN RETIE.</t>
  </si>
  <si>
    <t>CUBIERTA</t>
  </si>
  <si>
    <t>SUMINISTRO  E  INSTALACIÓN  DE  UPVC CRESTA ALTA Y ESTRUCTURA    DE SOPORTE    ACUERDO    MUESTRA, (INCLUYE:    ACABADO,    REMATES    CONTRA    MUROS, HERRAMIENTAS   NECESARIAS   PARA   SU   EJECUCIÓN, FIJADORES    DE    LAMINA,    ACCESORIOS    Y    RETIRO MATERIAL SOBRANTE Y ASEO DE LA UNIDAD), INCLUYE TODO LO REQUERIDO PARA LA CORRECTA EJECUCION Y FUNCIONAMIENTO DE LA ACTIVIDAD</t>
  </si>
  <si>
    <t>MANTENIMIENTO CORRECTIVO Y PREVENTICO DE LOS ELEMENTOS DE SUJECION (PARAGUITAS, GANCHOS, TORNILLOS Y ARANDELAS) EN CUBIERTA EXISTENTE EN TEJA DE FIBROCEMENTO TIPO ETERNIL O SIMILARES, INCLUYENDO eEL CAMBIO DE LOS ELEMENTOS NO RECUPERABLES, SELLADO IMPERMEABLE PUNTUAL CON SIKA MULTIPROPOSITO O SIMILAR, CON EL FIN DE GARANTIZAR ESTABILIDAD MECÁNICA Y ESTANQUEIDAD FRENTE A FILTRACIONES POR LLUVIA</t>
  </si>
  <si>
    <t>IMPERMEABILIZACIÓN CON MANTO EDIL 3MM FOIL ALUMINIO (INCLUYE: RESANES, INCLUYE DESMONTE DEL MANTO EXISTENTE, APLICACION DE EMULSION ASFALTICA, LINEALES, REMATES, ACABADO SUPERFICIE COLOR, ASEO Y RETIRO MATERIAL EXISTENTE)</t>
  </si>
  <si>
    <t>SUMINISTRO E INSTALACIÓN DE CABALLETE DE UPVC RESISTENTE A RAYOS UV, COMPATIBLE CON TEJAS EXISTENTES, INCLUYENDO FIJACIÓN CON TORNILLOS O GRAPAS SEGÚN ESPECIFICACIÓN DEL FABRICANTE, SELLADO CON CINTA O SILICONA IMPERMEABLE, ALINEACIÓN Y AJUSTE SOBRE LA CUMBRERA PARA GARANTIZAR ESTANQUEIDAD, DURABILIDAD, CORRECTO FLUJO DE AGUA Y ACABADO ESTÉTICO UNIFORME.</t>
  </si>
  <si>
    <t>SUMINISTRO E INSTALACIÓN DE CANAL PLÁSTICA DE 100 MM DE ANCHO POR 80 MM DE PROFUNDIDAD PARA CONDUCCIÓN DE AGUAS PLUVIALES, INCLUYENDO FIJACIÓN SEGURA, ALINEACIÓN Y PENDIENTE ADECUADA, UNIONES CON ACCESORIOS CORRESPONDIENTES Y SELLADO HERMÉTICO EN JUNTAS, GARANTIZANDO CORRECTO FLUJO DE AGUA, DURABILIDAD, RESISTENCIA A IMPACTOS Y ACABADO ESTÉTICO CONFORME A LA CUBIERTA EXISTENTE.</t>
  </si>
  <si>
    <t>1.3,0</t>
  </si>
  <si>
    <t>1.3.1</t>
  </si>
  <si>
    <t>1.3.2</t>
  </si>
  <si>
    <t>1.3.3</t>
  </si>
  <si>
    <t>1.3.4</t>
  </si>
  <si>
    <t>1.3.5</t>
  </si>
  <si>
    <t>1.3.6</t>
  </si>
  <si>
    <t>1.3.7</t>
  </si>
  <si>
    <t>1.3.8</t>
  </si>
  <si>
    <t>1.3.9</t>
  </si>
  <si>
    <t>1.3.10</t>
  </si>
  <si>
    <t>1.3.11</t>
  </si>
  <si>
    <t>1.3.12</t>
  </si>
  <si>
    <t>1.3.13</t>
  </si>
  <si>
    <t xml:space="preserve">BAÑO DISCAPACITADOS </t>
  </si>
  <si>
    <t>1.3.14</t>
  </si>
  <si>
    <t>DEMOLICIÓN PISOS EXISTENTES (INCLUYE:CERAMICA Y/O BALDOSAS, LINEALES, RETIRO MATERIAL SOBRANTE Y ASEO DE OBRA)</t>
  </si>
  <si>
    <t>1.3.15</t>
  </si>
  <si>
    <t>DEMOLICION DE PLANTILLA DE PISO EXISTENTES (INCLUYE: LINEALES, DESMONTE ACERO REFUERZO, RETIRO MATERIAL SOBRANTE Y ASEO OBRA)</t>
  </si>
  <si>
    <t>1.3.16</t>
  </si>
  <si>
    <t>DEMOLICIÓN ZOCALOS Y/O MEDIAS CAÑAS EXISTENTES (INCLUYE: LINEALES, RETIRO MATERIAL SOBRANTE Y ASEO DE OBRA)</t>
  </si>
  <si>
    <t>1.3.17</t>
  </si>
  <si>
    <t>DESMONTE DE DIVISION METÁLICA EXISTENTE  (INCLUYE: MARCOS, ACCESORIOS,HERRAJES, RETIRO MATERIAL SOBRANTE Y ASEO DE OBRA).</t>
  </si>
  <si>
    <t>1.3.18</t>
  </si>
  <si>
    <t>DESMONTE APARATOS SANITARIOS (INCLUYE: SANITARIOS, LAVAMANOS, ORINALES, ASEO, TODO LO NECESARIO PARA SU EJECUCION Y RETIRO MATERIAL SOBRANTE )</t>
  </si>
  <si>
    <t>1.3.19</t>
  </si>
  <si>
    <t>ALISTADO DE PISO EN MORTERO IMPERMEABILIZADO 1:3  E=0,04MT. (INCLUYE: PENDIENTE DE DESAGÜE. INCLUYE TODO LO NECESARIO PARA SU CORRECTA INSTALACIÓN Y FUNCIONAMIENTO).</t>
  </si>
  <si>
    <t>1.3.20</t>
  </si>
  <si>
    <t>PAÑETE CON MORTERO 1:3 IMPERMEABILIZADO CON SIKA 1 E:0,02M INCLUYE (FILOS, DILATACIONES, JUNTAS, LINEALES)</t>
  </si>
  <si>
    <t>1.3.21</t>
  </si>
  <si>
    <t>SUMINISTRO E INSTALACIÒN DE SALIDA SANITARIA 2" EN TUBERÌA PVC. INCLUYE TOSOS LOS ELEMENTOS Y ACCESORIOS SANITARIOS PARA SU CORRECTO FUNCIONAMIENTO</t>
  </si>
  <si>
    <t>1.3.22</t>
  </si>
  <si>
    <t>SUMINISTRO E INSTALACIÒN DE SALIDA SANITARIA 3" EN TUBERÌA PVC. INCLUYE TOSOS LOS ELEMENTOS Y ACCESORIOS SANITARIOS PARA SU CORRECTO FUNCIONAMIENTO</t>
  </si>
  <si>
    <t>1.3.23</t>
  </si>
  <si>
    <t>SUMINISTRO E INSTALACIÒN DE SALIDA SANITARIA 4" EN TUBERÌA PVC. INCLUYE TOSOS LOS ELEMENTOS Y ACCESORIOS SANITARIOS PARA SU CORRECTO FUNCIONAMIENTO</t>
  </si>
  <si>
    <t>1.3.24</t>
  </si>
  <si>
    <t>SUMINISTRO E INSTALACIÓN DE CERÁMICA PARA MURO  FORMATO 30 X 60 ACABADO MATE, CARAS  DIFERENCIADAS ESPESOR NOMINAL 8,8 + 0,3 , INCLUYE BOQUILLA, HERRAMIENTAS, MANO DE OBRA Y DEMÁS  ELEMENTOS NECESARIOS PARA SU INSTALACIÓN.</t>
  </si>
  <si>
    <t>1.3.25</t>
  </si>
  <si>
    <t xml:space="preserve"> SUMINISTRO E INSTALACIÓN DE WIN EN ALUMINIO </t>
  </si>
  <si>
    <t>1.3.26</t>
  </si>
  <si>
    <t>SUMINISTRO E INSTALACIÓN DE CERÁMICA PARA PISO. Piso Opera Blanco Caras Diferenciadas 55.2x55.2 , INCLUYE BOQUILLA, HERRAMIENTAS, MANO DE OBRA Y DEMÁS  ELEMENTOS NECESARIOS PARA SU INSTALACIÓN.</t>
  </si>
  <si>
    <t>1.3.27</t>
  </si>
  <si>
    <t>SUMINISTRO, INSTALACION Y PUESTA EN FUNCIONAMIENTO SIMILAR O DE MEJORES ESPECIFICACIONES DE SANITARIO DISCAPACITADOS  BLANCO AQUAJET PRO  ESMALTADO, SISTEMA DE ACCIONAMIENTO DUAL TIPO PUSH, TAPA CIERRE LENTO, ACOPLES, GRIFERIAS, ACCESORIOS INTERNOS DE DESCARGA, MANGUERAS DE CONEXIÓN, BRIDA Y/o MANGA DE CAUCHO PARA BASE DE SANITARIO, SILICONA Y TODO LO NECESARIO PARA SU CORRECTA INSTALACION Y FUNCIONAMIENTO</t>
  </si>
  <si>
    <t>1.3.28</t>
  </si>
  <si>
    <t xml:space="preserve">SUMINISTRO, INSTALACIÓN Y PRUEBA EN FUNCIONAMIENTO DE LAVAMANOS EN  CERAMICA VITRIFICADA PARA DISCAPACITADOS TIPO AQUAJET PRO  (INCLUYE, SUMINISTRO E INSTALACIÓN DE TUBERIA DE DESAGUE, SIFÓN Y DEMAS ACCESORIOS IGUAL O MEJORES CARACTERISTICAS  GRIVAL, EMPAQUETADURA, INSTALACIÓN EN MUEBLE AGLOMERADO O MADERA, APLICACIÓN DE SILICONA, BORDES MESÓN PULIDOS Y TODOS LOS MATERIALES Y/O ELEMENTOS NECESARIOS PARA SU CORRECTA INSTALACIÓN Y FUNCIONAMIENTO) </t>
  </si>
  <si>
    <t>1.3.29</t>
  </si>
  <si>
    <t>SUMINISTRO, INSTALACIÓN Y PUESTA EN FUNCIONAMIENTO DE KIT DE ACCESORIOS PARA BAÑO 6 PIEZAS. IGUAL O MEJORES ESPECIFICACIONES QUE ACCESORIOS DE BAÑO CORONA GRETA ACCESORIOS METÁLICOS, INCLUYE PORTARROLLO GRETA, TOALLERO ARGOLLA GRETA, PERCHA GRETA, JABONERA GRETA, TOALLERO BARRA GRETA, CEPILLERA GRETA, TERMINADO CROMADO. ACCESORIOS METÁLICOS CON SISTEMA DE INSTALACIÓN OCULTO Y DISEÑO QUE EVITA LA ACUMULACIÓN DE IMPUREZAS Y FACILITA SU LIMPIEZA, SISTEMA DE INSTALACIÓN OCULTA, SIN TORNILLOS EXPUESTOS. RESISTENTES A LA CORROSIÓN, RAYONES Y MANCHAS. ( INCLUYE CHAZOS, TORNILLOS Y DEMÁS ACTIVIDADES Y/O MATERIALES NECESARIOS PARA SU INSTALACIÓN )</t>
  </si>
  <si>
    <t>1.3.30</t>
  </si>
  <si>
    <t>SUMINISTRO,  INSTALACIÓN Y PUESTA EN FUNCIONAMIENTO DE ESPEJO EN CRISTAL BISELADO DE PRIMERA CALIDAD, FLOTANTE , DE SUPERFICIE PLANA, ESPESOR MÍNIMO DE 6MM. (INCLUYE ESTRUCTURA Y ACCESORIOS DE FIJACIÓN, Y TODO LO NECESARIO PARA SU CORRECTA INSTALACIÓN Y FUNCIONAMIENTO)</t>
  </si>
  <si>
    <t>1.3.31</t>
  </si>
  <si>
    <t>SUMINISTRO Y APLICACIÓN DE PINTURA ANTIBACTERIAL 100% ACRÌLICA, ACABADO BRILLANTE - SATINADO - MÁXIMA LAVABILIDAD.ALTA RESISTENCIA A LA HUMEDAD, VAPOR, GRASA, MANCHAS Y A LA FORMACIÓN DE HONGOS. REFERENCIA CORONA, VINILTEX O SUPERIOR, FÁCIL DE LIMPIAR. A 3 MANOS (INCLUYE: ADECUACION MUROS, RESANE DE SUPERFICIE CON ESTUCO, RETIRO DE ELEMENTOS EN MURO, FILOS, DILATACIONES, LINEALES)</t>
  </si>
  <si>
    <t>1.3.32</t>
  </si>
  <si>
    <t xml:space="preserve"> SUMINISTRO, INSTALACION Y PUESTA EN FUNCIONAMIENTO SIMILAR O MEJORES ESPECIFICACIONES DE PUERTA DE MADERA AJUSTABLE GALES DE MATERIAL MDP MELAMINICO, ESPESOR 4.2 cm, (1,10*2,10)(1*2,10) APROX, SISTEMA ABATIBLE, (INCLUYE: CORTE, LIJADA, ALISTAMIENTO PARA ADECUACUACIÓN DE LA PUERTA AL ESPACIO DONDE SERA INSTALADA, MARCO, CHAPA BOLA, HERRAJES, ACCESORIOS, VISAGRAS, JAMBAS, ACABADO, PINTURA ESCOGIDO POR LA ENTIDAD APLICADA CON COMPRESOR Y PISTOLA, LACA, TAPALUCES, SISTEMAS DE ANCLAJE, RESANE MUROS POR INSTALACIÓN )        </t>
  </si>
  <si>
    <t>1.3.33</t>
  </si>
  <si>
    <t>SUMINISTRO E INSTALACIÓN DE REJILLA PARA SIFÓN DE PISO DE 3". INCLUYE TODO LO NECESARIO PARA SU CORRECTA INSTALACION Y FUNCIONAMIENTO</t>
  </si>
  <si>
    <t>1.3.34</t>
  </si>
  <si>
    <t xml:space="preserve">SUMINISTRO E INSTALACIÓN DE LAMPARAS LED 24V D:30CM, DIA UTIL 35.000 HORAS, INCLUYE SOPORTE EN ALUMNIO COLOR Y CABLES ENCAUCHETADO HASTA CIRCUITO RAMAL </t>
  </si>
  <si>
    <t>1.3.35</t>
  </si>
  <si>
    <t>REINSTALACION DE ORINAL EXISTENTE</t>
  </si>
  <si>
    <t>1.3.36</t>
  </si>
  <si>
    <t>SUMINISTRO E INSTALACIÓN DE PUNTO HIDRÁULICO DE 1/2"   PARA   AGUA   FRÍA,   INCLUYE   UNIONES,   CODOS
,CONEXIÓN RED PRINCIPAL MATERIAL, MANO DE OBRA, HERRAMIENTA,   Y   DEMÁS   ELEMENTOS   NECESARIOS PARA SU INSTALACIÓN,</t>
  </si>
  <si>
    <t>1.3.37</t>
  </si>
  <si>
    <t>SALIDA   DE   SANITARIO   PVC-S4",   INCLUYE   TODO   LO NECESARIO    PARA    SU    CORRECTA    INSTALACIÓN    Y FUNCIONAMIENTO,</t>
  </si>
  <si>
    <t>CUBIERTA BODEGAS</t>
  </si>
  <si>
    <t>DESMONTE DE CUBIERTA EN LAMINA ONDULADA EXISTENTE  (INCLUYE: RETIRO Y DISPOSICION FINAL HASTA LUGAR (AUTORIZADO), INCLUYE TODO LO REQUERIDO PARA LA CORRECTA EJECUCION   Y FUNCIONAMIENTO DE LA ACTIVIDAD.</t>
  </si>
  <si>
    <t>SUMINISTRO E INSTALACIÓN DE  UPVC CRESTA ALTA, (INCLUYE:    ACABADO,    REMATES    CONTRA    MUROS, HERRAMIENTAS   NECESARIAS   PARA   SU   EJECUCIÓN, FIJADORES    DE    LAMINA,    ACCESORIOS    Y    RETIRO MATERIAL SOBRANTE Y ASEO DE LA UNIDAD), INCLUYE TODO LO REQUERIDO PARA LA CORRECTA EJECUCION Y FUNCIONAMIENTO DE LA ACTIVIDAD</t>
  </si>
  <si>
    <t>SUMINISTRO E INSTALACIÓN DE FLANCHE EN LÁMINA COLD ROLLED CALIBRE 22 PARA ENCUENTRO DE CUBIERTA CON MURO, CONFORMADO CON DOBLECES SEGÚN DISEÑO, INCLUYENDO REGATA EN EL MURO E INCRUSTACIÓN MÍNIMA DE 5 CM, DESARROLLO VERTICAL DE 6 CM ADHERIDO AL MURO Y 15 CM DE ALA HORIZONTAL SOBRE LA TEJA, CORTE Y DOBLADO DE LA LÁMINA, FIJACIÓN MECÁNICA AL MURO, SELLADO DE LA REGATA CON SELLANTE IMPERMEABLE, AJUSTE SOBRE LA CUBIERTA, ALINEACIÓN Y ACABADO FINAL, GARANTIZANDO ESTANQUEIDAD, ADECUADA EVACUACIÓN DE AGUA Y DURABILIDAD DEL SISTEMA DE CUBIERTA.</t>
  </si>
  <si>
    <t>1.3.38</t>
  </si>
  <si>
    <t>RETIRO O PREPARACIÓN DE IMPERMEABILIZACIÓN EXISTENTE EN PINTURA BITUMINOSA, MEDIANTE RASPADO, LIMPIEZA Y ELIMINACIÓN DE MATERIAL SUELTO O DETERIORADO, INCLUYENDO DISPOSICIÓN ADECUADA DE RESIDUOS Y PREPARACIÓN DE LA SUPERFICIE PARA RECIBIR NUEVO SISTEMA DE IMPERMEABILIZACIÓN, GARANTIZANDO QUE LA BASE QUEDE FIRME, LIMPIA Y APTA PARA LA CORRECTA ADHERENCIA DEL MANTO ASFÁLTICO.</t>
  </si>
  <si>
    <t>1.3.39</t>
  </si>
  <si>
    <t>SUMINISTRO E INSTALACIÓN DE MANTO ASFÁLTICO TIPO EDIL DE 3 MM CON FOIL DE ALUMINIO, APLICADO POR TERMOFUSIÓN SOBRE SUPERFICIE PREVIAMENTE PREPARADA Y CON APLICACIÓN DE PRIMER ASFÁLTICO, INCLUYENDO EJECUCIÓN DE REGATA EN EL MURO PARA INCRUSTACIÓN DEL MANTO, DESARROLLO VERTICAL Y EMBEBIDO EN EL MURO, SELLADO SUPERIOR CON PINTURA BITUMINOSA, TRASLAPES SELLADOS, AJUSTE PERIMETRAL Y VERIFICACIÓN DE ESTANQUEIDAD, GARANTIZANDO CONTINUIDAD DEL SISTEMA IMPERMEABLE Y PROTECCIÓN CONTRA FILTRACIONES.</t>
  </si>
  <si>
    <t>1.3.40</t>
  </si>
  <si>
    <t>IMPERMEABILIZACIÓN VIGA CANAL DE CONCRETO, SikaFill®-7 Power CO Y TELA DE REFUERZO TIPO SIKAFELT FPP-30 (INCLUYE: CONEXION ENTRE CANALES Y BAJANTES, LINEALES, ACABADO COLOR, RESANES CON EUCODURACRIL, BULKEN O SIMILAR) INCLUYE TODO LO REQUERIDO PARA LA CORRECTA EJECUCION Y FUNCIONAMIENTO DE LA ACTIVIDAD. LA DIMENSION DE LA VIGA CANAL ES DE UNA ALTURA DE 0.4M Y UN ANCHO DE 0.5M APROX</t>
  </si>
  <si>
    <t>1.3.41</t>
  </si>
  <si>
    <t>1.3.42</t>
  </si>
  <si>
    <t>CUBIERTA BODEGAS TIPO BARRO</t>
  </si>
  <si>
    <t>1.3.43</t>
  </si>
  <si>
    <t>DESMONTE DE CUBIERTA EN LAMINA ONDULADA EXISTENTE Y ESTRUCTURA DE SOPORTE (INCLUYE: RETIRO Y DISPOSICION FINAL HASTA LUGAR (AUTORIZADO), INCLUYE TODO LO REQUERIDO PARA LA CORRECTA EJECUCION   Y FUNCIONAMIENTO DE LA ACTIVIDAD.</t>
  </si>
  <si>
    <t>1.3.44</t>
  </si>
  <si>
    <t xml:space="preserve">DESMONTE    DE    CIELO    RASO   Y ESTRUCTURA    DE    SOPORTE,    (INCLUYE:    LINEALES, DILATACIONES, RETIRO MATERIAL SOBRANTE Y ASEO DE LA OBRA), </t>
  </si>
  <si>
    <t>1.3.45</t>
  </si>
  <si>
    <t>1.3.46</t>
  </si>
  <si>
    <t>SUMINISTRO E INSTALACIÓN DE  UPVC CRESTA ALTA Y ESTRUCTURA DE SOPORTE, (INCLUYE:    ACABADO,    REMATES    CONTRA    MUROS, HERRAMIENTAS   NECESARIAS   PARA   SU   EJECUCIÓN, FIJADORES    DE    LAMINA,    ACCESORIOS    Y    RETIRO MATERIAL SOBRANTE Y ASEO DE LA UNIDAD), INCLUYE TODO LO REQUERIDO PARA LA CORRECTA EJECUCION Y FUNCIONAMIENTO DE LA ACTIVIDAD</t>
  </si>
  <si>
    <t>1.3.47</t>
  </si>
  <si>
    <t>1.3.48</t>
  </si>
  <si>
    <t>1.3.49</t>
  </si>
  <si>
    <t>SUMINISTRO E INSTALACIÓN DE CANAL METÁLICA TIPO CAJA EN LÁMINA GALVANIZADA CALIBRE 20, CON DIMENSIONES APROXIMADAS DE 15 CM DE ANCHO POR 15 CM DE PROFUNDIDAD APROXIMADAMENTE CONFORMADA CON DOBLECES PARA RIGIDIZACIÓN Y ADECUADA EVACUACIÓN DE AGUAS LLUVIAS PROVENIENTES DE CUBIERTA DE APROXIMADAMENTE, INCLUYENDO SOPORTES METÁLICOS DE FIJACIÓN, ALINEACIÓN Y PENDIENTE ADECUADA HACIA LOS PUNTOS DE DESCARGA, SELLADO DE UNIONES, CONEXIÓN A BAJANTES PLUVIALES MEDIANTE BOQUILLAS O EMBUDOS METÁLICOS, AJUSTE Y FIJACIÓN DE LAS BAJANTES CORRESPONDIENTES, GARANTIZANDO CORRECTA CONDUCCIÓN DEL AGUA, ESTABILIDAD DEL SISTEMA Y ACABADO ADECUADO.</t>
  </si>
  <si>
    <t>SUMINISTRO E INSTALACIÓN DE CANAL METÁLICA TIPO CAJA EN LÁMINA GALVANIZADA CALIBRE 20, CON DIMENSIONES APROXIMADAS DE 30 CM DE ANCHO POR 20 CM DE PROFUNDIDAD, CONFORMADA CON DOBLECES PARA RIGIDIZACIÓN Y ADECUADA EVACUACIÓN DE AGUAS LLUVIAS PROVENIENTES DE CUBIERTA DE APROXIMADAMENTE, INCLUYENDO SOPORTES METÁLICOS DE FIJACIÓN, ALINEACIÓN Y PENDIENTE ADECUADA HACIA LOS PUNTOS DE DESCARGA, SELLADO DE UNIONES, CONEXIÓN A BAJANTES PLUVIALES MEDIANTE BOQUILLAS O EMBUDOS METÁLICOS, AJUSTE Y FIJACIÓN DE LAS BAJANTES CORRESPONDIENTES, GARANTIZANDO CORRECTA CONDUCCIÓN DEL AGUA, ESTABILIDAD DEL SISTEMA Y ACABADO ADECUADO.</t>
  </si>
  <si>
    <t>SUMINISTRO Y APLICACIÓN DE HIDRÓFUGO TRANSPARENTE PARA MUROS TIPO SIKA TRANSPARENTE‑10 O EQUIVALENTE, INCLUYENDO LIMPIEZA DEL SUSTRATO, RETIRO DE MATERIAL SUELTO, RESANE DE FISURAS MENORES Y PREPARACIÓN DE LA SUPERFICIE, PARA POSTERIORMENTE APLICAR EL HIDRÓFUGO SILICONADO EN MÍNIMO DOS MANOS SEGÚN ESPECIFICACIÓN DEL FABRICANTE, GARANTIZANDO LA CORRECTA PENETRACIÓN EN EL SUSTRATO, REDUCCIÓN DE LA ABSORCIÓN CAPILAR Y PROTECCIÓN DEL MURO CONTRA FILTRACIONES DE AGUA LLUVIA SIN ALTERAR EL ACABADO EXISTENTE, INCLUYENDO MANO DE OBRA, HERRAMIENTAS Y TODOS LOS ELEMENTOS NECESARIOS PARA SU CORRECTA APLICACIÓN.</t>
  </si>
  <si>
    <t>SUMINISTRO,   INSTALACIÓN,   CONEXION,   PRUEBAS   Y PUESTA    EN    SERVICIO    DE    PUNTO    ELECTRICO    Y LUMINARIA   LED   60X60   CM   PLANA   Y   DELGADA   DE INCRUSTAR,    SOBREPONER    O    COLGAR    (ACUERDO REQUERIMIENTO)  DE  48  VATIOS  (100-227)  V,  3000  K, INCLUYE   MARCO   METALICO   EN   PERIMETRO   DE   LA LAMPARA  DE  3  CM  DE  ANCHO  PINTADO  DE  BLANCO, TUBERIA   EMT,   CABLEADO   No   12   AWG   (CANTIDAD ACUERDO PLANO), CAJAS DE PASO Y DE SALIDA, CABLE ENCAUCHETADO   HASTA   LA   LAMPARA,   TERMINALES, SOPORTES,      GUAYAS,      CONSUMIBLES      Y      DEMAS ELEMENTOS     REQUERIDOS     PARA     SU     CORRECTO FUNCIONAMIENTO,</t>
  </si>
  <si>
    <t>MANTENIMIENTO DE VENTANERÍA METÁLICA EXISTENTE, INCLUYENDO LIMPIEZA DE MARCOS Y SUPERFICIES, RETIRO DE SELLANTES DETERIORADOS EN JUNTAS Y UNIONES ENTRE PERFILES Y VIDRIOS, PREPARACIÓN DE LAS SUPERFICIES Y RESELLADO DE LA VENTANERÍA MEDIANTE SELLANTE ELASTOMÉRICO DE POLIURETANO O SILICONA ESTRUCTURAL PARA EXTERIORES TIPO SIKA O EQUIVALENTE, GARANTIZANDO LA CORRECTA ADHERENCIA Y ESTANQUEIDAD DEL SISTEMA; INCLUYE AJUSTE DE PERFILES, SELLADO DE UNIONES ENTRE MARCOS, HERRAMIENTAS, MANO DE OBRA Y TODOS LOS MATERIALES NECESARIOS PARA ELIMINAR FILTRACIONES DE AGUA LLUVIA.</t>
  </si>
  <si>
    <t>MANTENIMIENTO DEL MURO EN EL ENCUENTRO CON LA VENTANERÍA EXISTENTE, INCLUYENDO LIMPIEZA DE LA SUPERFICIE ESTUCADA Y PINTADA, RETIRO DE MATERIAL SUELTO O DETERIORADO, RESANE DE FISURAS O DISCONTINUIDADES EN EL ESTUCO, PREPARACIÓN DE LA SUPERFICIE Y APLICACIÓN DE HIDRÓFUGO TRANSPARENTE TIPO SIKA TRANSPARENTE-10 O EQUIVALENTE, APLICADO EN MÍNIMO DOS MANOS SEGÚN ESPECIFICACIONES DEL FABRICANTE, GARANTIZANDO LA REDUCCIÓN DE ABSORCIÓN CAPILAR Y LA PROTECCIÓN DEL MURO CONTRA FILTRACIONES DE AGUA LLUVIA; INCLUYE MANO DE OBRA, HERRAMIENTAS Y TODOS LOS MATERIALES NECESARIOS PARA SU CORRECTA EJECUCIÓN.</t>
  </si>
  <si>
    <t>DESMONTE DEL VIDRIO DETERIORADO O ROTO EN VENTANERÍA METÁLICA EXISTENTE, RETIRO Y DISPOSICIÓN ADECUADA DEL MATERIAL, Y SUMINISTRO E INSTALACIÓN DE VIDRIO DE SEGURIDAD LAMINADO DE 6 MM O EQUIVALENTE CON CARACTERÍSTICAS SIMILARES AL EXISTENTE, INCLUYENDO EMPAQUE, CALCES, SELLADO PERIMETRAL CON SILICONA ESTRUCTURAL PARA EXTERIORES TIPO SIKA O EQUIVALENTE, AJUSTE DENTRO DEL MARCO METÁLICO Y VERIFICACIÓN DE ESTANQUEIDAD; INCLUYE MANO DE OBRA, HERRAMIENTAS Y TODOS LOS MATERIALES NECESARIOS PARA SU CORRECTA INSTALACIÓN Y FUNCIONAMIENTO.</t>
  </si>
  <si>
    <t>SUMINISTRO E INSTALACIÓN DE VIDRIO DE SEGURIDAD LAMINADO TEMPLADO DE 2 LAMINAS DE 10MM CADA UNA CON PELICULA DE SEGURIDAD PVB ENTRE ELLOS ESPESOR EQUIVALENTE SEGÚN SISTEMA EXISTENTE, PARA BARANDA, INCLUYENDO CORTE A MEDIDA, PULIDO DE CANTOS, PERFORACIONES Y MECANIZADOS REQUERIDOS PARA SU FIJACIÓN, TRANSPORTE, MANIPULACIÓN E INSTALACIÓN EN LA ESTRUCTURA EXISTENTE, COLOCACIÓN DE EMPAQUES O SEPARADORES, ALINEACIÓN, NIVELACIÓN Y AJUSTE DENTRO DEL SISTEMA DE SOPORTE, GARANTIZANDO ESTABILIDAD Y SEGURIDAD DEL ELEMENTO; INCLUYE MANO DE OBRA, HERRAMIENTAS Y TODOS LOS MATERIALES NECESARIOS PARA SU CORRECTA INSTALACIÓN.</t>
  </si>
  <si>
    <t>BODEGA</t>
  </si>
  <si>
    <t>SUBTOTAL COSTO DIRECTO OBRA CIVIL</t>
  </si>
  <si>
    <t>ADMINISTRACIÓN</t>
  </si>
  <si>
    <t>IMPREVISTOS</t>
  </si>
  <si>
    <t>UTILIDAD</t>
  </si>
  <si>
    <t>A. TOTAL OBRA CIVIL</t>
  </si>
  <si>
    <t>VS INGENIERÍA &amp; CONSTRUCCIONES</t>
  </si>
  <si>
    <t xml:space="preserve">VALOR. UNITARIO </t>
  </si>
  <si>
    <t>RICHARD JAMES CASTIBLANCO</t>
  </si>
  <si>
    <t>$ 70.560.837,65</t>
  </si>
  <si>
    <t>$ 6.135.725,01</t>
  </si>
  <si>
    <t>$ 401.736.595,22</t>
  </si>
  <si>
    <t>CONSTRUCCIONES CABRERA J.O - S.A.S.</t>
  </si>
  <si>
    <t>$ 66.265.830,14</t>
  </si>
  <si>
    <t>$ 9.036.249,56</t>
  </si>
  <si>
    <t>$ 15.060.415,94</t>
  </si>
  <si>
    <t>$ 2.861.479,03</t>
  </si>
  <si>
    <t>$ 394.432.293,49</t>
  </si>
  <si>
    <t xml:space="preserve">PROMEDIO </t>
  </si>
  <si>
    <t>MEDIANA</t>
  </si>
  <si>
    <t xml:space="preserve">MEDIA GEOMETRICA </t>
  </si>
  <si>
    <t xml:space="preserve">DESVIACION ESTANDAR </t>
  </si>
  <si>
    <t xml:space="preserve">%DISPERSION </t>
  </si>
  <si>
    <r>
      <t>SUMINISTRO E INSTALACIÓN DE MURO EN SISTEMA DRYWALL DE </t>
    </r>
    <r>
      <rPr>
        <sz val="9"/>
        <color rgb="FF000000"/>
        <rFont val="Arial"/>
        <family val="2"/>
      </rPr>
      <t>UNA CARA, CON ESTRUCTURA EN PERFILERÍA METÁLICA ANCLADA A MUROS, SOBRE LA CUAL SE INSTALARÁ PANEL DE YESO TIPO DRYWALL EN LA CARA EXPUESTA. EL SISTEMA DEBERÁ INCLUIR AISLAMIENTO ACÚSTICO EN FIBRA DE VIDRIO INSTALADO EN EL INTERIOR DE LA ESTRUCTURA METÁLICA CON EL FIN DE REDUCIR LA TRANSMISIÓN DEL RUIDO. INCLUYE PERFILERÍA METÁLICA (PARALES Y CANALES), FIJACIONES, PANELES DE YESO, COLOCACIÓN DEL MATERIAL AISLANTE EN FIBRA DE VIDRIO, TRATAMIENTO DE JUNTAS, APLICACIÓN DE CINTA Y MASILLA, ASÍ COMO LOS CORTES Y ADECUACIONES NECESARIAS PARA RESPETAR LA UBICACIÓN DE TOMACORRIENTES, INTERRUPTORES Y DEMÁS ELEMENTOS ELÉCTRICOS EXISTENTES</t>
    </r>
  </si>
  <si>
    <t>1. NOTAS:
*Valor unitario techo :
El estudio de mercado definió un valor unitario techo para cada servicio, calculado antes de AIU+ IVA y demás erogaciones aplicables. Este parámetro constituye la base de comparación entre oferentes, garantizando que la evaluación económica se realice en condiciones homogéneas y sobre valores netos, sin distorsiones tributarias.
* Para efectos de adjudicación contractual, se considerará el valor total ofertado, incluyendo AIU+ IVA y demás erogaciones exigibles, en cumplimiento de la normativa tributaria vigente. De esta manera, se asegura que el contrato refleje el costo real de ejecución de la obra o servicio de infraestructura, preservando la transparencia, la equidad en la competencia y la correcta planeación presupuestal.</t>
  </si>
  <si>
    <t>PRECIO TECHO COTIZADO (PROMEDIO)</t>
  </si>
  <si>
    <t>BFLIM 70 (UFAP BIM 70)</t>
  </si>
  <si>
    <t>SEDE 45 (UFAP ODONTOLÓGICA)</t>
  </si>
  <si>
    <t>SEDE NORTE (UFAP NORTE)</t>
  </si>
  <si>
    <t>IVA SOBRE UTILIDAD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</si>
</sst>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43" formatCode="_-* #,##0.00_-;\-* #,##0.00_-;_-* &quot;-&quot;??_-;_-@_-"/>
    <numFmt numFmtId="164" formatCode="&quot;$&quot;\ #,##0.00"/>
    <numFmt numFmtId="165" formatCode="0.0"/>
  </numFmts>
  <fonts count="10" x14ac:knownFonts="1">
    <font>
      <sz val="11"/>
      <color theme="1"/>
      <name val="Calibri"/>
      <family val="2"/>
      <scheme val="minor"/>
    </font>
    <font>
      <sz val="11"/>
      <color theme="1"/>
      <name val="Calibri"/>
      <family val="2"/>
      <scheme val="minor"/>
    </font>
    <font>
      <b/>
      <sz val="9"/>
      <color theme="1"/>
      <name val="Arial"/>
      <family val="2"/>
    </font>
    <font>
      <sz val="9"/>
      <color theme="1"/>
      <name val="Calibri"/>
      <family val="2"/>
      <scheme val="minor"/>
    </font>
    <font>
      <b/>
      <sz val="9"/>
      <name val="Arial"/>
      <family val="2"/>
    </font>
    <font>
      <sz val="9"/>
      <color theme="1"/>
      <name val="Arial"/>
      <family val="2"/>
    </font>
    <font>
      <sz val="9"/>
      <name val="Arial"/>
      <family val="2"/>
    </font>
    <font>
      <sz val="9"/>
      <color rgb="FF000000"/>
      <name val="Arial"/>
      <family val="2"/>
    </font>
    <font>
      <b/>
      <sz val="9"/>
      <color theme="1"/>
      <name val="Calibri"/>
      <family val="2"/>
      <scheme val="minor"/>
    </font>
    <font>
      <sz val="10"/>
      <name val="Arial"/>
      <family val="2"/>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
      <patternFill patternType="solid">
        <fgColor theme="2" tint="-0.249977111117893"/>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6" tint="0.5999938962981048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diagonal/>
    </border>
    <border>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9" fillId="0" borderId="0"/>
    <xf numFmtId="0" fontId="1" fillId="0" borderId="0"/>
    <xf numFmtId="9" fontId="9" fillId="0" borderId="0" applyFont="0" applyFill="0" applyBorder="0" applyAlignment="0" applyProtection="0"/>
  </cellStyleXfs>
  <cellXfs count="198">
    <xf numFmtId="0" fontId="0" fillId="0" borderId="0" xfId="0"/>
    <xf numFmtId="0" fontId="3" fillId="0" borderId="0" xfId="0" applyFont="1"/>
    <xf numFmtId="0" fontId="2"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2" fillId="3" borderId="1" xfId="1" applyNumberFormat="1" applyFont="1" applyFill="1" applyBorder="1" applyAlignment="1">
      <alignment horizontal="center" vertical="center" wrapText="1"/>
    </xf>
    <xf numFmtId="0" fontId="3" fillId="0" borderId="1" xfId="0" applyFont="1" applyBorder="1"/>
    <xf numFmtId="165" fontId="5" fillId="4" borderId="1" xfId="0" applyNumberFormat="1" applyFont="1" applyFill="1" applyBorder="1" applyAlignment="1">
      <alignment horizontal="center" vertical="center" wrapText="1"/>
    </xf>
    <xf numFmtId="0" fontId="4" fillId="4" borderId="1" xfId="0" applyFont="1" applyFill="1" applyBorder="1" applyAlignment="1">
      <alignment horizontal="left" vertical="center" wrapText="1"/>
    </xf>
    <xf numFmtId="0" fontId="2"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6" fillId="5" borderId="1" xfId="0" applyFont="1" applyFill="1" applyBorder="1" applyAlignment="1">
      <alignment horizontal="left" vertical="center" wrapText="1"/>
    </xf>
    <xf numFmtId="3" fontId="3" fillId="0" borderId="1" xfId="0" applyNumberFormat="1" applyFont="1" applyBorder="1" applyAlignment="1">
      <alignment horizontal="center" vertical="center"/>
    </xf>
    <xf numFmtId="0" fontId="5" fillId="9"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5" fillId="0" borderId="1" xfId="0" applyFont="1" applyBorder="1" applyAlignment="1">
      <alignment horizontal="center" vertical="center" wrapText="1"/>
    </xf>
    <xf numFmtId="0" fontId="7" fillId="0" borderId="1" xfId="0" applyFont="1" applyBorder="1" applyAlignment="1">
      <alignment vertical="center" wrapText="1"/>
    </xf>
    <xf numFmtId="0" fontId="7" fillId="0" borderId="1" xfId="0" applyFont="1" applyBorder="1" applyAlignment="1">
      <alignment wrapText="1"/>
    </xf>
    <xf numFmtId="2" fontId="5" fillId="0" borderId="1" xfId="0" applyNumberFormat="1" applyFont="1" applyBorder="1" applyAlignment="1">
      <alignment horizontal="center" vertical="center" wrapText="1"/>
    </xf>
    <xf numFmtId="2" fontId="5" fillId="5" borderId="1" xfId="0" applyNumberFormat="1" applyFont="1" applyFill="1" applyBorder="1" applyAlignment="1">
      <alignment horizontal="center" vertical="center" wrapText="1"/>
    </xf>
    <xf numFmtId="0" fontId="5" fillId="6" borderId="1" xfId="0" applyFont="1" applyFill="1" applyBorder="1" applyAlignment="1">
      <alignment vertical="center" wrapText="1"/>
    </xf>
    <xf numFmtId="165" fontId="5" fillId="7" borderId="1" xfId="0" applyNumberFormat="1" applyFont="1" applyFill="1" applyBorder="1" applyAlignment="1">
      <alignment horizontal="center" vertical="center" wrapText="1"/>
    </xf>
    <xf numFmtId="0" fontId="4" fillId="7" borderId="1" xfId="0" applyFont="1" applyFill="1" applyBorder="1" applyAlignment="1">
      <alignment horizontal="left" vertical="center" wrapText="1"/>
    </xf>
    <xf numFmtId="0" fontId="2" fillId="7" borderId="1" xfId="0" applyFont="1" applyFill="1" applyBorder="1" applyAlignment="1">
      <alignment horizontal="center" vertical="center" wrapText="1"/>
    </xf>
    <xf numFmtId="0" fontId="5" fillId="7" borderId="1" xfId="1" applyNumberFormat="1" applyFont="1" applyFill="1" applyBorder="1" applyAlignment="1">
      <alignment horizontal="center" vertical="center" wrapText="1"/>
    </xf>
    <xf numFmtId="0" fontId="6" fillId="5" borderId="1" xfId="0" applyFont="1" applyFill="1" applyBorder="1" applyAlignment="1">
      <alignment horizontal="center" vertical="center" wrapText="1"/>
    </xf>
    <xf numFmtId="0" fontId="5" fillId="5" borderId="1" xfId="0" applyFont="1" applyFill="1" applyBorder="1" applyAlignment="1">
      <alignment vertical="center" wrapText="1"/>
    </xf>
    <xf numFmtId="0" fontId="6" fillId="0" borderId="1" xfId="0" applyFont="1" applyBorder="1" applyAlignment="1">
      <alignment wrapText="1"/>
    </xf>
    <xf numFmtId="0" fontId="3" fillId="0" borderId="1" xfId="0" applyFont="1" applyBorder="1" applyAlignment="1">
      <alignment horizontal="center" vertical="center"/>
    </xf>
    <xf numFmtId="0" fontId="5" fillId="8" borderId="1" xfId="0" applyFont="1" applyFill="1" applyBorder="1" applyAlignment="1">
      <alignment horizontal="center" vertical="center" wrapText="1"/>
    </xf>
    <xf numFmtId="3" fontId="5" fillId="8" borderId="1" xfId="0" applyNumberFormat="1" applyFont="1" applyFill="1" applyBorder="1" applyAlignment="1">
      <alignment horizontal="center" vertical="center" wrapText="1"/>
    </xf>
    <xf numFmtId="164" fontId="5" fillId="8" borderId="1" xfId="0" applyNumberFormat="1" applyFont="1" applyFill="1" applyBorder="1" applyAlignment="1">
      <alignment vertical="center" wrapText="1"/>
    </xf>
    <xf numFmtId="164" fontId="2" fillId="8" borderId="1" xfId="0" applyNumberFormat="1" applyFont="1" applyFill="1" applyBorder="1" applyAlignment="1">
      <alignment horizontal="center" vertical="center" wrapText="1"/>
    </xf>
    <xf numFmtId="0" fontId="5" fillId="8" borderId="1" xfId="0" applyFont="1" applyFill="1" applyBorder="1" applyAlignment="1">
      <alignment vertical="center" wrapText="1"/>
    </xf>
    <xf numFmtId="4" fontId="2" fillId="8" borderId="1" xfId="0" applyNumberFormat="1" applyFont="1" applyFill="1" applyBorder="1" applyAlignment="1">
      <alignment horizontal="center" vertical="center" wrapText="1"/>
    </xf>
    <xf numFmtId="9" fontId="5" fillId="6" borderId="1" xfId="0" applyNumberFormat="1" applyFont="1" applyFill="1" applyBorder="1" applyAlignment="1">
      <alignment horizontal="center" vertical="center" wrapText="1"/>
    </xf>
    <xf numFmtId="164" fontId="5" fillId="6" borderId="1" xfId="0" applyNumberFormat="1" applyFont="1" applyFill="1" applyBorder="1" applyAlignment="1">
      <alignment horizontal="center" vertical="center" wrapText="1"/>
    </xf>
    <xf numFmtId="9" fontId="5" fillId="6" borderId="1" xfId="2" applyNumberFormat="1" applyFont="1" applyFill="1" applyBorder="1" applyAlignment="1">
      <alignment horizontal="center" vertical="center" wrapText="1"/>
    </xf>
    <xf numFmtId="4" fontId="5" fillId="6" borderId="1" xfId="0" applyNumberFormat="1" applyFont="1" applyFill="1" applyBorder="1" applyAlignment="1">
      <alignment horizontal="center" vertical="center" wrapText="1"/>
    </xf>
    <xf numFmtId="0" fontId="6" fillId="0" borderId="0" xfId="0" applyFont="1" applyAlignment="1">
      <alignment wrapText="1"/>
    </xf>
    <xf numFmtId="43" fontId="3" fillId="0" borderId="1" xfId="2" applyFont="1" applyBorder="1" applyAlignment="1">
      <alignment vertical="center"/>
    </xf>
    <xf numFmtId="0" fontId="3" fillId="0" borderId="0" xfId="0" applyFont="1" applyAlignment="1">
      <alignment horizontal="center" vertical="center"/>
    </xf>
    <xf numFmtId="43" fontId="3" fillId="0" borderId="1" xfId="2" applyFont="1" applyBorder="1" applyAlignment="1">
      <alignment horizontal="center" vertical="center"/>
    </xf>
    <xf numFmtId="9" fontId="3" fillId="0" borderId="1" xfId="3" applyFont="1" applyBorder="1" applyAlignment="1">
      <alignment horizontal="center" vertical="center"/>
    </xf>
    <xf numFmtId="0" fontId="8" fillId="0" borderId="0" xfId="0" applyFont="1" applyAlignment="1">
      <alignment horizontal="center" vertical="center"/>
    </xf>
    <xf numFmtId="0" fontId="8" fillId="3" borderId="1" xfId="0" applyFont="1" applyFill="1" applyBorder="1" applyAlignment="1">
      <alignment horizontal="center" vertical="center"/>
    </xf>
    <xf numFmtId="3" fontId="8" fillId="3" borderId="1" xfId="0" applyNumberFormat="1" applyFont="1" applyFill="1" applyBorder="1" applyAlignment="1">
      <alignment horizontal="center" vertical="center"/>
    </xf>
    <xf numFmtId="0" fontId="4" fillId="3" borderId="1" xfId="0" applyFont="1" applyFill="1" applyBorder="1" applyAlignment="1">
      <alignment horizontal="center" vertical="center" wrapText="1"/>
    </xf>
    <xf numFmtId="3" fontId="5" fillId="6" borderId="3" xfId="0" applyNumberFormat="1" applyFont="1" applyFill="1" applyBorder="1" applyAlignment="1">
      <alignment horizontal="center" vertical="center" wrapText="1"/>
    </xf>
    <xf numFmtId="0" fontId="5" fillId="8" borderId="12" xfId="0" applyFont="1" applyFill="1" applyBorder="1" applyAlignment="1">
      <alignment horizontal="center" vertical="center" wrapText="1"/>
    </xf>
    <xf numFmtId="3" fontId="5" fillId="8" borderId="3"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164" fontId="3" fillId="0" borderId="0" xfId="1" applyNumberFormat="1" applyFont="1"/>
    <xf numFmtId="0" fontId="3" fillId="0" borderId="12" xfId="0" applyFont="1" applyBorder="1" applyAlignment="1">
      <alignment horizontal="center" vertical="center"/>
    </xf>
    <xf numFmtId="164" fontId="3" fillId="0" borderId="0" xfId="0" applyNumberFormat="1" applyFont="1"/>
    <xf numFmtId="164" fontId="2" fillId="11" borderId="1" xfId="1" applyNumberFormat="1" applyFont="1" applyFill="1" applyBorder="1" applyAlignment="1">
      <alignment horizontal="center" vertical="center" wrapText="1"/>
    </xf>
    <xf numFmtId="3" fontId="5" fillId="11" borderId="1" xfId="1" applyNumberFormat="1" applyFont="1" applyFill="1" applyBorder="1" applyAlignment="1">
      <alignment horizontal="center" vertical="center" wrapText="1"/>
    </xf>
    <xf numFmtId="3" fontId="5" fillId="11" borderId="1" xfId="0" applyNumberFormat="1" applyFont="1" applyFill="1" applyBorder="1" applyAlignment="1">
      <alignment horizontal="center" vertical="center" wrapText="1"/>
    </xf>
    <xf numFmtId="4" fontId="5" fillId="11" borderId="1" xfId="0" applyNumberFormat="1" applyFont="1" applyFill="1" applyBorder="1" applyAlignment="1">
      <alignment horizontal="center" vertical="center" wrapText="1"/>
    </xf>
    <xf numFmtId="3" fontId="6" fillId="11" borderId="1" xfId="0" applyNumberFormat="1" applyFont="1" applyFill="1" applyBorder="1" applyAlignment="1">
      <alignment horizontal="center" vertical="center" wrapText="1"/>
    </xf>
    <xf numFmtId="0" fontId="2" fillId="10" borderId="1" xfId="1" applyNumberFormat="1" applyFont="1" applyFill="1" applyBorder="1" applyAlignment="1">
      <alignment horizontal="center" vertical="center" wrapText="1"/>
    </xf>
    <xf numFmtId="4" fontId="5" fillId="10" borderId="1" xfId="1" applyNumberFormat="1" applyFont="1" applyFill="1" applyBorder="1" applyAlignment="1">
      <alignment horizontal="center" vertical="center" wrapText="1"/>
    </xf>
    <xf numFmtId="3" fontId="5" fillId="10" borderId="1" xfId="0" applyNumberFormat="1" applyFont="1" applyFill="1" applyBorder="1" applyAlignment="1">
      <alignment horizontal="center" vertical="center" wrapText="1"/>
    </xf>
    <xf numFmtId="4" fontId="5" fillId="10" borderId="1" xfId="0" applyNumberFormat="1" applyFont="1" applyFill="1" applyBorder="1" applyAlignment="1">
      <alignment horizontal="center" vertical="center" wrapText="1"/>
    </xf>
    <xf numFmtId="3" fontId="5" fillId="10" borderId="1" xfId="1" applyNumberFormat="1" applyFont="1" applyFill="1" applyBorder="1" applyAlignment="1">
      <alignment horizontal="center" vertical="center" wrapText="1"/>
    </xf>
    <xf numFmtId="3" fontId="6" fillId="10" borderId="1" xfId="0" applyNumberFormat="1" applyFont="1" applyFill="1" applyBorder="1" applyAlignment="1">
      <alignment horizontal="center" vertical="center" wrapText="1"/>
    </xf>
    <xf numFmtId="4" fontId="6" fillId="10" borderId="1" xfId="0" applyNumberFormat="1" applyFont="1" applyFill="1" applyBorder="1" applyAlignment="1">
      <alignment horizontal="center" vertical="center" wrapText="1"/>
    </xf>
    <xf numFmtId="0" fontId="2" fillId="12" borderId="1" xfId="1" applyNumberFormat="1" applyFont="1" applyFill="1" applyBorder="1" applyAlignment="1">
      <alignment horizontal="center" vertical="center" wrapText="1"/>
    </xf>
    <xf numFmtId="4" fontId="5" fillId="12" borderId="1" xfId="1" applyNumberFormat="1" applyFont="1" applyFill="1" applyBorder="1" applyAlignment="1">
      <alignment horizontal="center" vertical="center" wrapText="1"/>
    </xf>
    <xf numFmtId="4" fontId="5" fillId="12" borderId="1" xfId="0" applyNumberFormat="1" applyFont="1" applyFill="1" applyBorder="1" applyAlignment="1">
      <alignment horizontal="center" vertical="center" wrapText="1"/>
    </xf>
    <xf numFmtId="3" fontId="5" fillId="12" borderId="1" xfId="0" applyNumberFormat="1" applyFont="1" applyFill="1" applyBorder="1" applyAlignment="1">
      <alignment horizontal="center" vertical="center" wrapText="1"/>
    </xf>
    <xf numFmtId="3" fontId="5" fillId="12" borderId="1" xfId="1" applyNumberFormat="1" applyFont="1" applyFill="1" applyBorder="1" applyAlignment="1">
      <alignment horizontal="center" vertical="center" wrapText="1"/>
    </xf>
    <xf numFmtId="3" fontId="6" fillId="12" borderId="1" xfId="0" applyNumberFormat="1" applyFont="1" applyFill="1" applyBorder="1" applyAlignment="1">
      <alignment horizontal="center" vertical="center" wrapText="1"/>
    </xf>
    <xf numFmtId="4" fontId="6" fillId="12" borderId="1" xfId="0" applyNumberFormat="1" applyFont="1" applyFill="1" applyBorder="1" applyAlignment="1">
      <alignment horizontal="center" vertical="center" wrapText="1"/>
    </xf>
    <xf numFmtId="3" fontId="3" fillId="0" borderId="1" xfId="0" applyNumberFormat="1" applyFont="1" applyFill="1" applyBorder="1" applyAlignment="1">
      <alignment horizontal="center" vertical="center"/>
    </xf>
    <xf numFmtId="44" fontId="3" fillId="0" borderId="1" xfId="1" applyFont="1" applyBorder="1" applyAlignment="1">
      <alignment horizontal="center" vertical="center"/>
    </xf>
    <xf numFmtId="0" fontId="5" fillId="6" borderId="1" xfId="0" applyFont="1" applyFill="1" applyBorder="1" applyAlignment="1">
      <alignment horizontal="center" vertical="center" wrapText="1"/>
    </xf>
    <xf numFmtId="44" fontId="2" fillId="3" borderId="1" xfId="1" applyFont="1" applyFill="1" applyBorder="1" applyAlignment="1">
      <alignment horizontal="center" vertical="center" wrapText="1"/>
    </xf>
    <xf numFmtId="44" fontId="5" fillId="0" borderId="1" xfId="1" applyFont="1" applyFill="1" applyBorder="1" applyAlignment="1">
      <alignment horizontal="center" vertical="center" wrapText="1"/>
    </xf>
    <xf numFmtId="44" fontId="3" fillId="0" borderId="1" xfId="1" applyFont="1" applyFill="1" applyBorder="1" applyAlignment="1">
      <alignment horizontal="center" vertical="center"/>
    </xf>
    <xf numFmtId="44" fontId="2" fillId="3" borderId="1" xfId="1"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vertical="center" wrapText="1"/>
    </xf>
    <xf numFmtId="43" fontId="3" fillId="0" borderId="1" xfId="2" applyFont="1" applyFill="1" applyBorder="1" applyAlignment="1">
      <alignment horizontal="center" vertical="center"/>
    </xf>
    <xf numFmtId="9" fontId="3" fillId="0" borderId="1" xfId="3" applyFont="1" applyFill="1" applyBorder="1" applyAlignment="1">
      <alignment horizontal="center" vertical="center"/>
    </xf>
    <xf numFmtId="3" fontId="8" fillId="0" borderId="1" xfId="0" applyNumberFormat="1" applyFont="1" applyFill="1" applyBorder="1" applyAlignment="1">
      <alignment horizontal="center" vertical="center"/>
    </xf>
    <xf numFmtId="0" fontId="3" fillId="0" borderId="0" xfId="0" applyFont="1" applyFill="1"/>
    <xf numFmtId="164" fontId="2" fillId="7" borderId="1" xfId="1" applyNumberFormat="1" applyFont="1" applyFill="1" applyBorder="1" applyAlignment="1">
      <alignment vertical="center" wrapText="1"/>
    </xf>
    <xf numFmtId="164" fontId="2" fillId="7" borderId="1" xfId="1" applyNumberFormat="1" applyFont="1" applyFill="1" applyBorder="1" applyAlignment="1">
      <alignment horizontal="center" vertical="center" wrapText="1"/>
    </xf>
    <xf numFmtId="0" fontId="2" fillId="7" borderId="1" xfId="1" applyNumberFormat="1" applyFont="1" applyFill="1" applyBorder="1" applyAlignment="1">
      <alignment vertical="center" wrapText="1"/>
    </xf>
    <xf numFmtId="0" fontId="2" fillId="7" borderId="1" xfId="1" applyNumberFormat="1" applyFont="1" applyFill="1" applyBorder="1" applyAlignment="1">
      <alignment horizontal="center" vertical="center" wrapText="1"/>
    </xf>
    <xf numFmtId="165" fontId="5" fillId="13" borderId="1" xfId="0" applyNumberFormat="1" applyFont="1" applyFill="1" applyBorder="1" applyAlignment="1">
      <alignment horizontal="center" vertical="center" wrapText="1"/>
    </xf>
    <xf numFmtId="0" fontId="4" fillId="13" borderId="1" xfId="0" applyFont="1" applyFill="1" applyBorder="1" applyAlignment="1">
      <alignment horizontal="left" vertical="center" wrapText="1"/>
    </xf>
    <xf numFmtId="0" fontId="2" fillId="13" borderId="1" xfId="0" applyFont="1" applyFill="1" applyBorder="1" applyAlignment="1">
      <alignment horizontal="center" vertical="center" wrapText="1"/>
    </xf>
    <xf numFmtId="164" fontId="2" fillId="13" borderId="1" xfId="1" applyNumberFormat="1" applyFont="1" applyFill="1" applyBorder="1" applyAlignment="1">
      <alignment vertical="center" wrapText="1"/>
    </xf>
    <xf numFmtId="164" fontId="2" fillId="13" borderId="1" xfId="1" applyNumberFormat="1" applyFont="1" applyFill="1" applyBorder="1" applyAlignment="1">
      <alignment horizontal="center" vertical="center" wrapText="1"/>
    </xf>
    <xf numFmtId="0" fontId="2" fillId="13" borderId="1" xfId="1" applyNumberFormat="1" applyFont="1" applyFill="1" applyBorder="1" applyAlignment="1">
      <alignment vertical="center" wrapText="1"/>
    </xf>
    <xf numFmtId="0" fontId="2" fillId="13" borderId="1" xfId="1" applyNumberFormat="1" applyFont="1" applyFill="1" applyBorder="1" applyAlignment="1">
      <alignment horizontal="center" vertical="center" wrapText="1"/>
    </xf>
    <xf numFmtId="0" fontId="5" fillId="13" borderId="1" xfId="0" applyFont="1" applyFill="1" applyBorder="1" applyAlignment="1">
      <alignment horizontal="center" vertical="center" wrapText="1"/>
    </xf>
    <xf numFmtId="165" fontId="2" fillId="7" borderId="1" xfId="0" applyNumberFormat="1" applyFont="1" applyFill="1" applyBorder="1" applyAlignment="1">
      <alignment horizontal="left" vertical="center" wrapText="1"/>
    </xf>
    <xf numFmtId="0" fontId="5" fillId="7" borderId="1" xfId="0" applyFont="1" applyFill="1" applyBorder="1" applyAlignment="1">
      <alignment horizontal="center" vertical="center" wrapText="1"/>
    </xf>
    <xf numFmtId="165" fontId="5" fillId="9" borderId="1" xfId="0" applyNumberFormat="1" applyFont="1" applyFill="1" applyBorder="1" applyAlignment="1">
      <alignment horizontal="center" vertical="center" wrapText="1"/>
    </xf>
    <xf numFmtId="0" fontId="4" fillId="9" borderId="1" xfId="0" applyFont="1" applyFill="1" applyBorder="1" applyAlignment="1">
      <alignment horizontal="left" vertical="center" wrapText="1"/>
    </xf>
    <xf numFmtId="0" fontId="2" fillId="9" borderId="1" xfId="0" applyFont="1" applyFill="1" applyBorder="1" applyAlignment="1">
      <alignment horizontal="center" vertical="center" wrapText="1"/>
    </xf>
    <xf numFmtId="0" fontId="5" fillId="9" borderId="1" xfId="1" applyNumberFormat="1" applyFont="1" applyFill="1" applyBorder="1" applyAlignment="1">
      <alignment horizontal="center" vertical="center" wrapText="1"/>
    </xf>
    <xf numFmtId="165" fontId="6" fillId="9" borderId="1"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6" fillId="9" borderId="1" xfId="1"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wrapText="1"/>
    </xf>
    <xf numFmtId="0" fontId="6" fillId="0" borderId="1" xfId="0" applyFont="1" applyBorder="1" applyAlignment="1">
      <alignment horizontal="center" wrapText="1"/>
    </xf>
    <xf numFmtId="0" fontId="3" fillId="0" borderId="0" xfId="0" applyFont="1" applyAlignment="1">
      <alignment wrapText="1"/>
    </xf>
    <xf numFmtId="3" fontId="3" fillId="12" borderId="1" xfId="0" applyNumberFormat="1" applyFont="1" applyFill="1" applyBorder="1" applyAlignment="1">
      <alignment horizontal="center" vertical="center" wrapText="1"/>
    </xf>
    <xf numFmtId="0" fontId="3" fillId="0" borderId="0" xfId="0" applyFont="1" applyAlignment="1">
      <alignment horizontal="center" wrapText="1"/>
    </xf>
    <xf numFmtId="44" fontId="5" fillId="7" borderId="1" xfId="1" applyFont="1" applyFill="1" applyBorder="1" applyAlignment="1">
      <alignment wrapText="1"/>
    </xf>
    <xf numFmtId="44" fontId="5" fillId="13" borderId="1" xfId="1" applyFont="1" applyFill="1" applyBorder="1" applyAlignment="1">
      <alignment wrapText="1"/>
    </xf>
    <xf numFmtId="44" fontId="5" fillId="13" borderId="1" xfId="1" applyFont="1" applyFill="1" applyBorder="1" applyAlignment="1">
      <alignment horizontal="center" vertical="center" wrapText="1"/>
    </xf>
    <xf numFmtId="44" fontId="5" fillId="7" borderId="1" xfId="1" applyFont="1" applyFill="1" applyBorder="1" applyAlignment="1">
      <alignment horizontal="center" vertical="center" wrapText="1"/>
    </xf>
    <xf numFmtId="44" fontId="5" fillId="9" borderId="1" xfId="1" applyFont="1" applyFill="1" applyBorder="1" applyAlignment="1">
      <alignment horizontal="center" vertical="center" wrapText="1"/>
    </xf>
    <xf numFmtId="44" fontId="5" fillId="0" borderId="0" xfId="1" applyFont="1" applyAlignment="1">
      <alignment wrapText="1"/>
    </xf>
    <xf numFmtId="44" fontId="2" fillId="7" borderId="1" xfId="1" applyFont="1" applyFill="1" applyBorder="1" applyAlignment="1">
      <alignment horizontal="center" vertical="center" wrapText="1"/>
    </xf>
    <xf numFmtId="44" fontId="2" fillId="13" borderId="1" xfId="1" applyFont="1" applyFill="1" applyBorder="1" applyAlignment="1">
      <alignment horizontal="center" vertical="center" wrapText="1"/>
    </xf>
    <xf numFmtId="44" fontId="5" fillId="8" borderId="1" xfId="1" applyFont="1" applyFill="1" applyBorder="1" applyAlignment="1">
      <alignment vertical="center" wrapText="1"/>
    </xf>
    <xf numFmtId="44" fontId="5" fillId="6" borderId="1" xfId="1" applyFont="1" applyFill="1" applyBorder="1" applyAlignment="1">
      <alignment horizontal="center" vertical="center" wrapText="1"/>
    </xf>
    <xf numFmtId="44" fontId="3" fillId="0" borderId="0" xfId="1" applyFont="1" applyAlignment="1">
      <alignment wrapText="1"/>
    </xf>
    <xf numFmtId="44" fontId="2" fillId="11" borderId="1" xfId="1" applyFont="1" applyFill="1" applyBorder="1" applyAlignment="1">
      <alignment horizontal="center" vertical="center" wrapText="1"/>
    </xf>
    <xf numFmtId="44" fontId="2" fillId="10" borderId="1" xfId="1" applyFont="1" applyFill="1" applyBorder="1" applyAlignment="1">
      <alignment horizontal="center" vertical="center" wrapText="1"/>
    </xf>
    <xf numFmtId="44" fontId="2" fillId="12" borderId="1" xfId="1" applyFont="1" applyFill="1" applyBorder="1" applyAlignment="1">
      <alignment horizontal="center" vertical="center" wrapText="1"/>
    </xf>
    <xf numFmtId="44" fontId="2" fillId="7" borderId="1" xfId="1" applyFont="1" applyFill="1" applyBorder="1" applyAlignment="1">
      <alignment vertical="center" wrapText="1"/>
    </xf>
    <xf numFmtId="44" fontId="3" fillId="7" borderId="1" xfId="1" applyFont="1" applyFill="1" applyBorder="1"/>
    <xf numFmtId="44" fontId="2" fillId="13" borderId="1" xfId="1" applyFont="1" applyFill="1" applyBorder="1" applyAlignment="1">
      <alignment vertical="center" wrapText="1"/>
    </xf>
    <xf numFmtId="44" fontId="3" fillId="13" borderId="1" xfId="1" applyFont="1" applyFill="1" applyBorder="1"/>
    <xf numFmtId="44" fontId="5" fillId="11" borderId="1" xfId="1" applyFont="1" applyFill="1" applyBorder="1" applyAlignment="1">
      <alignment horizontal="center" vertical="center" wrapText="1"/>
    </xf>
    <xf numFmtId="44" fontId="5" fillId="10" borderId="1" xfId="1" applyFont="1" applyFill="1" applyBorder="1" applyAlignment="1">
      <alignment horizontal="center" vertical="center" wrapText="1"/>
    </xf>
    <xf numFmtId="44" fontId="5" fillId="12" borderId="1" xfId="1" applyFont="1" applyFill="1" applyBorder="1" applyAlignment="1">
      <alignment horizontal="center" vertical="center" wrapText="1"/>
    </xf>
    <xf numFmtId="44" fontId="3" fillId="12" borderId="1" xfId="1" applyFont="1" applyFill="1" applyBorder="1" applyAlignment="1">
      <alignment horizontal="center" vertical="center"/>
    </xf>
    <xf numFmtId="44" fontId="3" fillId="13" borderId="1" xfId="1" applyFont="1" applyFill="1" applyBorder="1" applyAlignment="1">
      <alignment horizontal="center" vertical="center"/>
    </xf>
    <xf numFmtId="44" fontId="3" fillId="7" borderId="1" xfId="1" applyFont="1" applyFill="1" applyBorder="1" applyAlignment="1">
      <alignment horizontal="center" vertical="center"/>
    </xf>
    <xf numFmtId="44" fontId="3" fillId="9" borderId="1" xfId="1" applyFont="1" applyFill="1" applyBorder="1" applyAlignment="1">
      <alignment horizontal="center" vertical="center"/>
    </xf>
    <xf numFmtId="44" fontId="6" fillId="9" borderId="1" xfId="1" applyFont="1" applyFill="1" applyBorder="1" applyAlignment="1">
      <alignment horizontal="center" vertical="center" wrapText="1"/>
    </xf>
    <xf numFmtId="44" fontId="6" fillId="11" borderId="1" xfId="1" applyFont="1" applyFill="1" applyBorder="1" applyAlignment="1">
      <alignment horizontal="center" vertical="center" wrapText="1"/>
    </xf>
    <xf numFmtId="44" fontId="6" fillId="10" borderId="1" xfId="1" applyFont="1" applyFill="1" applyBorder="1" applyAlignment="1">
      <alignment horizontal="center" vertical="center" wrapText="1"/>
    </xf>
    <xf numFmtId="44" fontId="6" fillId="12" borderId="1" xfId="1" applyFont="1" applyFill="1" applyBorder="1" applyAlignment="1">
      <alignment horizontal="center" vertical="center" wrapText="1"/>
    </xf>
    <xf numFmtId="44" fontId="5" fillId="11" borderId="1" xfId="1" applyFont="1" applyFill="1" applyBorder="1" applyAlignment="1">
      <alignment horizontal="center" vertical="center"/>
    </xf>
    <xf numFmtId="44" fontId="5" fillId="10" borderId="1" xfId="1" applyFont="1" applyFill="1" applyBorder="1" applyAlignment="1">
      <alignment horizontal="center" vertical="center"/>
    </xf>
    <xf numFmtId="44" fontId="5" fillId="12" borderId="1" xfId="1" applyFont="1" applyFill="1" applyBorder="1" applyAlignment="1">
      <alignment horizontal="center" vertical="center"/>
    </xf>
    <xf numFmtId="44" fontId="5" fillId="4" borderId="1" xfId="1" applyFont="1" applyFill="1" applyBorder="1" applyAlignment="1">
      <alignment horizontal="center" vertical="center" wrapText="1"/>
    </xf>
    <xf numFmtId="44" fontId="5" fillId="5" borderId="1" xfId="1" applyFont="1" applyFill="1" applyBorder="1" applyAlignment="1">
      <alignment horizontal="center" vertical="center" wrapText="1"/>
    </xf>
    <xf numFmtId="44" fontId="2" fillId="8" borderId="1" xfId="1" applyFont="1" applyFill="1" applyBorder="1" applyAlignment="1">
      <alignment horizontal="center" vertical="center" wrapText="1"/>
    </xf>
    <xf numFmtId="44" fontId="5" fillId="8" borderId="1" xfId="1" applyFont="1" applyFill="1" applyBorder="1" applyAlignment="1">
      <alignment horizontal="center" vertical="center" wrapText="1"/>
    </xf>
    <xf numFmtId="44" fontId="5" fillId="0" borderId="0" xfId="1" applyFont="1" applyAlignment="1">
      <alignment vertical="center"/>
    </xf>
    <xf numFmtId="44" fontId="3" fillId="0" borderId="0" xfId="1" applyFont="1" applyAlignment="1">
      <alignment vertical="center"/>
    </xf>
    <xf numFmtId="44" fontId="3" fillId="0" borderId="0" xfId="1" applyFont="1"/>
    <xf numFmtId="9" fontId="5" fillId="6" borderId="1" xfId="3" applyFont="1" applyFill="1" applyBorder="1" applyAlignment="1">
      <alignment horizontal="center" vertical="center" wrapText="1"/>
    </xf>
    <xf numFmtId="9" fontId="5" fillId="0" borderId="1" xfId="3" applyFont="1" applyFill="1" applyBorder="1" applyAlignment="1">
      <alignment horizontal="center" vertical="center" wrapText="1"/>
    </xf>
    <xf numFmtId="0" fontId="3" fillId="0" borderId="0" xfId="0" applyFont="1" applyBorder="1" applyAlignment="1">
      <alignment horizontal="center" vertical="center"/>
    </xf>
    <xf numFmtId="9" fontId="3" fillId="0" borderId="0" xfId="0" applyNumberFormat="1" applyFont="1" applyBorder="1" applyAlignment="1">
      <alignment horizontal="center" vertical="center"/>
    </xf>
    <xf numFmtId="0" fontId="8" fillId="0" borderId="0" xfId="0" applyFont="1" applyBorder="1" applyAlignment="1">
      <alignment horizontal="center" vertical="center"/>
    </xf>
    <xf numFmtId="0" fontId="8" fillId="0" borderId="4" xfId="0" applyFont="1" applyBorder="1" applyAlignment="1">
      <alignment horizontal="left" vertical="center" wrapText="1"/>
    </xf>
    <xf numFmtId="0" fontId="8" fillId="0" borderId="5" xfId="0" applyFont="1" applyBorder="1" applyAlignment="1">
      <alignment horizontal="left" vertical="center"/>
    </xf>
    <xf numFmtId="0" fontId="8" fillId="0" borderId="6" xfId="0" applyFont="1" applyBorder="1" applyAlignment="1">
      <alignment horizontal="left" vertical="center"/>
    </xf>
    <xf numFmtId="0" fontId="8" fillId="0" borderId="7" xfId="0" applyFont="1" applyBorder="1" applyAlignment="1">
      <alignment horizontal="left" vertical="center"/>
    </xf>
    <xf numFmtId="0" fontId="8" fillId="0" borderId="0" xfId="0" applyFont="1" applyAlignment="1">
      <alignment horizontal="left" vertical="center"/>
    </xf>
    <xf numFmtId="0" fontId="8" fillId="0" borderId="8" xfId="0" applyFont="1" applyBorder="1" applyAlignment="1">
      <alignment horizontal="left" vertical="center"/>
    </xf>
    <xf numFmtId="0" fontId="8" fillId="0" borderId="9" xfId="0" applyFont="1" applyBorder="1" applyAlignment="1">
      <alignment horizontal="left" vertical="center"/>
    </xf>
    <xf numFmtId="0" fontId="8" fillId="0" borderId="10" xfId="0" applyFont="1" applyBorder="1" applyAlignment="1">
      <alignment horizontal="left" vertical="center"/>
    </xf>
    <xf numFmtId="0" fontId="8" fillId="0" borderId="11" xfId="0" applyFont="1" applyBorder="1" applyAlignment="1">
      <alignment horizontal="left" vertical="center"/>
    </xf>
    <xf numFmtId="44" fontId="2" fillId="12" borderId="2" xfId="1" applyFont="1" applyFill="1" applyBorder="1" applyAlignment="1">
      <alignment horizontal="center" vertical="center" wrapText="1"/>
    </xf>
    <xf numFmtId="44" fontId="2" fillId="12" borderId="3" xfId="1" applyFont="1" applyFill="1" applyBorder="1" applyAlignment="1">
      <alignment horizontal="center" vertical="center" wrapText="1"/>
    </xf>
    <xf numFmtId="0" fontId="2" fillId="8" borderId="1" xfId="0" applyFont="1" applyFill="1" applyBorder="1" applyAlignment="1">
      <alignment horizontal="right" vertical="center" wrapText="1"/>
    </xf>
    <xf numFmtId="0" fontId="2" fillId="8" borderId="2" xfId="0" applyFont="1" applyFill="1" applyBorder="1" applyAlignment="1">
      <alignment horizontal="right" vertical="center" wrapText="1"/>
    </xf>
    <xf numFmtId="0" fontId="2" fillId="2" borderId="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3" xfId="0" applyFont="1" applyFill="1" applyBorder="1" applyAlignment="1">
      <alignment horizontal="center" vertical="center" wrapText="1"/>
    </xf>
    <xf numFmtId="44" fontId="2" fillId="11" borderId="2" xfId="1" applyFont="1" applyFill="1" applyBorder="1" applyAlignment="1">
      <alignment horizontal="center" vertical="center" wrapText="1"/>
    </xf>
    <xf numFmtId="44" fontId="2" fillId="11" borderId="3" xfId="1" applyFont="1" applyFill="1" applyBorder="1" applyAlignment="1">
      <alignment horizontal="center" vertical="center" wrapText="1"/>
    </xf>
    <xf numFmtId="44" fontId="2" fillId="10" borderId="2" xfId="1" applyFont="1" applyFill="1" applyBorder="1" applyAlignment="1">
      <alignment horizontal="center" vertical="center" wrapText="1"/>
    </xf>
    <xf numFmtId="44" fontId="2" fillId="10" borderId="3" xfId="1" applyFont="1" applyFill="1" applyBorder="1" applyAlignment="1">
      <alignment horizontal="center" vertical="center" wrapText="1"/>
    </xf>
    <xf numFmtId="0" fontId="2" fillId="6" borderId="1" xfId="0" applyFont="1" applyFill="1" applyBorder="1" applyAlignment="1">
      <alignment horizontal="right" vertical="center" wrapText="1"/>
    </xf>
    <xf numFmtId="0" fontId="2" fillId="6" borderId="2" xfId="0" applyFont="1" applyFill="1" applyBorder="1" applyAlignment="1">
      <alignment horizontal="right" vertical="center" wrapText="1"/>
    </xf>
    <xf numFmtId="44" fontId="2" fillId="3" borderId="2" xfId="1" applyFont="1" applyFill="1" applyBorder="1" applyAlignment="1">
      <alignment horizontal="center" vertical="center" wrapText="1"/>
    </xf>
    <xf numFmtId="44" fontId="2" fillId="3" borderId="3" xfId="1" applyFont="1" applyFill="1" applyBorder="1" applyAlignment="1">
      <alignment horizontal="center" vertical="center" wrapText="1"/>
    </xf>
    <xf numFmtId="0" fontId="5" fillId="8" borderId="1" xfId="0" applyFont="1" applyFill="1" applyBorder="1" applyAlignment="1">
      <alignment horizontal="right" vertical="center" wrapText="1"/>
    </xf>
    <xf numFmtId="0" fontId="2" fillId="12" borderId="2" xfId="0" applyFont="1" applyFill="1" applyBorder="1" applyAlignment="1">
      <alignment horizontal="center" vertical="center" wrapText="1"/>
    </xf>
    <xf numFmtId="0" fontId="2" fillId="12" borderId="3" xfId="0" applyFont="1" applyFill="1" applyBorder="1" applyAlignment="1">
      <alignment horizontal="center" vertical="center" wrapText="1"/>
    </xf>
    <xf numFmtId="0" fontId="2" fillId="11" borderId="2" xfId="0" applyFont="1" applyFill="1" applyBorder="1" applyAlignment="1">
      <alignment horizontal="center" vertical="center" wrapText="1"/>
    </xf>
    <xf numFmtId="0" fontId="2" fillId="11" borderId="3" xfId="0" applyFont="1" applyFill="1" applyBorder="1" applyAlignment="1">
      <alignment horizontal="center" vertical="center" wrapText="1"/>
    </xf>
    <xf numFmtId="0" fontId="2" fillId="10" borderId="2"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2" fillId="3" borderId="2" xfId="1" applyNumberFormat="1" applyFont="1" applyFill="1" applyBorder="1" applyAlignment="1">
      <alignment horizontal="center" vertical="center" wrapText="1"/>
    </xf>
    <xf numFmtId="0" fontId="2" fillId="3" borderId="3" xfId="1" applyNumberFormat="1" applyFont="1" applyFill="1" applyBorder="1" applyAlignment="1">
      <alignment horizontal="center" vertical="center" wrapText="1"/>
    </xf>
    <xf numFmtId="0" fontId="5" fillId="6" borderId="2" xfId="0" applyFont="1" applyFill="1" applyBorder="1" applyAlignment="1">
      <alignment horizontal="right" vertical="center" wrapText="1"/>
    </xf>
    <xf numFmtId="0" fontId="5" fillId="6" borderId="13" xfId="0" applyFont="1" applyFill="1" applyBorder="1" applyAlignment="1">
      <alignment horizontal="right" vertical="center" wrapText="1"/>
    </xf>
    <xf numFmtId="0" fontId="5" fillId="6" borderId="3" xfId="0" applyFont="1" applyFill="1" applyBorder="1" applyAlignment="1">
      <alignment horizontal="right" vertical="center" wrapText="1"/>
    </xf>
    <xf numFmtId="0" fontId="5" fillId="8" borderId="2" xfId="0" applyFont="1" applyFill="1" applyBorder="1" applyAlignment="1">
      <alignment horizontal="center" vertical="center" wrapText="1"/>
    </xf>
    <xf numFmtId="0" fontId="5" fillId="8" borderId="13" xfId="0" applyFont="1" applyFill="1" applyBorder="1" applyAlignment="1">
      <alignment horizontal="center" vertical="center" wrapText="1"/>
    </xf>
    <xf numFmtId="0" fontId="5" fillId="8" borderId="3" xfId="0" applyFont="1" applyFill="1" applyBorder="1" applyAlignment="1">
      <alignment horizontal="center" vertical="center" wrapText="1"/>
    </xf>
  </cellXfs>
  <cellStyles count="7">
    <cellStyle name="Millares" xfId="2" builtinId="3"/>
    <cellStyle name="Moneda" xfId="1" builtinId="4"/>
    <cellStyle name="Normal" xfId="0" builtinId="0"/>
    <cellStyle name="Normal 2 2" xfId="4"/>
    <cellStyle name="Normal 3 11" xfId="5"/>
    <cellStyle name="Percent" xfId="6"/>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162"/>
  <sheetViews>
    <sheetView topLeftCell="B1" zoomScale="85" zoomScaleNormal="85" workbookViewId="0">
      <selection activeCell="P1" sqref="P1"/>
    </sheetView>
  </sheetViews>
  <sheetFormatPr baseColWidth="10" defaultColWidth="11.5703125" defaultRowHeight="12" x14ac:dyDescent="0.2"/>
  <cols>
    <col min="1" max="1" width="0" style="1" hidden="1" customWidth="1"/>
    <col min="2" max="4" width="6.7109375" style="1" customWidth="1"/>
    <col min="5" max="5" width="72.42578125" style="38" customWidth="1"/>
    <col min="6" max="7" width="11.5703125" style="1"/>
    <col min="8" max="8" width="20.28515625" style="151" customWidth="1"/>
    <col min="9" max="9" width="20.28515625" style="152" customWidth="1"/>
    <col min="10" max="10" width="20.28515625" style="151" customWidth="1"/>
    <col min="11" max="11" width="20.28515625" style="152" customWidth="1"/>
    <col min="12" max="12" width="20.28515625" style="151" customWidth="1"/>
    <col min="13" max="14" width="20.28515625" style="152" customWidth="1"/>
    <col min="15" max="15" width="20.28515625" style="153" customWidth="1"/>
    <col min="16" max="16" width="13.85546875" style="1" customWidth="1"/>
    <col min="17" max="17" width="22.5703125" style="40" customWidth="1"/>
    <col min="18" max="18" width="28.5703125" style="40" customWidth="1"/>
    <col min="19" max="19" width="20" style="40" customWidth="1"/>
    <col min="20" max="20" width="19.85546875" style="43" customWidth="1"/>
    <col min="21" max="21" width="13.7109375" style="1" bestFit="1" customWidth="1"/>
    <col min="22" max="22" width="15.42578125" style="1" bestFit="1" customWidth="1"/>
    <col min="23" max="16384" width="11.5703125" style="1"/>
  </cols>
  <sheetData>
    <row r="1" spans="2:20" ht="30.6" customHeight="1" x14ac:dyDescent="0.2">
      <c r="B1" s="172" t="s">
        <v>0</v>
      </c>
      <c r="C1" s="173"/>
      <c r="D1" s="173"/>
      <c r="E1" s="174"/>
      <c r="F1" s="172"/>
      <c r="G1" s="174"/>
      <c r="H1" s="175" t="s">
        <v>203</v>
      </c>
      <c r="I1" s="176"/>
      <c r="J1" s="177" t="s">
        <v>205</v>
      </c>
      <c r="K1" s="178"/>
      <c r="L1" s="168" t="s">
        <v>209</v>
      </c>
      <c r="M1" s="169"/>
      <c r="N1" s="181" t="s">
        <v>215</v>
      </c>
      <c r="O1" s="182"/>
    </row>
    <row r="2" spans="2:20" ht="51" customHeight="1" x14ac:dyDescent="0.2">
      <c r="B2" s="2" t="s">
        <v>1</v>
      </c>
      <c r="C2" s="2"/>
      <c r="D2" s="2"/>
      <c r="E2" s="3" t="s">
        <v>2</v>
      </c>
      <c r="F2" s="2" t="s">
        <v>3</v>
      </c>
      <c r="G2" s="2" t="s">
        <v>4</v>
      </c>
      <c r="H2" s="126" t="s">
        <v>204</v>
      </c>
      <c r="I2" s="126" t="s">
        <v>5</v>
      </c>
      <c r="J2" s="127" t="s">
        <v>204</v>
      </c>
      <c r="K2" s="127" t="s">
        <v>5</v>
      </c>
      <c r="L2" s="128" t="s">
        <v>204</v>
      </c>
      <c r="M2" s="128" t="s">
        <v>5</v>
      </c>
      <c r="N2" s="76" t="s">
        <v>204</v>
      </c>
      <c r="O2" s="76" t="s">
        <v>5</v>
      </c>
      <c r="P2" s="4" t="s">
        <v>216</v>
      </c>
      <c r="Q2" s="4" t="s">
        <v>217</v>
      </c>
      <c r="R2" s="4" t="s">
        <v>218</v>
      </c>
      <c r="S2" s="4" t="s">
        <v>219</v>
      </c>
      <c r="T2" s="2" t="s">
        <v>222</v>
      </c>
    </row>
    <row r="3" spans="2:20" x14ac:dyDescent="0.2">
      <c r="B3" s="20" t="s">
        <v>6</v>
      </c>
      <c r="C3" s="20"/>
      <c r="D3" s="20"/>
      <c r="E3" s="21" t="s">
        <v>223</v>
      </c>
      <c r="F3" s="22"/>
      <c r="G3" s="22"/>
      <c r="H3" s="129"/>
      <c r="I3" s="121"/>
      <c r="J3" s="129"/>
      <c r="K3" s="121"/>
      <c r="L3" s="129"/>
      <c r="M3" s="121"/>
      <c r="N3" s="121"/>
      <c r="O3" s="130"/>
      <c r="P3" s="5"/>
      <c r="Q3" s="27"/>
      <c r="R3" s="27"/>
      <c r="S3" s="27"/>
      <c r="T3" s="44"/>
    </row>
    <row r="4" spans="2:20" x14ac:dyDescent="0.2">
      <c r="B4" s="91"/>
      <c r="C4" s="91"/>
      <c r="D4" s="91"/>
      <c r="E4" s="92" t="s">
        <v>7</v>
      </c>
      <c r="F4" s="93"/>
      <c r="G4" s="93"/>
      <c r="H4" s="131"/>
      <c r="I4" s="122"/>
      <c r="J4" s="131"/>
      <c r="K4" s="122"/>
      <c r="L4" s="131"/>
      <c r="M4" s="122"/>
      <c r="N4" s="122"/>
      <c r="O4" s="132"/>
      <c r="P4" s="5"/>
      <c r="Q4" s="27"/>
      <c r="R4" s="27"/>
      <c r="S4" s="27"/>
      <c r="T4" s="44"/>
    </row>
    <row r="5" spans="2:20" ht="60" x14ac:dyDescent="0.2">
      <c r="B5" s="9" t="s">
        <v>8</v>
      </c>
      <c r="C5" s="9"/>
      <c r="D5" s="9"/>
      <c r="E5" s="10" t="s">
        <v>9</v>
      </c>
      <c r="F5" s="9" t="s">
        <v>10</v>
      </c>
      <c r="G5" s="9">
        <v>10</v>
      </c>
      <c r="H5" s="133">
        <v>19229</v>
      </c>
      <c r="I5" s="133">
        <v>192290</v>
      </c>
      <c r="J5" s="134">
        <v>21151.9</v>
      </c>
      <c r="K5" s="134">
        <v>211519</v>
      </c>
      <c r="L5" s="135">
        <v>20767.32</v>
      </c>
      <c r="M5" s="135">
        <v>207673.2</v>
      </c>
      <c r="N5" s="77">
        <f>AVERAGE(H5,J5,L5)</f>
        <v>20382.740000000002</v>
      </c>
      <c r="O5" s="78">
        <f>AVERAGE(I5,K5,M5)</f>
        <v>203827.4</v>
      </c>
      <c r="P5" s="11">
        <f>MEDIAN(I5,K5,M5)</f>
        <v>207673.2</v>
      </c>
      <c r="Q5" s="41">
        <f>GEOMEAN(I5,K5,M5)</f>
        <v>203655.20441995459</v>
      </c>
      <c r="R5" s="39">
        <f>STDEVA(I5,K5,M5)</f>
        <v>10175.030392092205</v>
      </c>
      <c r="S5" s="42">
        <f>+R5/O5</f>
        <v>4.9919836057822478E-2</v>
      </c>
      <c r="T5" s="45">
        <f>AVERAGE(I5,K5,M5)</f>
        <v>203827.4</v>
      </c>
    </row>
    <row r="6" spans="2:20" ht="48" x14ac:dyDescent="0.2">
      <c r="B6" s="9" t="s">
        <v>11</v>
      </c>
      <c r="C6" s="9"/>
      <c r="D6" s="9"/>
      <c r="E6" s="10" t="s">
        <v>12</v>
      </c>
      <c r="F6" s="9" t="s">
        <v>10</v>
      </c>
      <c r="G6" s="9">
        <v>10</v>
      </c>
      <c r="H6" s="133">
        <v>43367</v>
      </c>
      <c r="I6" s="133">
        <v>433670</v>
      </c>
      <c r="J6" s="134">
        <v>47703.7</v>
      </c>
      <c r="K6" s="134">
        <v>477037</v>
      </c>
      <c r="L6" s="135">
        <v>46836.36</v>
      </c>
      <c r="M6" s="135">
        <v>468363.6</v>
      </c>
      <c r="N6" s="77">
        <f t="shared" ref="N6:N69" si="0">AVERAGE(H6,J6,L6)</f>
        <v>45969.02</v>
      </c>
      <c r="O6" s="78">
        <f t="shared" ref="O6:O69" si="1">AVERAGE(I6,K6,M6)</f>
        <v>459690.2</v>
      </c>
      <c r="P6" s="11">
        <f t="shared" ref="P6:P69" si="2">MEDIAN(I6,K6,M6)</f>
        <v>468363.6</v>
      </c>
      <c r="Q6" s="41">
        <f t="shared" ref="Q6:Q69" si="3">GEOMEAN(I6,K6,M6)</f>
        <v>459301.84877425607</v>
      </c>
      <c r="R6" s="41">
        <f t="shared" ref="R6:R69" si="4">STDEVA(I6,K6,M6)</f>
        <v>22947.659421387616</v>
      </c>
      <c r="S6" s="42">
        <f>+R6/O6</f>
        <v>4.9919836057822457E-2</v>
      </c>
      <c r="T6" s="45">
        <f t="shared" ref="T6:T69" si="5">AVERAGE(I6,K6,M6)</f>
        <v>459690.2</v>
      </c>
    </row>
    <row r="7" spans="2:20" ht="108" x14ac:dyDescent="0.2">
      <c r="B7" s="9" t="s">
        <v>13</v>
      </c>
      <c r="C7" s="9"/>
      <c r="D7" s="9"/>
      <c r="E7" s="10" t="s">
        <v>14</v>
      </c>
      <c r="F7" s="9" t="s">
        <v>15</v>
      </c>
      <c r="G7" s="9">
        <v>2</v>
      </c>
      <c r="H7" s="133">
        <v>298179</v>
      </c>
      <c r="I7" s="133">
        <v>596358</v>
      </c>
      <c r="J7" s="134">
        <v>327996.90000000002</v>
      </c>
      <c r="K7" s="134">
        <v>655993.80000000005</v>
      </c>
      <c r="L7" s="135">
        <v>322033.32</v>
      </c>
      <c r="M7" s="135">
        <v>644066.64</v>
      </c>
      <c r="N7" s="77">
        <f t="shared" si="0"/>
        <v>316069.74</v>
      </c>
      <c r="O7" s="78">
        <f t="shared" si="1"/>
        <v>632139.48</v>
      </c>
      <c r="P7" s="11">
        <f t="shared" si="2"/>
        <v>644066.64</v>
      </c>
      <c r="Q7" s="41">
        <f t="shared" si="3"/>
        <v>631605.4417675141</v>
      </c>
      <c r="R7" s="41">
        <f>STDEVA(I7,K7,M7)</f>
        <v>31556.299207277163</v>
      </c>
      <c r="S7" s="42">
        <f t="shared" ref="S7:S69" si="6">+R7/O7</f>
        <v>4.9919836057822499E-2</v>
      </c>
      <c r="T7" s="45">
        <f t="shared" si="5"/>
        <v>632139.48</v>
      </c>
    </row>
    <row r="8" spans="2:20" ht="96" x14ac:dyDescent="0.2">
      <c r="B8" s="9" t="s">
        <v>16</v>
      </c>
      <c r="C8" s="9"/>
      <c r="D8" s="9"/>
      <c r="E8" s="10" t="s">
        <v>17</v>
      </c>
      <c r="F8" s="9" t="s">
        <v>15</v>
      </c>
      <c r="G8" s="9">
        <v>2</v>
      </c>
      <c r="H8" s="133">
        <v>245000</v>
      </c>
      <c r="I8" s="133">
        <v>490000</v>
      </c>
      <c r="J8" s="134">
        <v>269500</v>
      </c>
      <c r="K8" s="134">
        <v>539000</v>
      </c>
      <c r="L8" s="135">
        <v>264600</v>
      </c>
      <c r="M8" s="135">
        <v>529200</v>
      </c>
      <c r="N8" s="77">
        <f t="shared" si="0"/>
        <v>259700</v>
      </c>
      <c r="O8" s="78">
        <f t="shared" si="1"/>
        <v>519400</v>
      </c>
      <c r="P8" s="11">
        <f t="shared" si="2"/>
        <v>529200</v>
      </c>
      <c r="Q8" s="41">
        <f t="shared" si="3"/>
        <v>518961.20529293123</v>
      </c>
      <c r="R8" s="41">
        <f t="shared" si="4"/>
        <v>25928.362848432989</v>
      </c>
      <c r="S8" s="42">
        <f t="shared" si="6"/>
        <v>4.9919836057822464E-2</v>
      </c>
      <c r="T8" s="45">
        <f t="shared" si="5"/>
        <v>519400</v>
      </c>
    </row>
    <row r="9" spans="2:20" ht="96" x14ac:dyDescent="0.2">
      <c r="B9" s="9" t="s">
        <v>18</v>
      </c>
      <c r="C9" s="9"/>
      <c r="D9" s="9"/>
      <c r="E9" s="10" t="s">
        <v>19</v>
      </c>
      <c r="F9" s="9" t="s">
        <v>15</v>
      </c>
      <c r="G9" s="9">
        <v>3</v>
      </c>
      <c r="H9" s="133">
        <v>165000</v>
      </c>
      <c r="I9" s="133">
        <v>495000</v>
      </c>
      <c r="J9" s="134">
        <v>181500</v>
      </c>
      <c r="K9" s="134">
        <v>544500</v>
      </c>
      <c r="L9" s="135">
        <v>178200</v>
      </c>
      <c r="M9" s="135">
        <v>534600</v>
      </c>
      <c r="N9" s="77">
        <f t="shared" si="0"/>
        <v>174900</v>
      </c>
      <c r="O9" s="78">
        <f t="shared" si="1"/>
        <v>524700</v>
      </c>
      <c r="P9" s="11">
        <f t="shared" si="2"/>
        <v>534600</v>
      </c>
      <c r="Q9" s="41">
        <f t="shared" si="3"/>
        <v>524256.72779592033</v>
      </c>
      <c r="R9" s="41">
        <f t="shared" si="4"/>
        <v>26192.937979539445</v>
      </c>
      <c r="S9" s="42">
        <f t="shared" si="6"/>
        <v>4.9919836057822464E-2</v>
      </c>
      <c r="T9" s="45">
        <f t="shared" si="5"/>
        <v>524700</v>
      </c>
    </row>
    <row r="10" spans="2:20" ht="96" x14ac:dyDescent="0.2">
      <c r="B10" s="9" t="s">
        <v>20</v>
      </c>
      <c r="C10" s="9"/>
      <c r="D10" s="9"/>
      <c r="E10" s="10" t="s">
        <v>17</v>
      </c>
      <c r="F10" s="9" t="s">
        <v>15</v>
      </c>
      <c r="G10" s="9">
        <v>2</v>
      </c>
      <c r="H10" s="133">
        <v>245000</v>
      </c>
      <c r="I10" s="133">
        <v>490000</v>
      </c>
      <c r="J10" s="134">
        <v>269500</v>
      </c>
      <c r="K10" s="134">
        <v>539000</v>
      </c>
      <c r="L10" s="135">
        <v>264600</v>
      </c>
      <c r="M10" s="135">
        <v>529200</v>
      </c>
      <c r="N10" s="77">
        <f t="shared" si="0"/>
        <v>259700</v>
      </c>
      <c r="O10" s="78">
        <f t="shared" si="1"/>
        <v>519400</v>
      </c>
      <c r="P10" s="11">
        <f t="shared" si="2"/>
        <v>529200</v>
      </c>
      <c r="Q10" s="41">
        <f t="shared" si="3"/>
        <v>518961.20529293123</v>
      </c>
      <c r="R10" s="41">
        <f t="shared" si="4"/>
        <v>25928.362848432989</v>
      </c>
      <c r="S10" s="42">
        <f t="shared" si="6"/>
        <v>4.9919836057822464E-2</v>
      </c>
      <c r="T10" s="45">
        <f t="shared" si="5"/>
        <v>519400</v>
      </c>
    </row>
    <row r="11" spans="2:20" ht="378" customHeight="1" x14ac:dyDescent="0.2">
      <c r="B11" s="9" t="s">
        <v>21</v>
      </c>
      <c r="C11" s="9"/>
      <c r="D11" s="9"/>
      <c r="E11" s="10" t="s">
        <v>22</v>
      </c>
      <c r="F11" s="9" t="s">
        <v>15</v>
      </c>
      <c r="G11" s="9">
        <v>1</v>
      </c>
      <c r="H11" s="133">
        <v>3475000</v>
      </c>
      <c r="I11" s="133">
        <v>3475000</v>
      </c>
      <c r="J11" s="134">
        <v>3822500</v>
      </c>
      <c r="K11" s="134">
        <v>3822500</v>
      </c>
      <c r="L11" s="135">
        <v>3753000</v>
      </c>
      <c r="M11" s="135">
        <v>3753000</v>
      </c>
      <c r="N11" s="77">
        <f t="shared" si="0"/>
        <v>3683500</v>
      </c>
      <c r="O11" s="78">
        <f t="shared" si="1"/>
        <v>3683500</v>
      </c>
      <c r="P11" s="11">
        <f t="shared" si="2"/>
        <v>3753000</v>
      </c>
      <c r="Q11" s="41">
        <f t="shared" si="3"/>
        <v>3680388.1395774209</v>
      </c>
      <c r="R11" s="41">
        <f t="shared" si="4"/>
        <v>183879.71611898905</v>
      </c>
      <c r="S11" s="42">
        <f t="shared" si="6"/>
        <v>4.9919836057822464E-2</v>
      </c>
      <c r="T11" s="45">
        <f t="shared" si="5"/>
        <v>3683500</v>
      </c>
    </row>
    <row r="12" spans="2:20" ht="48" x14ac:dyDescent="0.2">
      <c r="B12" s="9" t="s">
        <v>23</v>
      </c>
      <c r="C12" s="9"/>
      <c r="D12" s="9"/>
      <c r="E12" s="10" t="s">
        <v>24</v>
      </c>
      <c r="F12" s="9" t="s">
        <v>10</v>
      </c>
      <c r="G12" s="9">
        <v>5</v>
      </c>
      <c r="H12" s="133">
        <v>86789</v>
      </c>
      <c r="I12" s="133">
        <v>433945</v>
      </c>
      <c r="J12" s="134">
        <v>95467.9</v>
      </c>
      <c r="K12" s="134">
        <v>477339.5</v>
      </c>
      <c r="L12" s="135">
        <v>93732.12</v>
      </c>
      <c r="M12" s="135">
        <v>468660.6</v>
      </c>
      <c r="N12" s="77">
        <f t="shared" si="0"/>
        <v>91996.340000000011</v>
      </c>
      <c r="O12" s="78">
        <f t="shared" si="1"/>
        <v>459981.7</v>
      </c>
      <c r="P12" s="11">
        <f t="shared" si="2"/>
        <v>468660.6</v>
      </c>
      <c r="Q12" s="41">
        <f t="shared" si="3"/>
        <v>459593.10251192056</v>
      </c>
      <c r="R12" s="41">
        <f t="shared" si="4"/>
        <v>22962.211053598472</v>
      </c>
      <c r="S12" s="42">
        <f t="shared" si="6"/>
        <v>4.9919836057822457E-2</v>
      </c>
      <c r="T12" s="45">
        <f t="shared" si="5"/>
        <v>459981.7</v>
      </c>
    </row>
    <row r="13" spans="2:20" ht="48" x14ac:dyDescent="0.2">
      <c r="B13" s="9" t="s">
        <v>25</v>
      </c>
      <c r="C13" s="9"/>
      <c r="D13" s="9"/>
      <c r="E13" s="10" t="s">
        <v>26</v>
      </c>
      <c r="F13" s="9" t="s">
        <v>10</v>
      </c>
      <c r="G13" s="9">
        <v>4</v>
      </c>
      <c r="H13" s="133">
        <v>75000</v>
      </c>
      <c r="I13" s="133">
        <v>300000</v>
      </c>
      <c r="J13" s="134">
        <v>82500</v>
      </c>
      <c r="K13" s="134">
        <v>330000</v>
      </c>
      <c r="L13" s="135">
        <v>81000</v>
      </c>
      <c r="M13" s="135">
        <v>324000</v>
      </c>
      <c r="N13" s="77">
        <f t="shared" si="0"/>
        <v>79500</v>
      </c>
      <c r="O13" s="78">
        <f t="shared" si="1"/>
        <v>318000</v>
      </c>
      <c r="P13" s="11">
        <f t="shared" si="2"/>
        <v>324000</v>
      </c>
      <c r="Q13" s="41">
        <f t="shared" si="3"/>
        <v>317731.3501793457</v>
      </c>
      <c r="R13" s="41">
        <f t="shared" si="4"/>
        <v>15874.507866387543</v>
      </c>
      <c r="S13" s="42">
        <f t="shared" si="6"/>
        <v>4.9919836057822464E-2</v>
      </c>
      <c r="T13" s="45">
        <f t="shared" si="5"/>
        <v>318000</v>
      </c>
    </row>
    <row r="14" spans="2:20" ht="60" x14ac:dyDescent="0.2">
      <c r="B14" s="9" t="s">
        <v>27</v>
      </c>
      <c r="C14" s="9"/>
      <c r="D14" s="9"/>
      <c r="E14" s="10" t="s">
        <v>28</v>
      </c>
      <c r="F14" s="9" t="s">
        <v>10</v>
      </c>
      <c r="G14" s="9">
        <v>15</v>
      </c>
      <c r="H14" s="133">
        <v>25800</v>
      </c>
      <c r="I14" s="133">
        <v>387000</v>
      </c>
      <c r="J14" s="134">
        <v>28380</v>
      </c>
      <c r="K14" s="134">
        <v>425700</v>
      </c>
      <c r="L14" s="135">
        <v>27864</v>
      </c>
      <c r="M14" s="135">
        <v>417960</v>
      </c>
      <c r="N14" s="77">
        <f t="shared" si="0"/>
        <v>27348</v>
      </c>
      <c r="O14" s="78">
        <f t="shared" si="1"/>
        <v>410220</v>
      </c>
      <c r="P14" s="11">
        <f t="shared" si="2"/>
        <v>417960</v>
      </c>
      <c r="Q14" s="41">
        <f t="shared" si="3"/>
        <v>409873.44173135591</v>
      </c>
      <c r="R14" s="41">
        <f t="shared" si="4"/>
        <v>20478.115147639932</v>
      </c>
      <c r="S14" s="42">
        <f t="shared" si="6"/>
        <v>4.9919836057822464E-2</v>
      </c>
      <c r="T14" s="45">
        <f t="shared" si="5"/>
        <v>410220</v>
      </c>
    </row>
    <row r="15" spans="2:20" ht="48" x14ac:dyDescent="0.2">
      <c r="B15" s="9" t="s">
        <v>29</v>
      </c>
      <c r="C15" s="9"/>
      <c r="D15" s="9"/>
      <c r="E15" s="10" t="s">
        <v>12</v>
      </c>
      <c r="F15" s="9" t="s">
        <v>10</v>
      </c>
      <c r="G15" s="9">
        <v>10</v>
      </c>
      <c r="H15" s="133">
        <v>35000</v>
      </c>
      <c r="I15" s="133">
        <v>350000</v>
      </c>
      <c r="J15" s="134">
        <v>38500</v>
      </c>
      <c r="K15" s="134">
        <v>385000</v>
      </c>
      <c r="L15" s="135">
        <v>37800</v>
      </c>
      <c r="M15" s="136">
        <v>378000</v>
      </c>
      <c r="N15" s="77">
        <f t="shared" si="0"/>
        <v>37100</v>
      </c>
      <c r="O15" s="78">
        <f t="shared" si="1"/>
        <v>371000</v>
      </c>
      <c r="P15" s="11">
        <f t="shared" si="2"/>
        <v>378000</v>
      </c>
      <c r="Q15" s="41">
        <f t="shared" si="3"/>
        <v>370686.57520923659</v>
      </c>
      <c r="R15" s="41">
        <f t="shared" si="4"/>
        <v>18520.259177452135</v>
      </c>
      <c r="S15" s="42">
        <f t="shared" si="6"/>
        <v>4.9919836057822464E-2</v>
      </c>
      <c r="T15" s="45">
        <f t="shared" si="5"/>
        <v>371000</v>
      </c>
    </row>
    <row r="16" spans="2:20" ht="108" x14ac:dyDescent="0.2">
      <c r="B16" s="9" t="s">
        <v>30</v>
      </c>
      <c r="C16" s="9"/>
      <c r="D16" s="9"/>
      <c r="E16" s="10" t="s">
        <v>31</v>
      </c>
      <c r="F16" s="9" t="s">
        <v>15</v>
      </c>
      <c r="G16" s="9">
        <v>10</v>
      </c>
      <c r="H16" s="133">
        <v>298179</v>
      </c>
      <c r="I16" s="133">
        <v>2981790</v>
      </c>
      <c r="J16" s="134">
        <v>327996.90000000002</v>
      </c>
      <c r="K16" s="134">
        <v>3279969</v>
      </c>
      <c r="L16" s="135">
        <v>322033.32</v>
      </c>
      <c r="M16" s="135">
        <v>3220333.2</v>
      </c>
      <c r="N16" s="77">
        <f t="shared" si="0"/>
        <v>316069.74</v>
      </c>
      <c r="O16" s="78">
        <f t="shared" si="1"/>
        <v>3160697.4</v>
      </c>
      <c r="P16" s="11">
        <f t="shared" si="2"/>
        <v>3220333.2</v>
      </c>
      <c r="Q16" s="41">
        <f t="shared" si="3"/>
        <v>3158027.2088375706</v>
      </c>
      <c r="R16" s="41">
        <f t="shared" si="4"/>
        <v>157781.49603638574</v>
      </c>
      <c r="S16" s="42">
        <f t="shared" si="6"/>
        <v>4.9919836057822471E-2</v>
      </c>
      <c r="T16" s="45">
        <f t="shared" si="5"/>
        <v>3160697.4</v>
      </c>
    </row>
    <row r="17" spans="2:20" ht="144" x14ac:dyDescent="0.2">
      <c r="B17" s="9" t="s">
        <v>32</v>
      </c>
      <c r="C17" s="9"/>
      <c r="D17" s="9"/>
      <c r="E17" s="10" t="s">
        <v>33</v>
      </c>
      <c r="F17" s="9" t="s">
        <v>15</v>
      </c>
      <c r="G17" s="9">
        <v>1</v>
      </c>
      <c r="H17" s="133">
        <v>25500000</v>
      </c>
      <c r="I17" s="133">
        <v>25500000</v>
      </c>
      <c r="J17" s="134">
        <v>28050000</v>
      </c>
      <c r="K17" s="134">
        <v>28050000</v>
      </c>
      <c r="L17" s="135">
        <v>27540000</v>
      </c>
      <c r="M17" s="135">
        <v>27540000</v>
      </c>
      <c r="N17" s="77">
        <f t="shared" si="0"/>
        <v>27030000</v>
      </c>
      <c r="O17" s="78">
        <f t="shared" si="1"/>
        <v>27030000</v>
      </c>
      <c r="P17" s="11">
        <f t="shared" si="2"/>
        <v>27540000</v>
      </c>
      <c r="Q17" s="41">
        <f t="shared" si="3"/>
        <v>27007164.76524438</v>
      </c>
      <c r="R17" s="41">
        <f t="shared" si="4"/>
        <v>1349333.1686429412</v>
      </c>
      <c r="S17" s="42">
        <f t="shared" si="6"/>
        <v>4.9919836057822464E-2</v>
      </c>
      <c r="T17" s="45">
        <f t="shared" si="5"/>
        <v>27030000</v>
      </c>
    </row>
    <row r="18" spans="2:20" x14ac:dyDescent="0.2">
      <c r="B18" s="91"/>
      <c r="C18" s="91"/>
      <c r="D18" s="91"/>
      <c r="E18" s="92" t="s">
        <v>34</v>
      </c>
      <c r="F18" s="93"/>
      <c r="G18" s="93"/>
      <c r="H18" s="122"/>
      <c r="I18" s="117"/>
      <c r="J18" s="122"/>
      <c r="K18" s="117"/>
      <c r="L18" s="122"/>
      <c r="M18" s="117"/>
      <c r="N18" s="117"/>
      <c r="O18" s="137"/>
      <c r="P18" s="11"/>
      <c r="Q18" s="41"/>
      <c r="R18" s="41"/>
      <c r="S18" s="42"/>
      <c r="T18" s="45"/>
    </row>
    <row r="19" spans="2:20" x14ac:dyDescent="0.2">
      <c r="B19" s="9" t="s">
        <v>37</v>
      </c>
      <c r="C19" s="9"/>
      <c r="D19" s="9"/>
      <c r="E19" s="13" t="s">
        <v>35</v>
      </c>
      <c r="F19" s="14" t="s">
        <v>36</v>
      </c>
      <c r="G19" s="14">
        <v>4</v>
      </c>
      <c r="H19" s="133">
        <v>50000</v>
      </c>
      <c r="I19" s="133">
        <v>200000</v>
      </c>
      <c r="J19" s="134">
        <v>55000</v>
      </c>
      <c r="K19" s="134">
        <v>220000</v>
      </c>
      <c r="L19" s="135">
        <v>54000</v>
      </c>
      <c r="M19" s="135">
        <v>216000</v>
      </c>
      <c r="N19" s="77">
        <f t="shared" si="0"/>
        <v>53000</v>
      </c>
      <c r="O19" s="78">
        <f t="shared" si="1"/>
        <v>212000</v>
      </c>
      <c r="P19" s="11">
        <f t="shared" si="2"/>
        <v>216000</v>
      </c>
      <c r="Q19" s="41">
        <f t="shared" si="3"/>
        <v>211820.9001195638</v>
      </c>
      <c r="R19" s="41">
        <f t="shared" si="4"/>
        <v>10583.005244258362</v>
      </c>
      <c r="S19" s="42">
        <f t="shared" si="6"/>
        <v>4.9919836057822464E-2</v>
      </c>
      <c r="T19" s="45">
        <f t="shared" si="5"/>
        <v>212000</v>
      </c>
    </row>
    <row r="20" spans="2:20" ht="30" customHeight="1" x14ac:dyDescent="0.2">
      <c r="B20" s="9" t="s">
        <v>40</v>
      </c>
      <c r="C20" s="9"/>
      <c r="D20" s="9"/>
      <c r="E20" s="13" t="s">
        <v>38</v>
      </c>
      <c r="F20" s="14" t="s">
        <v>39</v>
      </c>
      <c r="G20" s="14">
        <f>(2*2.22)+(2.8*2.2)+(2.8*2.22)-(1.3*0.95)-(1.2*1.32)-(0.78*2.2)</f>
        <v>12.281000000000002</v>
      </c>
      <c r="H20" s="133">
        <v>43559</v>
      </c>
      <c r="I20" s="133">
        <v>534948.07999999996</v>
      </c>
      <c r="J20" s="134">
        <v>47914.9</v>
      </c>
      <c r="K20" s="134">
        <v>588442.89</v>
      </c>
      <c r="L20" s="135">
        <v>47043.72</v>
      </c>
      <c r="M20" s="135">
        <v>577743.93000000005</v>
      </c>
      <c r="N20" s="77">
        <f t="shared" si="0"/>
        <v>46172.54</v>
      </c>
      <c r="O20" s="78">
        <f t="shared" si="1"/>
        <v>567044.96666666667</v>
      </c>
      <c r="P20" s="11">
        <f t="shared" si="2"/>
        <v>577743.93000000005</v>
      </c>
      <c r="Q20" s="41">
        <f t="shared" si="3"/>
        <v>566565.92093282635</v>
      </c>
      <c r="R20" s="41">
        <f t="shared" si="4"/>
        <v>28306.793116494769</v>
      </c>
      <c r="S20" s="42">
        <f t="shared" si="6"/>
        <v>4.9919838426384824E-2</v>
      </c>
      <c r="T20" s="45">
        <f t="shared" si="5"/>
        <v>567044.96666666667</v>
      </c>
    </row>
    <row r="21" spans="2:20" ht="45.75" customHeight="1" x14ac:dyDescent="0.2">
      <c r="B21" s="9" t="s">
        <v>42</v>
      </c>
      <c r="C21" s="9"/>
      <c r="D21" s="9"/>
      <c r="E21" s="13" t="s">
        <v>41</v>
      </c>
      <c r="F21" s="14" t="s">
        <v>39</v>
      </c>
      <c r="G21" s="14">
        <v>5</v>
      </c>
      <c r="H21" s="133">
        <v>29834</v>
      </c>
      <c r="I21" s="133">
        <v>149170</v>
      </c>
      <c r="J21" s="134">
        <v>32817.4</v>
      </c>
      <c r="K21" s="134">
        <v>164087</v>
      </c>
      <c r="L21" s="135">
        <v>32220.720000000001</v>
      </c>
      <c r="M21" s="135">
        <v>161103.6</v>
      </c>
      <c r="N21" s="77">
        <f t="shared" si="0"/>
        <v>31624.039999999997</v>
      </c>
      <c r="O21" s="78">
        <f t="shared" si="1"/>
        <v>158120.19999999998</v>
      </c>
      <c r="P21" s="11">
        <f t="shared" si="2"/>
        <v>161103.6</v>
      </c>
      <c r="Q21" s="41">
        <f t="shared" si="3"/>
        <v>157986.61835417664</v>
      </c>
      <c r="R21" s="41">
        <f t="shared" si="4"/>
        <v>7893.3344614301013</v>
      </c>
      <c r="S21" s="42">
        <f t="shared" si="6"/>
        <v>4.9919836057822478E-2</v>
      </c>
      <c r="T21" s="45">
        <f t="shared" si="5"/>
        <v>158120.19999999998</v>
      </c>
    </row>
    <row r="22" spans="2:20" ht="36" x14ac:dyDescent="0.2">
      <c r="B22" s="9" t="s">
        <v>44</v>
      </c>
      <c r="C22" s="9"/>
      <c r="D22" s="9"/>
      <c r="E22" s="13" t="s">
        <v>43</v>
      </c>
      <c r="F22" s="14" t="s">
        <v>39</v>
      </c>
      <c r="G22" s="14">
        <v>5</v>
      </c>
      <c r="H22" s="133">
        <v>51884</v>
      </c>
      <c r="I22" s="133">
        <v>259420</v>
      </c>
      <c r="J22" s="134">
        <v>57072.4</v>
      </c>
      <c r="K22" s="134">
        <v>285362</v>
      </c>
      <c r="L22" s="135">
        <v>56034.720000000001</v>
      </c>
      <c r="M22" s="135">
        <v>280173.59999999998</v>
      </c>
      <c r="N22" s="77">
        <f t="shared" si="0"/>
        <v>54997.04</v>
      </c>
      <c r="O22" s="78">
        <f t="shared" si="1"/>
        <v>274985.2</v>
      </c>
      <c r="P22" s="11">
        <f t="shared" si="2"/>
        <v>280173.59999999998</v>
      </c>
      <c r="Q22" s="41">
        <f t="shared" si="3"/>
        <v>274752.88954508619</v>
      </c>
      <c r="R22" s="41">
        <f t="shared" si="4"/>
        <v>13727.216102327517</v>
      </c>
      <c r="S22" s="42">
        <f t="shared" si="6"/>
        <v>4.9919836057822443E-2</v>
      </c>
      <c r="T22" s="45">
        <f t="shared" si="5"/>
        <v>274985.2</v>
      </c>
    </row>
    <row r="23" spans="2:20" ht="132" x14ac:dyDescent="0.2">
      <c r="B23" s="9" t="s">
        <v>46</v>
      </c>
      <c r="C23" s="9"/>
      <c r="D23" s="9"/>
      <c r="E23" s="13" t="s">
        <v>45</v>
      </c>
      <c r="F23" s="14" t="s">
        <v>39</v>
      </c>
      <c r="G23" s="14">
        <v>8.8000000000000007</v>
      </c>
      <c r="H23" s="133">
        <v>245000</v>
      </c>
      <c r="I23" s="133">
        <v>2156000</v>
      </c>
      <c r="J23" s="134">
        <v>269500</v>
      </c>
      <c r="K23" s="134">
        <v>2371600</v>
      </c>
      <c r="L23" s="135">
        <v>264600</v>
      </c>
      <c r="M23" s="135">
        <v>2328480</v>
      </c>
      <c r="N23" s="77">
        <f t="shared" si="0"/>
        <v>259700</v>
      </c>
      <c r="O23" s="78">
        <f t="shared" si="1"/>
        <v>2285360</v>
      </c>
      <c r="P23" s="11">
        <f t="shared" si="2"/>
        <v>2328480</v>
      </c>
      <c r="Q23" s="41">
        <f t="shared" si="3"/>
        <v>2283429.3032888975</v>
      </c>
      <c r="R23" s="41">
        <f t="shared" si="4"/>
        <v>114084.79653310515</v>
      </c>
      <c r="S23" s="42">
        <f t="shared" si="6"/>
        <v>4.9919836057822464E-2</v>
      </c>
      <c r="T23" s="45">
        <f t="shared" si="5"/>
        <v>2285360</v>
      </c>
    </row>
    <row r="24" spans="2:20" ht="96" x14ac:dyDescent="0.2">
      <c r="B24" s="9" t="s">
        <v>48</v>
      </c>
      <c r="C24" s="9"/>
      <c r="D24" s="9"/>
      <c r="E24" s="15" t="s">
        <v>47</v>
      </c>
      <c r="F24" s="14" t="s">
        <v>10</v>
      </c>
      <c r="G24" s="14">
        <f>2.5+2.5+3.6+3.6</f>
        <v>12.2</v>
      </c>
      <c r="H24" s="133">
        <v>45000</v>
      </c>
      <c r="I24" s="133">
        <v>549000</v>
      </c>
      <c r="J24" s="134">
        <v>49500</v>
      </c>
      <c r="K24" s="134">
        <v>603900</v>
      </c>
      <c r="L24" s="135">
        <v>48600</v>
      </c>
      <c r="M24" s="135">
        <v>592920</v>
      </c>
      <c r="N24" s="77">
        <f t="shared" si="0"/>
        <v>47700</v>
      </c>
      <c r="O24" s="78">
        <f t="shared" si="1"/>
        <v>581940</v>
      </c>
      <c r="P24" s="11">
        <f t="shared" si="2"/>
        <v>592920</v>
      </c>
      <c r="Q24" s="41">
        <f t="shared" si="3"/>
        <v>581448.37082820258</v>
      </c>
      <c r="R24" s="41">
        <f t="shared" si="4"/>
        <v>29050.349395489204</v>
      </c>
      <c r="S24" s="42">
        <f t="shared" si="6"/>
        <v>4.9919836057822464E-2</v>
      </c>
      <c r="T24" s="45">
        <f t="shared" si="5"/>
        <v>581940</v>
      </c>
    </row>
    <row r="25" spans="2:20" ht="24" x14ac:dyDescent="0.2">
      <c r="B25" s="9" t="s">
        <v>50</v>
      </c>
      <c r="C25" s="9"/>
      <c r="D25" s="9"/>
      <c r="E25" s="13" t="s">
        <v>49</v>
      </c>
      <c r="F25" s="14" t="s">
        <v>39</v>
      </c>
      <c r="G25" s="14">
        <f>(2.4+2.5)*2.2</f>
        <v>10.780000000000001</v>
      </c>
      <c r="H25" s="133">
        <v>73172</v>
      </c>
      <c r="I25" s="133">
        <v>788794.16</v>
      </c>
      <c r="J25" s="134">
        <v>80489.2</v>
      </c>
      <c r="K25" s="134">
        <v>867673.58</v>
      </c>
      <c r="L25" s="135">
        <v>79025.759999999995</v>
      </c>
      <c r="M25" s="135">
        <v>851897.69</v>
      </c>
      <c r="N25" s="77">
        <f t="shared" si="0"/>
        <v>77562.320000000007</v>
      </c>
      <c r="O25" s="78">
        <f t="shared" si="1"/>
        <v>836121.80999999994</v>
      </c>
      <c r="P25" s="11">
        <f t="shared" si="2"/>
        <v>851897.69</v>
      </c>
      <c r="Q25" s="41">
        <f t="shared" si="3"/>
        <v>835415.44526976359</v>
      </c>
      <c r="R25" s="41">
        <f t="shared" si="4"/>
        <v>41739.06464230956</v>
      </c>
      <c r="S25" s="42">
        <f t="shared" si="6"/>
        <v>4.9919837209257301E-2</v>
      </c>
      <c r="T25" s="45">
        <f t="shared" si="5"/>
        <v>836121.80999999994</v>
      </c>
    </row>
    <row r="26" spans="2:20" ht="80.25" customHeight="1" x14ac:dyDescent="0.2">
      <c r="B26" s="9" t="s">
        <v>52</v>
      </c>
      <c r="C26" s="9"/>
      <c r="D26" s="9"/>
      <c r="E26" s="16" t="s">
        <v>51</v>
      </c>
      <c r="F26" s="14" t="s">
        <v>39</v>
      </c>
      <c r="G26" s="14">
        <f>1.2*2.2</f>
        <v>2.64</v>
      </c>
      <c r="H26" s="133">
        <v>1250000</v>
      </c>
      <c r="I26" s="133">
        <v>3300000</v>
      </c>
      <c r="J26" s="134">
        <v>1375000</v>
      </c>
      <c r="K26" s="134">
        <v>3630000</v>
      </c>
      <c r="L26" s="135">
        <v>1350000</v>
      </c>
      <c r="M26" s="135">
        <v>3564000</v>
      </c>
      <c r="N26" s="77">
        <f t="shared" si="0"/>
        <v>1325000</v>
      </c>
      <c r="O26" s="78">
        <f t="shared" si="1"/>
        <v>3498000</v>
      </c>
      <c r="P26" s="11">
        <f t="shared" si="2"/>
        <v>3564000</v>
      </c>
      <c r="Q26" s="41">
        <f t="shared" si="3"/>
        <v>3495044.8519728025</v>
      </c>
      <c r="R26" s="41">
        <f t="shared" si="4"/>
        <v>174619.58653026298</v>
      </c>
      <c r="S26" s="42">
        <f t="shared" si="6"/>
        <v>4.9919836057822464E-2</v>
      </c>
      <c r="T26" s="45">
        <f t="shared" si="5"/>
        <v>3498000</v>
      </c>
    </row>
    <row r="27" spans="2:20" ht="77.25" customHeight="1" x14ac:dyDescent="0.2">
      <c r="B27" s="9" t="s">
        <v>54</v>
      </c>
      <c r="C27" s="9"/>
      <c r="D27" s="9"/>
      <c r="E27" s="16" t="s">
        <v>53</v>
      </c>
      <c r="F27" s="14" t="s">
        <v>39</v>
      </c>
      <c r="G27" s="14">
        <f>1.3*0.95</f>
        <v>1.2349999999999999</v>
      </c>
      <c r="H27" s="133">
        <v>125000</v>
      </c>
      <c r="I27" s="133">
        <v>154375</v>
      </c>
      <c r="J27" s="134">
        <v>137500</v>
      </c>
      <c r="K27" s="134">
        <v>169812.5</v>
      </c>
      <c r="L27" s="135">
        <v>135000</v>
      </c>
      <c r="M27" s="135">
        <v>166725</v>
      </c>
      <c r="N27" s="77">
        <f t="shared" si="0"/>
        <v>132500</v>
      </c>
      <c r="O27" s="78">
        <f t="shared" si="1"/>
        <v>163637.5</v>
      </c>
      <c r="P27" s="11">
        <f t="shared" si="2"/>
        <v>166725</v>
      </c>
      <c r="Q27" s="41">
        <f t="shared" si="3"/>
        <v>163499.25727978829</v>
      </c>
      <c r="R27" s="41">
        <f t="shared" si="4"/>
        <v>8168.7571729119236</v>
      </c>
      <c r="S27" s="42">
        <f t="shared" si="6"/>
        <v>4.9919836057822464E-2</v>
      </c>
      <c r="T27" s="45">
        <f t="shared" si="5"/>
        <v>163637.5</v>
      </c>
    </row>
    <row r="28" spans="2:20" ht="24" x14ac:dyDescent="0.2">
      <c r="B28" s="9" t="s">
        <v>56</v>
      </c>
      <c r="C28" s="9"/>
      <c r="D28" s="9"/>
      <c r="E28" s="15" t="s">
        <v>55</v>
      </c>
      <c r="F28" s="14" t="s">
        <v>39</v>
      </c>
      <c r="G28" s="17">
        <f>(2.2*(2.4+2.45))+(1.3*0.95)+1</f>
        <v>12.904999999999999</v>
      </c>
      <c r="H28" s="133">
        <v>71485</v>
      </c>
      <c r="I28" s="133">
        <v>922513.93</v>
      </c>
      <c r="J28" s="134">
        <v>78633.5</v>
      </c>
      <c r="K28" s="134">
        <v>1014765.32</v>
      </c>
      <c r="L28" s="135">
        <v>77203.8</v>
      </c>
      <c r="M28" s="135">
        <v>996315.04</v>
      </c>
      <c r="N28" s="77">
        <f t="shared" si="0"/>
        <v>75774.099999999991</v>
      </c>
      <c r="O28" s="78">
        <f t="shared" si="1"/>
        <v>977864.76333333331</v>
      </c>
      <c r="P28" s="11">
        <f t="shared" si="2"/>
        <v>996315.04</v>
      </c>
      <c r="Q28" s="41">
        <f t="shared" si="3"/>
        <v>977038.65272606898</v>
      </c>
      <c r="R28" s="41">
        <f t="shared" si="4"/>
        <v>48814.846830041672</v>
      </c>
      <c r="S28" s="42">
        <f t="shared" si="6"/>
        <v>4.9919834173840383E-2</v>
      </c>
      <c r="T28" s="45">
        <f t="shared" si="5"/>
        <v>977864.76333333331</v>
      </c>
    </row>
    <row r="29" spans="2:20" ht="48" x14ac:dyDescent="0.2">
      <c r="B29" s="9" t="s">
        <v>58</v>
      </c>
      <c r="C29" s="9"/>
      <c r="D29" s="9"/>
      <c r="E29" s="15" t="s">
        <v>57</v>
      </c>
      <c r="F29" s="14" t="s">
        <v>39</v>
      </c>
      <c r="G29" s="17">
        <f>(2.2*(2.4+2.45))+(1.3*0.95)+1+G30</f>
        <v>23.574999999999999</v>
      </c>
      <c r="H29" s="133">
        <v>24855</v>
      </c>
      <c r="I29" s="133">
        <v>585956.63</v>
      </c>
      <c r="J29" s="134">
        <v>27340.5</v>
      </c>
      <c r="K29" s="134">
        <v>644552.29</v>
      </c>
      <c r="L29" s="135">
        <v>26843.4</v>
      </c>
      <c r="M29" s="135">
        <v>632833.16</v>
      </c>
      <c r="N29" s="77">
        <f t="shared" si="0"/>
        <v>26346.3</v>
      </c>
      <c r="O29" s="78">
        <f t="shared" si="1"/>
        <v>621114.02666666673</v>
      </c>
      <c r="P29" s="11">
        <f t="shared" si="2"/>
        <v>632833.16</v>
      </c>
      <c r="Q29" s="41">
        <f t="shared" si="3"/>
        <v>620589.30289455503</v>
      </c>
      <c r="R29" s="41">
        <f t="shared" si="4"/>
        <v>31005.909231503509</v>
      </c>
      <c r="S29" s="42">
        <f t="shared" si="6"/>
        <v>4.9919834201624706E-2</v>
      </c>
      <c r="T29" s="45">
        <f t="shared" si="5"/>
        <v>621114.02666666673</v>
      </c>
    </row>
    <row r="30" spans="2:20" ht="36" x14ac:dyDescent="0.2">
      <c r="B30" s="9" t="s">
        <v>60</v>
      </c>
      <c r="C30" s="9"/>
      <c r="D30" s="9"/>
      <c r="E30" s="15" t="s">
        <v>59</v>
      </c>
      <c r="F30" s="14" t="s">
        <v>39</v>
      </c>
      <c r="G30" s="14">
        <f>(2.2*(2.45+2.4))</f>
        <v>10.67</v>
      </c>
      <c r="H30" s="133">
        <v>24268</v>
      </c>
      <c r="I30" s="133">
        <v>258939.56</v>
      </c>
      <c r="J30" s="134">
        <v>26694.799999999999</v>
      </c>
      <c r="K30" s="134">
        <v>284833.52</v>
      </c>
      <c r="L30" s="135">
        <v>26209.439999999999</v>
      </c>
      <c r="M30" s="135">
        <v>279654.71999999997</v>
      </c>
      <c r="N30" s="77">
        <f t="shared" si="0"/>
        <v>25724.080000000002</v>
      </c>
      <c r="O30" s="78">
        <f t="shared" si="1"/>
        <v>274475.93333333335</v>
      </c>
      <c r="P30" s="11">
        <f t="shared" si="2"/>
        <v>279654.71999999997</v>
      </c>
      <c r="Q30" s="41">
        <f t="shared" si="3"/>
        <v>274244.05309353827</v>
      </c>
      <c r="R30" s="41">
        <f t="shared" si="4"/>
        <v>13701.794211873621</v>
      </c>
      <c r="S30" s="42">
        <f t="shared" si="6"/>
        <v>4.9919838309589327E-2</v>
      </c>
      <c r="T30" s="45">
        <f t="shared" si="5"/>
        <v>274475.93333333335</v>
      </c>
    </row>
    <row r="31" spans="2:20" ht="105" customHeight="1" x14ac:dyDescent="0.2">
      <c r="B31" s="9" t="s">
        <v>62</v>
      </c>
      <c r="C31" s="9"/>
      <c r="D31" s="9"/>
      <c r="E31" s="15" t="s">
        <v>61</v>
      </c>
      <c r="F31" s="14" t="s">
        <v>39</v>
      </c>
      <c r="G31" s="17">
        <f t="shared" ref="G31" si="7">(2.2*(2.4+2.45))+(1.3*0.95)+1</f>
        <v>12.904999999999999</v>
      </c>
      <c r="H31" s="133">
        <v>54658</v>
      </c>
      <c r="I31" s="133">
        <v>705361.49</v>
      </c>
      <c r="J31" s="134">
        <v>60123.8</v>
      </c>
      <c r="K31" s="134">
        <v>775897.64</v>
      </c>
      <c r="L31" s="135">
        <v>59030.64</v>
      </c>
      <c r="M31" s="135">
        <v>761790.41</v>
      </c>
      <c r="N31" s="77">
        <f t="shared" si="0"/>
        <v>57937.48</v>
      </c>
      <c r="O31" s="78">
        <f t="shared" si="1"/>
        <v>747683.18</v>
      </c>
      <c r="P31" s="11">
        <f t="shared" si="2"/>
        <v>761790.41</v>
      </c>
      <c r="Q31" s="41">
        <f t="shared" si="3"/>
        <v>747051.52918983146</v>
      </c>
      <c r="R31" s="41">
        <f t="shared" si="4"/>
        <v>37324.222267989746</v>
      </c>
      <c r="S31" s="42">
        <f t="shared" si="6"/>
        <v>4.9919836725482766E-2</v>
      </c>
      <c r="T31" s="45">
        <f t="shared" si="5"/>
        <v>747683.18</v>
      </c>
    </row>
    <row r="32" spans="2:20" ht="60" x14ac:dyDescent="0.2">
      <c r="B32" s="9" t="s">
        <v>64</v>
      </c>
      <c r="C32" s="9"/>
      <c r="D32" s="9"/>
      <c r="E32" s="10" t="s">
        <v>63</v>
      </c>
      <c r="F32" s="9" t="s">
        <v>39</v>
      </c>
      <c r="G32" s="9">
        <f>G23</f>
        <v>8.8000000000000007</v>
      </c>
      <c r="H32" s="133">
        <v>23406</v>
      </c>
      <c r="I32" s="133">
        <v>205972.8</v>
      </c>
      <c r="J32" s="134">
        <v>25746.6</v>
      </c>
      <c r="K32" s="134">
        <v>226570.08</v>
      </c>
      <c r="L32" s="135">
        <v>25278.48</v>
      </c>
      <c r="M32" s="135">
        <v>222450.62</v>
      </c>
      <c r="N32" s="77">
        <f t="shared" si="0"/>
        <v>24810.36</v>
      </c>
      <c r="O32" s="78">
        <f t="shared" si="1"/>
        <v>218331.16666666666</v>
      </c>
      <c r="P32" s="11">
        <f t="shared" si="2"/>
        <v>222450.62</v>
      </c>
      <c r="Q32" s="41">
        <f t="shared" si="3"/>
        <v>218146.71817319799</v>
      </c>
      <c r="R32" s="41">
        <f t="shared" si="4"/>
        <v>10899.055356944167</v>
      </c>
      <c r="S32" s="42">
        <f t="shared" si="6"/>
        <v>4.9919832900376118E-2</v>
      </c>
      <c r="T32" s="45">
        <f t="shared" si="5"/>
        <v>218331.16666666666</v>
      </c>
    </row>
    <row r="33" spans="2:20" ht="51.75" customHeight="1" x14ac:dyDescent="0.2">
      <c r="B33" s="9" t="s">
        <v>65</v>
      </c>
      <c r="C33" s="9"/>
      <c r="D33" s="9"/>
      <c r="E33" s="10" t="s">
        <v>66</v>
      </c>
      <c r="F33" s="9" t="s">
        <v>39</v>
      </c>
      <c r="G33" s="9">
        <f>G32</f>
        <v>8.8000000000000007</v>
      </c>
      <c r="H33" s="133">
        <v>150469</v>
      </c>
      <c r="I33" s="133">
        <v>1324127.2</v>
      </c>
      <c r="J33" s="134">
        <v>165515.9</v>
      </c>
      <c r="K33" s="134">
        <v>1456539.92</v>
      </c>
      <c r="L33" s="135">
        <v>162506.51999999999</v>
      </c>
      <c r="M33" s="135">
        <v>1430057.38</v>
      </c>
      <c r="N33" s="77">
        <f t="shared" si="0"/>
        <v>159497.14000000001</v>
      </c>
      <c r="O33" s="78">
        <f t="shared" si="1"/>
        <v>1403574.8333333333</v>
      </c>
      <c r="P33" s="11">
        <f t="shared" si="2"/>
        <v>1430057.38</v>
      </c>
      <c r="Q33" s="41">
        <f t="shared" si="3"/>
        <v>1402389.0781915246</v>
      </c>
      <c r="R33" s="41">
        <f t="shared" si="4"/>
        <v>70066.226264254656</v>
      </c>
      <c r="S33" s="42">
        <f t="shared" si="6"/>
        <v>4.9919836548974882E-2</v>
      </c>
      <c r="T33" s="45">
        <f t="shared" si="5"/>
        <v>1403574.8333333333</v>
      </c>
    </row>
    <row r="34" spans="2:20" ht="108" x14ac:dyDescent="0.2">
      <c r="B34" s="9" t="s">
        <v>67</v>
      </c>
      <c r="C34" s="9"/>
      <c r="D34" s="9"/>
      <c r="E34" s="10" t="s">
        <v>14</v>
      </c>
      <c r="F34" s="9" t="s">
        <v>15</v>
      </c>
      <c r="G34" s="9">
        <v>3</v>
      </c>
      <c r="H34" s="133">
        <v>298179</v>
      </c>
      <c r="I34" s="133">
        <v>894537</v>
      </c>
      <c r="J34" s="134">
        <v>327996.90000000002</v>
      </c>
      <c r="K34" s="134">
        <v>983990.7</v>
      </c>
      <c r="L34" s="135">
        <v>322033.32</v>
      </c>
      <c r="M34" s="135">
        <v>966099.96</v>
      </c>
      <c r="N34" s="77">
        <f t="shared" si="0"/>
        <v>316069.74</v>
      </c>
      <c r="O34" s="78">
        <f t="shared" si="1"/>
        <v>948209.22000000009</v>
      </c>
      <c r="P34" s="11">
        <f t="shared" si="2"/>
        <v>966099.96</v>
      </c>
      <c r="Q34" s="41">
        <f t="shared" si="3"/>
        <v>947408.16265127098</v>
      </c>
      <c r="R34" s="41">
        <f t="shared" si="4"/>
        <v>47334.448810915688</v>
      </c>
      <c r="S34" s="42">
        <f t="shared" si="6"/>
        <v>4.991983605782243E-2</v>
      </c>
      <c r="T34" s="45">
        <f t="shared" si="5"/>
        <v>948209.22000000009</v>
      </c>
    </row>
    <row r="35" spans="2:20" ht="96" x14ac:dyDescent="0.2">
      <c r="B35" s="9" t="s">
        <v>68</v>
      </c>
      <c r="C35" s="9"/>
      <c r="D35" s="9"/>
      <c r="E35" s="10" t="s">
        <v>19</v>
      </c>
      <c r="F35" s="9" t="s">
        <v>36</v>
      </c>
      <c r="G35" s="9">
        <v>3</v>
      </c>
      <c r="H35" s="133">
        <v>165000</v>
      </c>
      <c r="I35" s="133">
        <v>495000</v>
      </c>
      <c r="J35" s="134">
        <v>181500</v>
      </c>
      <c r="K35" s="134">
        <v>544500</v>
      </c>
      <c r="L35" s="135">
        <v>178200</v>
      </c>
      <c r="M35" s="135">
        <v>534600</v>
      </c>
      <c r="N35" s="77">
        <f t="shared" si="0"/>
        <v>174900</v>
      </c>
      <c r="O35" s="78">
        <f t="shared" si="1"/>
        <v>524700</v>
      </c>
      <c r="P35" s="11">
        <f t="shared" si="2"/>
        <v>534600</v>
      </c>
      <c r="Q35" s="41">
        <f t="shared" si="3"/>
        <v>524256.72779592033</v>
      </c>
      <c r="R35" s="41">
        <f t="shared" si="4"/>
        <v>26192.937979539445</v>
      </c>
      <c r="S35" s="42">
        <f t="shared" si="6"/>
        <v>4.9919836057822464E-2</v>
      </c>
      <c r="T35" s="45">
        <f t="shared" si="5"/>
        <v>524700</v>
      </c>
    </row>
    <row r="36" spans="2:20" x14ac:dyDescent="0.2">
      <c r="B36" s="20" t="s">
        <v>69</v>
      </c>
      <c r="C36" s="20"/>
      <c r="D36" s="20"/>
      <c r="E36" s="99" t="s">
        <v>224</v>
      </c>
      <c r="F36" s="99"/>
      <c r="G36" s="99"/>
      <c r="H36" s="118"/>
      <c r="I36" s="118"/>
      <c r="J36" s="118"/>
      <c r="K36" s="118"/>
      <c r="L36" s="118"/>
      <c r="M36" s="118"/>
      <c r="N36" s="118"/>
      <c r="O36" s="138"/>
      <c r="P36" s="11"/>
      <c r="Q36" s="41"/>
      <c r="R36" s="41"/>
      <c r="S36" s="42"/>
      <c r="T36" s="45"/>
    </row>
    <row r="37" spans="2:20" x14ac:dyDescent="0.2">
      <c r="B37" s="101"/>
      <c r="C37" s="101"/>
      <c r="D37" s="101"/>
      <c r="E37" s="102" t="s">
        <v>7</v>
      </c>
      <c r="F37" s="103"/>
      <c r="G37" s="103"/>
      <c r="H37" s="119"/>
      <c r="I37" s="119"/>
      <c r="J37" s="119"/>
      <c r="K37" s="119"/>
      <c r="L37" s="119"/>
      <c r="M37" s="119"/>
      <c r="N37" s="119"/>
      <c r="O37" s="139"/>
      <c r="P37" s="11"/>
      <c r="Q37" s="41"/>
      <c r="R37" s="41"/>
      <c r="S37" s="42"/>
      <c r="T37" s="45"/>
    </row>
    <row r="38" spans="2:20" ht="96" x14ac:dyDescent="0.2">
      <c r="B38" s="9" t="s">
        <v>70</v>
      </c>
      <c r="C38" s="9"/>
      <c r="D38" s="9"/>
      <c r="E38" s="10" t="s">
        <v>17</v>
      </c>
      <c r="F38" s="9" t="s">
        <v>15</v>
      </c>
      <c r="G38" s="9">
        <v>2</v>
      </c>
      <c r="H38" s="133">
        <v>245000</v>
      </c>
      <c r="I38" s="133">
        <v>490000</v>
      </c>
      <c r="J38" s="134">
        <v>269500</v>
      </c>
      <c r="K38" s="134">
        <v>539000</v>
      </c>
      <c r="L38" s="135">
        <v>264600</v>
      </c>
      <c r="M38" s="135">
        <v>529200</v>
      </c>
      <c r="N38" s="77">
        <f t="shared" si="0"/>
        <v>259700</v>
      </c>
      <c r="O38" s="78">
        <f t="shared" si="1"/>
        <v>519400</v>
      </c>
      <c r="P38" s="11">
        <f t="shared" si="2"/>
        <v>529200</v>
      </c>
      <c r="Q38" s="41">
        <f t="shared" si="3"/>
        <v>518961.20529293123</v>
      </c>
      <c r="R38" s="41">
        <f t="shared" si="4"/>
        <v>25928.362848432989</v>
      </c>
      <c r="S38" s="42">
        <f t="shared" si="6"/>
        <v>4.9919836057822464E-2</v>
      </c>
      <c r="T38" s="45">
        <f t="shared" si="5"/>
        <v>519400</v>
      </c>
    </row>
    <row r="39" spans="2:20" ht="96" x14ac:dyDescent="0.2">
      <c r="B39" s="9" t="s">
        <v>71</v>
      </c>
      <c r="C39" s="9"/>
      <c r="D39" s="9"/>
      <c r="E39" s="10" t="s">
        <v>19</v>
      </c>
      <c r="F39" s="9" t="s">
        <v>15</v>
      </c>
      <c r="G39" s="9">
        <v>3</v>
      </c>
      <c r="H39" s="133">
        <v>165000</v>
      </c>
      <c r="I39" s="133">
        <v>495000</v>
      </c>
      <c r="J39" s="134">
        <v>181500</v>
      </c>
      <c r="K39" s="134">
        <v>544500</v>
      </c>
      <c r="L39" s="135">
        <v>178200</v>
      </c>
      <c r="M39" s="135">
        <v>534600</v>
      </c>
      <c r="N39" s="77">
        <f t="shared" si="0"/>
        <v>174900</v>
      </c>
      <c r="O39" s="78">
        <f t="shared" si="1"/>
        <v>524700</v>
      </c>
      <c r="P39" s="11">
        <f t="shared" si="2"/>
        <v>534600</v>
      </c>
      <c r="Q39" s="41">
        <f t="shared" si="3"/>
        <v>524256.72779592033</v>
      </c>
      <c r="R39" s="41">
        <f t="shared" si="4"/>
        <v>26192.937979539445</v>
      </c>
      <c r="S39" s="42">
        <f t="shared" si="6"/>
        <v>4.9919836057822464E-2</v>
      </c>
      <c r="T39" s="45">
        <f t="shared" si="5"/>
        <v>524700</v>
      </c>
    </row>
    <row r="40" spans="2:20" ht="96" x14ac:dyDescent="0.2">
      <c r="B40" s="9" t="s">
        <v>72</v>
      </c>
      <c r="C40" s="9"/>
      <c r="D40" s="9"/>
      <c r="E40" s="10" t="s">
        <v>17</v>
      </c>
      <c r="F40" s="9" t="s">
        <v>15</v>
      </c>
      <c r="G40" s="9">
        <v>1</v>
      </c>
      <c r="H40" s="133">
        <v>245000</v>
      </c>
      <c r="I40" s="133">
        <v>245000</v>
      </c>
      <c r="J40" s="134">
        <v>269500</v>
      </c>
      <c r="K40" s="134">
        <v>269500</v>
      </c>
      <c r="L40" s="135">
        <v>264600</v>
      </c>
      <c r="M40" s="135">
        <v>264600</v>
      </c>
      <c r="N40" s="77">
        <f t="shared" si="0"/>
        <v>259700</v>
      </c>
      <c r="O40" s="78">
        <f t="shared" si="1"/>
        <v>259700</v>
      </c>
      <c r="P40" s="11">
        <f t="shared" si="2"/>
        <v>264600</v>
      </c>
      <c r="Q40" s="41">
        <f t="shared" si="3"/>
        <v>259480.60264646562</v>
      </c>
      <c r="R40" s="41">
        <f t="shared" si="4"/>
        <v>12964.181424216495</v>
      </c>
      <c r="S40" s="42">
        <f t="shared" si="6"/>
        <v>4.9919836057822464E-2</v>
      </c>
      <c r="T40" s="45">
        <f t="shared" si="5"/>
        <v>259700</v>
      </c>
    </row>
    <row r="41" spans="2:20" ht="96" x14ac:dyDescent="0.2">
      <c r="B41" s="9" t="s">
        <v>73</v>
      </c>
      <c r="C41" s="9"/>
      <c r="D41" s="9"/>
      <c r="E41" s="10" t="s">
        <v>17</v>
      </c>
      <c r="F41" s="9" t="s">
        <v>15</v>
      </c>
      <c r="G41" s="9">
        <v>12</v>
      </c>
      <c r="H41" s="133">
        <v>245000</v>
      </c>
      <c r="I41" s="133">
        <v>2940000</v>
      </c>
      <c r="J41" s="134">
        <v>269500</v>
      </c>
      <c r="K41" s="134">
        <v>3234000</v>
      </c>
      <c r="L41" s="135">
        <v>264600</v>
      </c>
      <c r="M41" s="135">
        <v>3175200</v>
      </c>
      <c r="N41" s="77">
        <f t="shared" si="0"/>
        <v>259700</v>
      </c>
      <c r="O41" s="78">
        <f t="shared" si="1"/>
        <v>3116400</v>
      </c>
      <c r="P41" s="11">
        <f t="shared" si="2"/>
        <v>3175200</v>
      </c>
      <c r="Q41" s="41">
        <f t="shared" si="3"/>
        <v>3113767.2317575873</v>
      </c>
      <c r="R41" s="41">
        <f t="shared" si="4"/>
        <v>155570.17709059792</v>
      </c>
      <c r="S41" s="42">
        <f t="shared" si="6"/>
        <v>4.9919836057822464E-2</v>
      </c>
      <c r="T41" s="45">
        <f t="shared" si="5"/>
        <v>3116400</v>
      </c>
    </row>
    <row r="42" spans="2:20" x14ac:dyDescent="0.2">
      <c r="B42" s="101"/>
      <c r="C42" s="101"/>
      <c r="D42" s="101"/>
      <c r="E42" s="102" t="s">
        <v>79</v>
      </c>
      <c r="F42" s="103"/>
      <c r="G42" s="103"/>
      <c r="H42" s="119"/>
      <c r="I42" s="119"/>
      <c r="J42" s="119"/>
      <c r="K42" s="119"/>
      <c r="L42" s="119"/>
      <c r="M42" s="119"/>
      <c r="N42" s="119"/>
      <c r="O42" s="139"/>
      <c r="P42" s="11"/>
      <c r="Q42" s="41"/>
      <c r="R42" s="41"/>
      <c r="S42" s="42"/>
      <c r="T42" s="45"/>
    </row>
    <row r="43" spans="2:20" ht="120" x14ac:dyDescent="0.2">
      <c r="B43" s="9" t="s">
        <v>74</v>
      </c>
      <c r="C43" s="9"/>
      <c r="D43" s="9"/>
      <c r="E43" s="10" t="s">
        <v>81</v>
      </c>
      <c r="F43" s="9" t="s">
        <v>39</v>
      </c>
      <c r="G43" s="18">
        <f>2.2*(1.8+1.8+2.42+1.7)</f>
        <v>16.984000000000002</v>
      </c>
      <c r="H43" s="133">
        <v>37025</v>
      </c>
      <c r="I43" s="133">
        <v>628832.6</v>
      </c>
      <c r="J43" s="134">
        <v>40727.5</v>
      </c>
      <c r="K43" s="134">
        <v>691715.86</v>
      </c>
      <c r="L43" s="135">
        <v>39987</v>
      </c>
      <c r="M43" s="135">
        <v>679139.21</v>
      </c>
      <c r="N43" s="77">
        <f t="shared" si="0"/>
        <v>39246.5</v>
      </c>
      <c r="O43" s="78">
        <f t="shared" si="1"/>
        <v>666562.55666666664</v>
      </c>
      <c r="P43" s="11">
        <f t="shared" si="2"/>
        <v>679139.21</v>
      </c>
      <c r="Q43" s="41">
        <f t="shared" si="3"/>
        <v>665999.43743639626</v>
      </c>
      <c r="R43" s="41">
        <f t="shared" si="4"/>
        <v>33274.693895767596</v>
      </c>
      <c r="S43" s="42">
        <f t="shared" si="6"/>
        <v>4.991983657493012E-2</v>
      </c>
      <c r="T43" s="45">
        <f t="shared" si="5"/>
        <v>666562.55666666664</v>
      </c>
    </row>
    <row r="44" spans="2:20" ht="60" x14ac:dyDescent="0.2">
      <c r="B44" s="9" t="s">
        <v>75</v>
      </c>
      <c r="C44" s="9"/>
      <c r="D44" s="9"/>
      <c r="E44" s="10" t="s">
        <v>63</v>
      </c>
      <c r="F44" s="9" t="s">
        <v>39</v>
      </c>
      <c r="G44" s="9">
        <f>2.5*1.7</f>
        <v>4.25</v>
      </c>
      <c r="H44" s="133">
        <v>23406</v>
      </c>
      <c r="I44" s="133">
        <v>99475.5</v>
      </c>
      <c r="J44" s="134">
        <v>25746.6</v>
      </c>
      <c r="K44" s="134">
        <v>109423.05</v>
      </c>
      <c r="L44" s="135">
        <v>25278.48</v>
      </c>
      <c r="M44" s="135">
        <v>107433.54</v>
      </c>
      <c r="N44" s="77">
        <f t="shared" si="0"/>
        <v>24810.36</v>
      </c>
      <c r="O44" s="78">
        <f t="shared" si="1"/>
        <v>105444.02999999998</v>
      </c>
      <c r="P44" s="11">
        <f t="shared" si="2"/>
        <v>107433.54</v>
      </c>
      <c r="Q44" s="41">
        <f t="shared" si="3"/>
        <v>105354.94974921833</v>
      </c>
      <c r="R44" s="41">
        <f t="shared" si="4"/>
        <v>5263.7486908761139</v>
      </c>
      <c r="S44" s="42">
        <f t="shared" si="6"/>
        <v>4.9919836057822471E-2</v>
      </c>
      <c r="T44" s="45">
        <f t="shared" si="5"/>
        <v>105444.02999999998</v>
      </c>
    </row>
    <row r="45" spans="2:20" ht="84" x14ac:dyDescent="0.2">
      <c r="B45" s="9" t="s">
        <v>76</v>
      </c>
      <c r="C45" s="9"/>
      <c r="D45" s="9"/>
      <c r="E45" s="10" t="s">
        <v>78</v>
      </c>
      <c r="F45" s="9" t="s">
        <v>36</v>
      </c>
      <c r="G45" s="9">
        <v>1</v>
      </c>
      <c r="H45" s="133">
        <v>195000</v>
      </c>
      <c r="I45" s="133">
        <v>195000</v>
      </c>
      <c r="J45" s="134">
        <v>214500</v>
      </c>
      <c r="K45" s="134">
        <v>214500</v>
      </c>
      <c r="L45" s="135">
        <v>210600</v>
      </c>
      <c r="M45" s="135">
        <v>210600</v>
      </c>
      <c r="N45" s="77">
        <f t="shared" si="0"/>
        <v>206700</v>
      </c>
      <c r="O45" s="78">
        <f t="shared" si="1"/>
        <v>206700</v>
      </c>
      <c r="P45" s="11">
        <f t="shared" si="2"/>
        <v>210600</v>
      </c>
      <c r="Q45" s="41">
        <f t="shared" si="3"/>
        <v>206525.3776165747</v>
      </c>
      <c r="R45" s="41">
        <f t="shared" si="4"/>
        <v>10318.430113151904</v>
      </c>
      <c r="S45" s="42">
        <f t="shared" si="6"/>
        <v>4.9919836057822471E-2</v>
      </c>
      <c r="T45" s="45">
        <f t="shared" si="5"/>
        <v>206700</v>
      </c>
    </row>
    <row r="46" spans="2:20" ht="132" x14ac:dyDescent="0.2">
      <c r="B46" s="9" t="s">
        <v>77</v>
      </c>
      <c r="C46" s="9"/>
      <c r="D46" s="9"/>
      <c r="E46" s="10" t="s">
        <v>220</v>
      </c>
      <c r="F46" s="9" t="s">
        <v>39</v>
      </c>
      <c r="G46" s="18">
        <f>G43</f>
        <v>16.984000000000002</v>
      </c>
      <c r="H46" s="133">
        <v>156000</v>
      </c>
      <c r="I46" s="133">
        <v>2649504</v>
      </c>
      <c r="J46" s="134">
        <v>171600</v>
      </c>
      <c r="K46" s="134">
        <v>2914454.4</v>
      </c>
      <c r="L46" s="135">
        <v>168480</v>
      </c>
      <c r="M46" s="135">
        <v>2861464.32</v>
      </c>
      <c r="N46" s="77">
        <f t="shared" si="0"/>
        <v>165360</v>
      </c>
      <c r="O46" s="78">
        <f t="shared" si="1"/>
        <v>2808474.24</v>
      </c>
      <c r="P46" s="11">
        <f t="shared" si="2"/>
        <v>2861464.32</v>
      </c>
      <c r="Q46" s="41">
        <f t="shared" si="3"/>
        <v>2806101.6107519232</v>
      </c>
      <c r="R46" s="41">
        <f t="shared" si="4"/>
        <v>140198.57363341746</v>
      </c>
      <c r="S46" s="42">
        <f t="shared" si="6"/>
        <v>4.991983605782243E-2</v>
      </c>
      <c r="T46" s="45">
        <f t="shared" si="5"/>
        <v>2808474.24</v>
      </c>
    </row>
    <row r="47" spans="2:20" ht="48" x14ac:dyDescent="0.2">
      <c r="B47" s="9" t="s">
        <v>80</v>
      </c>
      <c r="C47" s="9"/>
      <c r="D47" s="9"/>
      <c r="E47" s="10" t="s">
        <v>66</v>
      </c>
      <c r="F47" s="9" t="s">
        <v>39</v>
      </c>
      <c r="G47" s="9">
        <f>G44</f>
        <v>4.25</v>
      </c>
      <c r="H47" s="133">
        <v>150469</v>
      </c>
      <c r="I47" s="133">
        <v>639493.25</v>
      </c>
      <c r="J47" s="134">
        <v>165515.9</v>
      </c>
      <c r="K47" s="134">
        <v>703442.58</v>
      </c>
      <c r="L47" s="135">
        <v>162506.51999999999</v>
      </c>
      <c r="M47" s="135">
        <v>690652.71</v>
      </c>
      <c r="N47" s="77">
        <f t="shared" si="0"/>
        <v>159497.14000000001</v>
      </c>
      <c r="O47" s="78">
        <f t="shared" si="1"/>
        <v>677862.84666666668</v>
      </c>
      <c r="P47" s="11">
        <f t="shared" si="2"/>
        <v>690652.71</v>
      </c>
      <c r="Q47" s="41">
        <f t="shared" si="3"/>
        <v>677290.18078162987</v>
      </c>
      <c r="R47" s="41">
        <f t="shared" si="4"/>
        <v>33838.803981911537</v>
      </c>
      <c r="S47" s="42">
        <f t="shared" si="6"/>
        <v>4.9919838722996837E-2</v>
      </c>
      <c r="T47" s="45">
        <f t="shared" si="5"/>
        <v>677862.84666666668</v>
      </c>
    </row>
    <row r="48" spans="2:20" x14ac:dyDescent="0.2">
      <c r="B48" s="101"/>
      <c r="C48" s="101"/>
      <c r="D48" s="101"/>
      <c r="E48" s="102" t="s">
        <v>88</v>
      </c>
      <c r="F48" s="103"/>
      <c r="G48" s="103"/>
      <c r="H48" s="119"/>
      <c r="I48" s="119"/>
      <c r="J48" s="119"/>
      <c r="K48" s="119"/>
      <c r="L48" s="119"/>
      <c r="M48" s="119"/>
      <c r="N48" s="119"/>
      <c r="O48" s="139"/>
      <c r="P48" s="11"/>
      <c r="Q48" s="41"/>
      <c r="R48" s="41"/>
      <c r="S48" s="42"/>
      <c r="T48" s="45"/>
    </row>
    <row r="49" spans="2:20" ht="60" x14ac:dyDescent="0.2">
      <c r="B49" s="9" t="s">
        <v>82</v>
      </c>
      <c r="C49" s="9"/>
      <c r="D49" s="9"/>
      <c r="E49" s="10" t="s">
        <v>63</v>
      </c>
      <c r="F49" s="9" t="s">
        <v>39</v>
      </c>
      <c r="G49" s="9">
        <f>2.2*1.1</f>
        <v>2.4200000000000004</v>
      </c>
      <c r="H49" s="133">
        <v>23406</v>
      </c>
      <c r="I49" s="133">
        <v>56642.52</v>
      </c>
      <c r="J49" s="134">
        <v>25746.6</v>
      </c>
      <c r="K49" s="134">
        <v>62306.77</v>
      </c>
      <c r="L49" s="135">
        <v>25278.48</v>
      </c>
      <c r="M49" s="135">
        <v>61173.919999999998</v>
      </c>
      <c r="N49" s="77">
        <f t="shared" si="0"/>
        <v>24810.36</v>
      </c>
      <c r="O49" s="78">
        <f t="shared" si="1"/>
        <v>60041.07</v>
      </c>
      <c r="P49" s="11">
        <f t="shared" si="2"/>
        <v>61173.919999999998</v>
      </c>
      <c r="Q49" s="41">
        <f t="shared" si="3"/>
        <v>59990.346692305873</v>
      </c>
      <c r="R49" s="41">
        <f t="shared" si="4"/>
        <v>2997.239372739522</v>
      </c>
      <c r="S49" s="42">
        <f t="shared" si="6"/>
        <v>4.9919819429259368E-2</v>
      </c>
      <c r="T49" s="45">
        <f t="shared" si="5"/>
        <v>60041.07</v>
      </c>
    </row>
    <row r="50" spans="2:20" ht="84" x14ac:dyDescent="0.2">
      <c r="B50" s="9" t="s">
        <v>83</v>
      </c>
      <c r="C50" s="9"/>
      <c r="D50" s="9"/>
      <c r="E50" s="10" t="s">
        <v>78</v>
      </c>
      <c r="F50" s="9" t="s">
        <v>36</v>
      </c>
      <c r="G50" s="9">
        <v>1</v>
      </c>
      <c r="H50" s="133">
        <v>195000</v>
      </c>
      <c r="I50" s="133">
        <v>195000</v>
      </c>
      <c r="J50" s="134">
        <v>214500</v>
      </c>
      <c r="K50" s="134">
        <v>214500</v>
      </c>
      <c r="L50" s="135">
        <v>210600</v>
      </c>
      <c r="M50" s="135">
        <v>210600</v>
      </c>
      <c r="N50" s="77">
        <f t="shared" si="0"/>
        <v>206700</v>
      </c>
      <c r="O50" s="78">
        <f t="shared" si="1"/>
        <v>206700</v>
      </c>
      <c r="P50" s="11">
        <f t="shared" si="2"/>
        <v>210600</v>
      </c>
      <c r="Q50" s="41">
        <f t="shared" si="3"/>
        <v>206525.3776165747</v>
      </c>
      <c r="R50" s="41">
        <f t="shared" si="4"/>
        <v>10318.430113151904</v>
      </c>
      <c r="S50" s="42">
        <f t="shared" si="6"/>
        <v>4.9919836057822471E-2</v>
      </c>
      <c r="T50" s="45">
        <f t="shared" si="5"/>
        <v>206700</v>
      </c>
    </row>
    <row r="51" spans="2:20" ht="48" x14ac:dyDescent="0.2">
      <c r="B51" s="9" t="s">
        <v>84</v>
      </c>
      <c r="C51" s="9"/>
      <c r="D51" s="9"/>
      <c r="E51" s="10" t="s">
        <v>66</v>
      </c>
      <c r="F51" s="9" t="s">
        <v>39</v>
      </c>
      <c r="G51" s="9">
        <f>G49</f>
        <v>2.4200000000000004</v>
      </c>
      <c r="H51" s="133">
        <v>150469</v>
      </c>
      <c r="I51" s="133">
        <v>364134.98</v>
      </c>
      <c r="J51" s="134">
        <v>165515.9</v>
      </c>
      <c r="K51" s="134">
        <v>400548.48</v>
      </c>
      <c r="L51" s="135">
        <v>162506.51999999999</v>
      </c>
      <c r="M51" s="135">
        <v>393265.78</v>
      </c>
      <c r="N51" s="77">
        <f t="shared" si="0"/>
        <v>159497.14000000001</v>
      </c>
      <c r="O51" s="78">
        <f t="shared" si="1"/>
        <v>385983.08</v>
      </c>
      <c r="P51" s="11">
        <f t="shared" si="2"/>
        <v>393265.78</v>
      </c>
      <c r="Q51" s="41">
        <f t="shared" si="3"/>
        <v>385656.99730799283</v>
      </c>
      <c r="R51" s="41">
        <f t="shared" si="4"/>
        <v>19268.213073090101</v>
      </c>
      <c r="S51" s="42">
        <f t="shared" si="6"/>
        <v>4.9919838644455865E-2</v>
      </c>
      <c r="T51" s="45">
        <f t="shared" si="5"/>
        <v>385983.08</v>
      </c>
    </row>
    <row r="52" spans="2:20" x14ac:dyDescent="0.2">
      <c r="B52" s="101"/>
      <c r="C52" s="101"/>
      <c r="D52" s="101"/>
      <c r="E52" s="102" t="s">
        <v>93</v>
      </c>
      <c r="F52" s="103"/>
      <c r="G52" s="103"/>
      <c r="H52" s="119"/>
      <c r="I52" s="119"/>
      <c r="J52" s="119"/>
      <c r="K52" s="119"/>
      <c r="L52" s="119"/>
      <c r="M52" s="119"/>
      <c r="N52" s="119"/>
      <c r="O52" s="139"/>
      <c r="P52" s="11"/>
      <c r="Q52" s="41"/>
      <c r="R52" s="41"/>
      <c r="S52" s="42"/>
      <c r="T52" s="45"/>
    </row>
    <row r="53" spans="2:20" ht="60" x14ac:dyDescent="0.2">
      <c r="B53" s="9" t="s">
        <v>85</v>
      </c>
      <c r="C53" s="9"/>
      <c r="D53" s="9"/>
      <c r="E53" s="10" t="s">
        <v>63</v>
      </c>
      <c r="F53" s="9" t="s">
        <v>39</v>
      </c>
      <c r="G53" s="9">
        <f>1.1*2.3</f>
        <v>2.5299999999999998</v>
      </c>
      <c r="H53" s="133">
        <v>23406</v>
      </c>
      <c r="I53" s="133">
        <v>59217.18</v>
      </c>
      <c r="J53" s="134">
        <v>25746.6</v>
      </c>
      <c r="K53" s="134">
        <v>65138.9</v>
      </c>
      <c r="L53" s="135">
        <v>25278.48</v>
      </c>
      <c r="M53" s="135">
        <v>63954.55</v>
      </c>
      <c r="N53" s="77">
        <f t="shared" si="0"/>
        <v>24810.36</v>
      </c>
      <c r="O53" s="78">
        <f t="shared" si="1"/>
        <v>62770.21</v>
      </c>
      <c r="P53" s="11">
        <f t="shared" si="2"/>
        <v>63954.55</v>
      </c>
      <c r="Q53" s="41">
        <f t="shared" si="3"/>
        <v>62717.181054302542</v>
      </c>
      <c r="R53" s="41">
        <f t="shared" si="4"/>
        <v>3133.4785568597731</v>
      </c>
      <c r="S53" s="42">
        <f t="shared" si="6"/>
        <v>4.9919835489793216E-2</v>
      </c>
      <c r="T53" s="45">
        <f t="shared" si="5"/>
        <v>62770.21</v>
      </c>
    </row>
    <row r="54" spans="2:20" ht="84" x14ac:dyDescent="0.2">
      <c r="B54" s="9" t="s">
        <v>86</v>
      </c>
      <c r="C54" s="9"/>
      <c r="D54" s="9"/>
      <c r="E54" s="10" t="s">
        <v>78</v>
      </c>
      <c r="F54" s="9" t="s">
        <v>36</v>
      </c>
      <c r="G54" s="9">
        <v>1</v>
      </c>
      <c r="H54" s="133">
        <v>195000</v>
      </c>
      <c r="I54" s="133">
        <v>195000</v>
      </c>
      <c r="J54" s="134">
        <v>214500</v>
      </c>
      <c r="K54" s="134">
        <v>214500</v>
      </c>
      <c r="L54" s="135">
        <v>210600</v>
      </c>
      <c r="M54" s="135">
        <v>210600</v>
      </c>
      <c r="N54" s="77">
        <f t="shared" si="0"/>
        <v>206700</v>
      </c>
      <c r="O54" s="78">
        <f t="shared" si="1"/>
        <v>206700</v>
      </c>
      <c r="P54" s="11">
        <f t="shared" si="2"/>
        <v>210600</v>
      </c>
      <c r="Q54" s="41">
        <f t="shared" si="3"/>
        <v>206525.3776165747</v>
      </c>
      <c r="R54" s="41">
        <f t="shared" si="4"/>
        <v>10318.430113151904</v>
      </c>
      <c r="S54" s="42">
        <f t="shared" si="6"/>
        <v>4.9919836057822471E-2</v>
      </c>
      <c r="T54" s="45">
        <f t="shared" si="5"/>
        <v>206700</v>
      </c>
    </row>
    <row r="55" spans="2:20" ht="48" x14ac:dyDescent="0.2">
      <c r="B55" s="9" t="s">
        <v>87</v>
      </c>
      <c r="C55" s="9"/>
      <c r="D55" s="9"/>
      <c r="E55" s="10" t="s">
        <v>66</v>
      </c>
      <c r="F55" s="9" t="s">
        <v>39</v>
      </c>
      <c r="G55" s="9">
        <f>G53</f>
        <v>2.5299999999999998</v>
      </c>
      <c r="H55" s="133">
        <v>150469</v>
      </c>
      <c r="I55" s="133">
        <v>380686.57</v>
      </c>
      <c r="J55" s="134">
        <v>165515.9</v>
      </c>
      <c r="K55" s="134">
        <v>418755.23</v>
      </c>
      <c r="L55" s="135">
        <v>162506.51999999999</v>
      </c>
      <c r="M55" s="135">
        <v>411141.5</v>
      </c>
      <c r="N55" s="77">
        <f t="shared" si="0"/>
        <v>159497.14000000001</v>
      </c>
      <c r="O55" s="78">
        <f t="shared" si="1"/>
        <v>403527.76666666666</v>
      </c>
      <c r="P55" s="11">
        <f t="shared" si="2"/>
        <v>411141.5</v>
      </c>
      <c r="Q55" s="41">
        <f t="shared" si="3"/>
        <v>403186.86200525897</v>
      </c>
      <c r="R55" s="41">
        <f t="shared" si="4"/>
        <v>20144.041799058919</v>
      </c>
      <c r="S55" s="42">
        <f t="shared" si="6"/>
        <v>4.9919840623257203E-2</v>
      </c>
      <c r="T55" s="45">
        <f t="shared" si="5"/>
        <v>403527.76666666666</v>
      </c>
    </row>
    <row r="56" spans="2:20" ht="84" x14ac:dyDescent="0.2">
      <c r="B56" s="9" t="s">
        <v>89</v>
      </c>
      <c r="C56" s="9"/>
      <c r="D56" s="9"/>
      <c r="E56" s="10" t="s">
        <v>96</v>
      </c>
      <c r="F56" s="9" t="s">
        <v>15</v>
      </c>
      <c r="G56" s="9">
        <v>1</v>
      </c>
      <c r="H56" s="133">
        <v>298179</v>
      </c>
      <c r="I56" s="133">
        <v>298179</v>
      </c>
      <c r="J56" s="134">
        <v>327996.90000000002</v>
      </c>
      <c r="K56" s="134">
        <v>327996.90000000002</v>
      </c>
      <c r="L56" s="135">
        <v>322033.32</v>
      </c>
      <c r="M56" s="135">
        <v>322033.32</v>
      </c>
      <c r="N56" s="77">
        <f t="shared" si="0"/>
        <v>316069.74</v>
      </c>
      <c r="O56" s="78">
        <f t="shared" si="1"/>
        <v>316069.74</v>
      </c>
      <c r="P56" s="11">
        <f t="shared" si="2"/>
        <v>322033.32</v>
      </c>
      <c r="Q56" s="41">
        <f t="shared" si="3"/>
        <v>315802.72088375705</v>
      </c>
      <c r="R56" s="41">
        <f t="shared" si="4"/>
        <v>15778.149603638582</v>
      </c>
      <c r="S56" s="42">
        <f t="shared" si="6"/>
        <v>4.9919836057822499E-2</v>
      </c>
      <c r="T56" s="45">
        <f t="shared" si="5"/>
        <v>316069.74</v>
      </c>
    </row>
    <row r="57" spans="2:20" x14ac:dyDescent="0.2">
      <c r="B57" s="101"/>
      <c r="C57" s="101"/>
      <c r="D57" s="101"/>
      <c r="E57" s="102" t="s">
        <v>97</v>
      </c>
      <c r="F57" s="103"/>
      <c r="G57" s="103"/>
      <c r="H57" s="119"/>
      <c r="I57" s="119"/>
      <c r="J57" s="119"/>
      <c r="K57" s="119"/>
      <c r="L57" s="119"/>
      <c r="M57" s="119"/>
      <c r="N57" s="119"/>
      <c r="O57" s="139"/>
      <c r="P57" s="11"/>
      <c r="Q57" s="41"/>
      <c r="R57" s="41"/>
      <c r="S57" s="42"/>
      <c r="T57" s="45"/>
    </row>
    <row r="58" spans="2:20" ht="72" x14ac:dyDescent="0.2">
      <c r="B58" s="9" t="s">
        <v>90</v>
      </c>
      <c r="C58" s="9"/>
      <c r="D58" s="9"/>
      <c r="E58" s="10" t="s">
        <v>98</v>
      </c>
      <c r="F58" s="9" t="s">
        <v>39</v>
      </c>
      <c r="G58" s="9">
        <v>95</v>
      </c>
      <c r="H58" s="133">
        <v>145000</v>
      </c>
      <c r="I58" s="133">
        <v>13775000</v>
      </c>
      <c r="J58" s="134">
        <v>159500</v>
      </c>
      <c r="K58" s="134">
        <v>15152500</v>
      </c>
      <c r="L58" s="135">
        <v>156600</v>
      </c>
      <c r="M58" s="135">
        <v>14877000</v>
      </c>
      <c r="N58" s="77">
        <f t="shared" si="0"/>
        <v>153700</v>
      </c>
      <c r="O58" s="78">
        <f t="shared" si="1"/>
        <v>14601500</v>
      </c>
      <c r="P58" s="11">
        <f t="shared" si="2"/>
        <v>14877000</v>
      </c>
      <c r="Q58" s="41">
        <f t="shared" si="3"/>
        <v>14589164.495734954</v>
      </c>
      <c r="R58" s="41">
        <f t="shared" si="4"/>
        <v>728904.48619829467</v>
      </c>
      <c r="S58" s="42">
        <f t="shared" si="6"/>
        <v>4.9919836057822464E-2</v>
      </c>
      <c r="T58" s="45">
        <f t="shared" si="5"/>
        <v>14601500</v>
      </c>
    </row>
    <row r="59" spans="2:20" ht="72" x14ac:dyDescent="0.2">
      <c r="B59" s="9" t="s">
        <v>91</v>
      </c>
      <c r="C59" s="9"/>
      <c r="D59" s="9"/>
      <c r="E59" s="19" t="s">
        <v>99</v>
      </c>
      <c r="F59" s="9" t="s">
        <v>36</v>
      </c>
      <c r="G59" s="9">
        <v>200</v>
      </c>
      <c r="H59" s="133">
        <v>25000</v>
      </c>
      <c r="I59" s="133">
        <v>5000000</v>
      </c>
      <c r="J59" s="134">
        <v>27500</v>
      </c>
      <c r="K59" s="134">
        <v>5500000</v>
      </c>
      <c r="L59" s="135">
        <v>27000</v>
      </c>
      <c r="M59" s="135">
        <v>5400000</v>
      </c>
      <c r="N59" s="77">
        <f t="shared" si="0"/>
        <v>26500</v>
      </c>
      <c r="O59" s="78">
        <f t="shared" si="1"/>
        <v>5300000</v>
      </c>
      <c r="P59" s="11">
        <f t="shared" si="2"/>
        <v>5400000</v>
      </c>
      <c r="Q59" s="41">
        <f t="shared" si="3"/>
        <v>5295522.5029890947</v>
      </c>
      <c r="R59" s="41">
        <f t="shared" si="4"/>
        <v>264575.13110645907</v>
      </c>
      <c r="S59" s="42">
        <f t="shared" si="6"/>
        <v>4.9919836057822464E-2</v>
      </c>
      <c r="T59" s="45">
        <f t="shared" si="5"/>
        <v>5300000</v>
      </c>
    </row>
    <row r="60" spans="2:20" ht="59.25" customHeight="1" x14ac:dyDescent="0.2">
      <c r="B60" s="9" t="s">
        <v>92</v>
      </c>
      <c r="C60" s="9"/>
      <c r="D60" s="9"/>
      <c r="E60" s="19" t="s">
        <v>100</v>
      </c>
      <c r="F60" s="9" t="s">
        <v>39</v>
      </c>
      <c r="G60" s="9">
        <v>30</v>
      </c>
      <c r="H60" s="133">
        <v>78633</v>
      </c>
      <c r="I60" s="133">
        <v>2358990</v>
      </c>
      <c r="J60" s="134">
        <v>86496.3</v>
      </c>
      <c r="K60" s="134">
        <v>2594889</v>
      </c>
      <c r="L60" s="135">
        <v>84923.64</v>
      </c>
      <c r="M60" s="135">
        <v>2547709.2000000002</v>
      </c>
      <c r="N60" s="77">
        <f t="shared" si="0"/>
        <v>83350.98</v>
      </c>
      <c r="O60" s="78">
        <f t="shared" si="1"/>
        <v>2500529.4</v>
      </c>
      <c r="P60" s="11">
        <f t="shared" si="2"/>
        <v>2547709.2000000002</v>
      </c>
      <c r="Q60" s="41">
        <f t="shared" si="3"/>
        <v>2498416.9258652488</v>
      </c>
      <c r="R60" s="41">
        <f t="shared" si="4"/>
        <v>124826.0177057652</v>
      </c>
      <c r="S60" s="42">
        <f t="shared" si="6"/>
        <v>4.9919836057822478E-2</v>
      </c>
      <c r="T60" s="45">
        <f t="shared" si="5"/>
        <v>2500529.4</v>
      </c>
    </row>
    <row r="61" spans="2:20" ht="72" x14ac:dyDescent="0.2">
      <c r="B61" s="9" t="s">
        <v>94</v>
      </c>
      <c r="C61" s="9"/>
      <c r="D61" s="9"/>
      <c r="E61" s="19" t="s">
        <v>101</v>
      </c>
      <c r="F61" s="9" t="s">
        <v>10</v>
      </c>
      <c r="G61" s="9">
        <f>1.5*10</f>
        <v>15</v>
      </c>
      <c r="H61" s="133">
        <v>116747</v>
      </c>
      <c r="I61" s="133">
        <v>1751205</v>
      </c>
      <c r="J61" s="134">
        <v>128421.7</v>
      </c>
      <c r="K61" s="134">
        <v>1926325.5</v>
      </c>
      <c r="L61" s="135">
        <v>126086.76</v>
      </c>
      <c r="M61" s="135">
        <v>1891301.4</v>
      </c>
      <c r="N61" s="77">
        <f t="shared" si="0"/>
        <v>123751.82</v>
      </c>
      <c r="O61" s="78">
        <f t="shared" si="1"/>
        <v>1856277.3</v>
      </c>
      <c r="P61" s="11">
        <f t="shared" si="2"/>
        <v>1891301.4</v>
      </c>
      <c r="Q61" s="41">
        <f t="shared" si="3"/>
        <v>1854709.0969694033</v>
      </c>
      <c r="R61" s="41">
        <f t="shared" si="4"/>
        <v>92665.058493857301</v>
      </c>
      <c r="S61" s="42">
        <f t="shared" si="6"/>
        <v>4.991983605782245E-2</v>
      </c>
      <c r="T61" s="45">
        <f t="shared" si="5"/>
        <v>1856277.3</v>
      </c>
    </row>
    <row r="62" spans="2:20" ht="72" x14ac:dyDescent="0.2">
      <c r="B62" s="9" t="s">
        <v>95</v>
      </c>
      <c r="C62" s="9"/>
      <c r="D62" s="9"/>
      <c r="E62" s="10" t="s">
        <v>102</v>
      </c>
      <c r="F62" s="9" t="s">
        <v>10</v>
      </c>
      <c r="G62" s="9">
        <v>15</v>
      </c>
      <c r="H62" s="133">
        <v>67404</v>
      </c>
      <c r="I62" s="133">
        <v>1011060</v>
      </c>
      <c r="J62" s="134">
        <v>74144.399999999994</v>
      </c>
      <c r="K62" s="134">
        <v>1112166</v>
      </c>
      <c r="L62" s="135">
        <v>72796.320000000007</v>
      </c>
      <c r="M62" s="135">
        <v>1091944.8</v>
      </c>
      <c r="N62" s="77">
        <f t="shared" si="0"/>
        <v>71448.240000000005</v>
      </c>
      <c r="O62" s="78">
        <f t="shared" si="1"/>
        <v>1071723.5999999999</v>
      </c>
      <c r="P62" s="11">
        <f t="shared" si="2"/>
        <v>1091944.8</v>
      </c>
      <c r="Q62" s="41">
        <f t="shared" si="3"/>
        <v>1070818.1963744308</v>
      </c>
      <c r="R62" s="41">
        <f t="shared" si="4"/>
        <v>53500.266411299301</v>
      </c>
      <c r="S62" s="42">
        <f t="shared" si="6"/>
        <v>4.9919836057822471E-2</v>
      </c>
      <c r="T62" s="45">
        <f t="shared" si="5"/>
        <v>1071723.5999999999</v>
      </c>
    </row>
    <row r="63" spans="2:20" x14ac:dyDescent="0.2">
      <c r="B63" s="20" t="s">
        <v>103</v>
      </c>
      <c r="C63" s="20"/>
      <c r="D63" s="20"/>
      <c r="E63" s="21" t="s">
        <v>225</v>
      </c>
      <c r="F63" s="22"/>
      <c r="G63" s="22"/>
      <c r="H63" s="118"/>
      <c r="I63" s="118"/>
      <c r="J63" s="118"/>
      <c r="K63" s="118"/>
      <c r="L63" s="118"/>
      <c r="M63" s="118"/>
      <c r="N63" s="118"/>
      <c r="O63" s="138"/>
      <c r="P63" s="11"/>
      <c r="Q63" s="41"/>
      <c r="R63" s="41"/>
      <c r="S63" s="42"/>
      <c r="T63" s="45"/>
    </row>
    <row r="64" spans="2:20" x14ac:dyDescent="0.2">
      <c r="B64" s="105"/>
      <c r="C64" s="105"/>
      <c r="D64" s="105"/>
      <c r="E64" s="102" t="s">
        <v>117</v>
      </c>
      <c r="F64" s="106"/>
      <c r="G64" s="106"/>
      <c r="H64" s="140"/>
      <c r="I64" s="119"/>
      <c r="J64" s="140"/>
      <c r="K64" s="119"/>
      <c r="L64" s="140"/>
      <c r="M64" s="119"/>
      <c r="N64" s="119"/>
      <c r="O64" s="139"/>
      <c r="P64" s="11"/>
      <c r="Q64" s="41"/>
      <c r="R64" s="41"/>
      <c r="S64" s="42"/>
      <c r="T64" s="45"/>
    </row>
    <row r="65" spans="2:20" ht="24" x14ac:dyDescent="0.2">
      <c r="B65" s="24" t="s">
        <v>104</v>
      </c>
      <c r="C65" s="24"/>
      <c r="D65" s="24"/>
      <c r="E65" s="10" t="s">
        <v>119</v>
      </c>
      <c r="F65" s="24" t="s">
        <v>39</v>
      </c>
      <c r="G65" s="24">
        <v>4.5</v>
      </c>
      <c r="H65" s="133">
        <v>29834</v>
      </c>
      <c r="I65" s="133">
        <v>134253</v>
      </c>
      <c r="J65" s="134">
        <v>32817.4</v>
      </c>
      <c r="K65" s="134">
        <v>147678.29999999999</v>
      </c>
      <c r="L65" s="135">
        <v>32220.720000000001</v>
      </c>
      <c r="M65" s="135">
        <v>144993.24</v>
      </c>
      <c r="N65" s="77">
        <f t="shared" si="0"/>
        <v>31624.039999999997</v>
      </c>
      <c r="O65" s="78">
        <f t="shared" si="1"/>
        <v>142308.18</v>
      </c>
      <c r="P65" s="11">
        <f t="shared" si="2"/>
        <v>144993.24</v>
      </c>
      <c r="Q65" s="41">
        <f t="shared" si="3"/>
        <v>142187.95651875896</v>
      </c>
      <c r="R65" s="41">
        <f t="shared" si="4"/>
        <v>7104.0010152870836</v>
      </c>
      <c r="S65" s="42">
        <f t="shared" si="6"/>
        <v>4.9919836057822423E-2</v>
      </c>
      <c r="T65" s="45">
        <f t="shared" si="5"/>
        <v>142308.18</v>
      </c>
    </row>
    <row r="66" spans="2:20" ht="24" x14ac:dyDescent="0.2">
      <c r="B66" s="24" t="s">
        <v>105</v>
      </c>
      <c r="C66" s="24"/>
      <c r="D66" s="24"/>
      <c r="E66" s="10" t="s">
        <v>121</v>
      </c>
      <c r="F66" s="24" t="s">
        <v>39</v>
      </c>
      <c r="G66" s="24">
        <v>4.5</v>
      </c>
      <c r="H66" s="133">
        <v>29834</v>
      </c>
      <c r="I66" s="133">
        <v>134253</v>
      </c>
      <c r="J66" s="134">
        <v>32817.4</v>
      </c>
      <c r="K66" s="134">
        <v>147678.29999999999</v>
      </c>
      <c r="L66" s="135">
        <v>32220.720000000001</v>
      </c>
      <c r="M66" s="135">
        <v>144993.24</v>
      </c>
      <c r="N66" s="77">
        <f t="shared" si="0"/>
        <v>31624.039999999997</v>
      </c>
      <c r="O66" s="78">
        <f t="shared" si="1"/>
        <v>142308.18</v>
      </c>
      <c r="P66" s="11">
        <f t="shared" si="2"/>
        <v>144993.24</v>
      </c>
      <c r="Q66" s="41">
        <f t="shared" si="3"/>
        <v>142187.95651875896</v>
      </c>
      <c r="R66" s="41">
        <f t="shared" si="4"/>
        <v>7104.0010152870836</v>
      </c>
      <c r="S66" s="42">
        <f t="shared" si="6"/>
        <v>4.9919836057822423E-2</v>
      </c>
      <c r="T66" s="45">
        <f t="shared" si="5"/>
        <v>142308.18</v>
      </c>
    </row>
    <row r="67" spans="2:20" ht="24" x14ac:dyDescent="0.2">
      <c r="B67" s="24" t="s">
        <v>106</v>
      </c>
      <c r="C67" s="24"/>
      <c r="D67" s="24"/>
      <c r="E67" s="10" t="s">
        <v>123</v>
      </c>
      <c r="F67" s="24" t="s">
        <v>10</v>
      </c>
      <c r="G67" s="24">
        <v>7.7</v>
      </c>
      <c r="H67" s="141">
        <v>21000</v>
      </c>
      <c r="I67" s="133">
        <v>161700</v>
      </c>
      <c r="J67" s="142">
        <v>23100</v>
      </c>
      <c r="K67" s="134">
        <v>177870</v>
      </c>
      <c r="L67" s="143">
        <v>22680</v>
      </c>
      <c r="M67" s="135">
        <v>174636</v>
      </c>
      <c r="N67" s="77">
        <f t="shared" si="0"/>
        <v>22260</v>
      </c>
      <c r="O67" s="78">
        <f t="shared" si="1"/>
        <v>171402</v>
      </c>
      <c r="P67" s="11">
        <f t="shared" si="2"/>
        <v>174636</v>
      </c>
      <c r="Q67" s="41">
        <f t="shared" si="3"/>
        <v>171257.19774666731</v>
      </c>
      <c r="R67" s="41">
        <f t="shared" si="4"/>
        <v>8556.3597399828868</v>
      </c>
      <c r="S67" s="42">
        <f t="shared" si="6"/>
        <v>4.9919836057822471E-2</v>
      </c>
      <c r="T67" s="45">
        <f t="shared" si="5"/>
        <v>171402</v>
      </c>
    </row>
    <row r="68" spans="2:20" ht="24" x14ac:dyDescent="0.2">
      <c r="B68" s="24" t="s">
        <v>107</v>
      </c>
      <c r="C68" s="24"/>
      <c r="D68" s="24"/>
      <c r="E68" s="10" t="s">
        <v>125</v>
      </c>
      <c r="F68" s="24" t="s">
        <v>36</v>
      </c>
      <c r="G68" s="24">
        <v>1</v>
      </c>
      <c r="H68" s="141">
        <v>150000</v>
      </c>
      <c r="I68" s="133">
        <v>150000</v>
      </c>
      <c r="J68" s="142">
        <v>165000</v>
      </c>
      <c r="K68" s="134">
        <v>165000</v>
      </c>
      <c r="L68" s="143">
        <v>162000</v>
      </c>
      <c r="M68" s="135">
        <v>162000</v>
      </c>
      <c r="N68" s="77">
        <f t="shared" si="0"/>
        <v>159000</v>
      </c>
      <c r="O68" s="78">
        <f t="shared" si="1"/>
        <v>159000</v>
      </c>
      <c r="P68" s="11">
        <f t="shared" si="2"/>
        <v>162000</v>
      </c>
      <c r="Q68" s="41">
        <f t="shared" si="3"/>
        <v>158865.67508967285</v>
      </c>
      <c r="R68" s="41">
        <f t="shared" si="4"/>
        <v>7937.2539331937714</v>
      </c>
      <c r="S68" s="42">
        <f t="shared" si="6"/>
        <v>4.9919836057822464E-2</v>
      </c>
      <c r="T68" s="45">
        <f t="shared" si="5"/>
        <v>159000</v>
      </c>
    </row>
    <row r="69" spans="2:20" ht="24" x14ac:dyDescent="0.2">
      <c r="B69" s="24" t="s">
        <v>108</v>
      </c>
      <c r="C69" s="24"/>
      <c r="D69" s="24"/>
      <c r="E69" s="19" t="s">
        <v>127</v>
      </c>
      <c r="F69" s="24" t="s">
        <v>36</v>
      </c>
      <c r="G69" s="24">
        <v>4</v>
      </c>
      <c r="H69" s="141">
        <v>50000</v>
      </c>
      <c r="I69" s="133">
        <v>200000</v>
      </c>
      <c r="J69" s="142">
        <v>55000</v>
      </c>
      <c r="K69" s="134">
        <v>220000</v>
      </c>
      <c r="L69" s="143">
        <v>54000</v>
      </c>
      <c r="M69" s="135">
        <v>216000</v>
      </c>
      <c r="N69" s="77">
        <f t="shared" si="0"/>
        <v>53000</v>
      </c>
      <c r="O69" s="78">
        <f t="shared" si="1"/>
        <v>212000</v>
      </c>
      <c r="P69" s="11">
        <f t="shared" si="2"/>
        <v>216000</v>
      </c>
      <c r="Q69" s="41">
        <f t="shared" si="3"/>
        <v>211820.9001195638</v>
      </c>
      <c r="R69" s="41">
        <f t="shared" si="4"/>
        <v>10583.005244258362</v>
      </c>
      <c r="S69" s="42">
        <f t="shared" si="6"/>
        <v>4.9919836057822464E-2</v>
      </c>
      <c r="T69" s="45">
        <f t="shared" si="5"/>
        <v>212000</v>
      </c>
    </row>
    <row r="70" spans="2:20" ht="36" x14ac:dyDescent="0.2">
      <c r="B70" s="24" t="s">
        <v>109</v>
      </c>
      <c r="C70" s="24"/>
      <c r="D70" s="24"/>
      <c r="E70" s="10" t="s">
        <v>129</v>
      </c>
      <c r="F70" s="24" t="s">
        <v>39</v>
      </c>
      <c r="G70" s="24">
        <v>6</v>
      </c>
      <c r="H70" s="133">
        <v>51884</v>
      </c>
      <c r="I70" s="133">
        <v>311304</v>
      </c>
      <c r="J70" s="134">
        <v>57072.4</v>
      </c>
      <c r="K70" s="134">
        <v>342434.4</v>
      </c>
      <c r="L70" s="135">
        <v>56034.720000000001</v>
      </c>
      <c r="M70" s="135">
        <v>336208.32</v>
      </c>
      <c r="N70" s="77">
        <f t="shared" ref="N70:N115" si="8">AVERAGE(H70,J70,L70)</f>
        <v>54997.04</v>
      </c>
      <c r="O70" s="78">
        <f t="shared" ref="O70:O88" si="9">AVERAGE(I70,K70,M70)</f>
        <v>329982.24</v>
      </c>
      <c r="P70" s="11">
        <f t="shared" ref="P70:P88" si="10">MEDIAN(I70,K70,M70)</f>
        <v>336208.32</v>
      </c>
      <c r="Q70" s="41">
        <f t="shared" ref="Q70:Q88" si="11">GEOMEAN(I70,K70,M70)</f>
        <v>329703.4674541034</v>
      </c>
      <c r="R70" s="41">
        <f t="shared" ref="R70:R88" si="12">STDEVA(I70,K70,M70)</f>
        <v>16472.659322793035</v>
      </c>
      <c r="S70" s="42">
        <f t="shared" ref="S70:S115" si="13">+R70/O70</f>
        <v>4.9919836057822492E-2</v>
      </c>
      <c r="T70" s="45">
        <f t="shared" ref="T70:T88" si="14">AVERAGE(I70,K70,M70)</f>
        <v>329982.24</v>
      </c>
    </row>
    <row r="71" spans="2:20" ht="33" customHeight="1" x14ac:dyDescent="0.2">
      <c r="B71" s="24" t="s">
        <v>110</v>
      </c>
      <c r="C71" s="24"/>
      <c r="D71" s="24"/>
      <c r="E71" s="10" t="s">
        <v>131</v>
      </c>
      <c r="F71" s="24" t="s">
        <v>39</v>
      </c>
      <c r="G71" s="24">
        <v>13</v>
      </c>
      <c r="H71" s="141">
        <v>85000</v>
      </c>
      <c r="I71" s="133">
        <v>1105000</v>
      </c>
      <c r="J71" s="142">
        <v>93500</v>
      </c>
      <c r="K71" s="134">
        <v>1215500</v>
      </c>
      <c r="L71" s="143">
        <v>91800</v>
      </c>
      <c r="M71" s="135">
        <v>1193400</v>
      </c>
      <c r="N71" s="77">
        <f t="shared" si="8"/>
        <v>90100</v>
      </c>
      <c r="O71" s="78">
        <f t="shared" si="9"/>
        <v>1171300</v>
      </c>
      <c r="P71" s="11">
        <f t="shared" si="10"/>
        <v>1193400</v>
      </c>
      <c r="Q71" s="41">
        <f t="shared" si="11"/>
        <v>1170310.4731605898</v>
      </c>
      <c r="R71" s="41">
        <f t="shared" si="12"/>
        <v>58471.103974527454</v>
      </c>
      <c r="S71" s="42">
        <f t="shared" si="13"/>
        <v>4.9919836057822464E-2</v>
      </c>
      <c r="T71" s="45">
        <f t="shared" si="14"/>
        <v>1171300</v>
      </c>
    </row>
    <row r="72" spans="2:20" ht="36" x14ac:dyDescent="0.2">
      <c r="B72" s="24" t="s">
        <v>111</v>
      </c>
      <c r="C72" s="24"/>
      <c r="D72" s="24"/>
      <c r="E72" s="10" t="s">
        <v>133</v>
      </c>
      <c r="F72" s="24" t="s">
        <v>36</v>
      </c>
      <c r="G72" s="24">
        <v>1</v>
      </c>
      <c r="H72" s="141">
        <v>96250</v>
      </c>
      <c r="I72" s="133">
        <v>96250</v>
      </c>
      <c r="J72" s="142">
        <v>105875</v>
      </c>
      <c r="K72" s="134">
        <v>105875</v>
      </c>
      <c r="L72" s="143">
        <v>103950</v>
      </c>
      <c r="M72" s="135">
        <v>103950</v>
      </c>
      <c r="N72" s="77">
        <f t="shared" si="8"/>
        <v>102025</v>
      </c>
      <c r="O72" s="78">
        <f t="shared" si="9"/>
        <v>102025</v>
      </c>
      <c r="P72" s="11">
        <f t="shared" si="10"/>
        <v>103950</v>
      </c>
      <c r="Q72" s="41">
        <f t="shared" si="11"/>
        <v>101938.80818254006</v>
      </c>
      <c r="R72" s="41">
        <f t="shared" si="12"/>
        <v>5093.0712737993372</v>
      </c>
      <c r="S72" s="42">
        <f t="shared" si="13"/>
        <v>4.9919836057822464E-2</v>
      </c>
      <c r="T72" s="45">
        <f t="shared" si="14"/>
        <v>102025</v>
      </c>
    </row>
    <row r="73" spans="2:20" ht="36" x14ac:dyDescent="0.2">
      <c r="B73" s="24" t="s">
        <v>112</v>
      </c>
      <c r="C73" s="24"/>
      <c r="D73" s="24"/>
      <c r="E73" s="10" t="s">
        <v>135</v>
      </c>
      <c r="F73" s="24" t="s">
        <v>36</v>
      </c>
      <c r="G73" s="24">
        <v>1</v>
      </c>
      <c r="H73" s="141">
        <v>119709</v>
      </c>
      <c r="I73" s="133">
        <v>119709</v>
      </c>
      <c r="J73" s="142">
        <v>131679.9</v>
      </c>
      <c r="K73" s="134">
        <v>131679.9</v>
      </c>
      <c r="L73" s="143">
        <v>129285.72</v>
      </c>
      <c r="M73" s="135">
        <v>129285.72</v>
      </c>
      <c r="N73" s="77">
        <f t="shared" si="8"/>
        <v>126891.54</v>
      </c>
      <c r="O73" s="78">
        <f t="shared" si="9"/>
        <v>126891.54</v>
      </c>
      <c r="P73" s="11">
        <f t="shared" si="10"/>
        <v>129285.72</v>
      </c>
      <c r="Q73" s="41">
        <f t="shared" si="11"/>
        <v>126784.34066206429</v>
      </c>
      <c r="R73" s="41">
        <f t="shared" si="12"/>
        <v>6334.4048739246191</v>
      </c>
      <c r="S73" s="42">
        <f t="shared" si="13"/>
        <v>4.991983605782245E-2</v>
      </c>
      <c r="T73" s="45">
        <f t="shared" si="14"/>
        <v>126891.54</v>
      </c>
    </row>
    <row r="74" spans="2:20" ht="36" x14ac:dyDescent="0.2">
      <c r="B74" s="24" t="s">
        <v>113</v>
      </c>
      <c r="C74" s="24"/>
      <c r="D74" s="24"/>
      <c r="E74" s="10" t="s">
        <v>137</v>
      </c>
      <c r="F74" s="24" t="s">
        <v>36</v>
      </c>
      <c r="G74" s="24">
        <v>1</v>
      </c>
      <c r="H74" s="141">
        <v>140078</v>
      </c>
      <c r="I74" s="133">
        <v>140078</v>
      </c>
      <c r="J74" s="142">
        <v>154085.79999999999</v>
      </c>
      <c r="K74" s="134">
        <v>154085.79999999999</v>
      </c>
      <c r="L74" s="143">
        <v>151284.24</v>
      </c>
      <c r="M74" s="135">
        <v>151284.24</v>
      </c>
      <c r="N74" s="77">
        <f t="shared" si="8"/>
        <v>148482.68</v>
      </c>
      <c r="O74" s="78">
        <f t="shared" si="9"/>
        <v>148482.68</v>
      </c>
      <c r="P74" s="11">
        <f t="shared" si="10"/>
        <v>151284.24</v>
      </c>
      <c r="Q74" s="41">
        <f t="shared" si="11"/>
        <v>148357.24023474127</v>
      </c>
      <c r="R74" s="41">
        <f t="shared" si="12"/>
        <v>7412.2310430261086</v>
      </c>
      <c r="S74" s="42">
        <f t="shared" si="13"/>
        <v>4.991983605782243E-2</v>
      </c>
      <c r="T74" s="45">
        <f t="shared" si="14"/>
        <v>148482.68</v>
      </c>
    </row>
    <row r="75" spans="2:20" ht="48" x14ac:dyDescent="0.2">
      <c r="B75" s="24" t="s">
        <v>114</v>
      </c>
      <c r="C75" s="24"/>
      <c r="D75" s="24"/>
      <c r="E75" s="10" t="s">
        <v>139</v>
      </c>
      <c r="F75" s="24" t="s">
        <v>39</v>
      </c>
      <c r="G75" s="24">
        <v>16</v>
      </c>
      <c r="H75" s="141">
        <v>168000</v>
      </c>
      <c r="I75" s="133">
        <v>2688000</v>
      </c>
      <c r="J75" s="142">
        <v>184800</v>
      </c>
      <c r="K75" s="134">
        <v>2956800</v>
      </c>
      <c r="L75" s="143">
        <v>181440</v>
      </c>
      <c r="M75" s="135">
        <v>2903040</v>
      </c>
      <c r="N75" s="77">
        <f t="shared" si="8"/>
        <v>178080</v>
      </c>
      <c r="O75" s="78">
        <f t="shared" si="9"/>
        <v>2849280</v>
      </c>
      <c r="P75" s="11">
        <f t="shared" si="10"/>
        <v>2903040</v>
      </c>
      <c r="Q75" s="41">
        <f t="shared" si="11"/>
        <v>2846872.8976069372</v>
      </c>
      <c r="R75" s="41">
        <f t="shared" si="12"/>
        <v>142235.5904828324</v>
      </c>
      <c r="S75" s="42">
        <f t="shared" si="13"/>
        <v>4.9919836057822464E-2</v>
      </c>
      <c r="T75" s="45">
        <f t="shared" si="14"/>
        <v>2849280</v>
      </c>
    </row>
    <row r="76" spans="2:20" x14ac:dyDescent="0.2">
      <c r="B76" s="24" t="s">
        <v>115</v>
      </c>
      <c r="C76" s="24"/>
      <c r="D76" s="24"/>
      <c r="E76" s="10" t="s">
        <v>141</v>
      </c>
      <c r="F76" s="24" t="s">
        <v>10</v>
      </c>
      <c r="G76" s="24">
        <v>5</v>
      </c>
      <c r="H76" s="141">
        <v>29000</v>
      </c>
      <c r="I76" s="133">
        <v>145000</v>
      </c>
      <c r="J76" s="142">
        <v>31900</v>
      </c>
      <c r="K76" s="134">
        <v>159500</v>
      </c>
      <c r="L76" s="143">
        <v>31320</v>
      </c>
      <c r="M76" s="135">
        <v>156600</v>
      </c>
      <c r="N76" s="77">
        <f t="shared" si="8"/>
        <v>30740</v>
      </c>
      <c r="O76" s="78">
        <f t="shared" si="9"/>
        <v>153700</v>
      </c>
      <c r="P76" s="11">
        <f t="shared" si="10"/>
        <v>156600</v>
      </c>
      <c r="Q76" s="41">
        <f t="shared" si="11"/>
        <v>153570.15258668375</v>
      </c>
      <c r="R76" s="41">
        <f t="shared" si="12"/>
        <v>7672.6788020873128</v>
      </c>
      <c r="S76" s="42">
        <f t="shared" si="13"/>
        <v>4.9919836057822464E-2</v>
      </c>
      <c r="T76" s="45">
        <f t="shared" si="14"/>
        <v>153700</v>
      </c>
    </row>
    <row r="77" spans="2:20" ht="36" x14ac:dyDescent="0.2">
      <c r="B77" s="24" t="s">
        <v>116</v>
      </c>
      <c r="C77" s="24"/>
      <c r="D77" s="24"/>
      <c r="E77" s="10" t="s">
        <v>143</v>
      </c>
      <c r="F77" s="24" t="s">
        <v>39</v>
      </c>
      <c r="G77" s="24">
        <v>4.5</v>
      </c>
      <c r="H77" s="141">
        <v>185000</v>
      </c>
      <c r="I77" s="133">
        <v>832500</v>
      </c>
      <c r="J77" s="142">
        <v>203500</v>
      </c>
      <c r="K77" s="134">
        <v>915750</v>
      </c>
      <c r="L77" s="143">
        <v>199800</v>
      </c>
      <c r="M77" s="135">
        <v>899100</v>
      </c>
      <c r="N77" s="77">
        <f t="shared" si="8"/>
        <v>196100</v>
      </c>
      <c r="O77" s="78">
        <f t="shared" si="9"/>
        <v>882450</v>
      </c>
      <c r="P77" s="11">
        <f t="shared" si="10"/>
        <v>899100</v>
      </c>
      <c r="Q77" s="41">
        <f t="shared" si="11"/>
        <v>881704.4967476842</v>
      </c>
      <c r="R77" s="41">
        <f t="shared" si="12"/>
        <v>44051.759329225431</v>
      </c>
      <c r="S77" s="42">
        <f t="shared" si="13"/>
        <v>4.9919836057822464E-2</v>
      </c>
      <c r="T77" s="45">
        <f t="shared" si="14"/>
        <v>882450</v>
      </c>
    </row>
    <row r="78" spans="2:20" ht="72" x14ac:dyDescent="0.2">
      <c r="B78" s="24" t="s">
        <v>118</v>
      </c>
      <c r="C78" s="24"/>
      <c r="D78" s="24"/>
      <c r="E78" s="10" t="s">
        <v>145</v>
      </c>
      <c r="F78" s="24" t="s">
        <v>36</v>
      </c>
      <c r="G78" s="24">
        <v>1</v>
      </c>
      <c r="H78" s="141">
        <v>950000</v>
      </c>
      <c r="I78" s="133">
        <v>950000</v>
      </c>
      <c r="J78" s="142">
        <v>1045000</v>
      </c>
      <c r="K78" s="134">
        <v>1045000</v>
      </c>
      <c r="L78" s="143">
        <v>1026000</v>
      </c>
      <c r="M78" s="135">
        <v>1026000</v>
      </c>
      <c r="N78" s="77">
        <f t="shared" si="8"/>
        <v>1007000</v>
      </c>
      <c r="O78" s="78">
        <f t="shared" si="9"/>
        <v>1007000</v>
      </c>
      <c r="P78" s="11">
        <f t="shared" si="10"/>
        <v>1026000</v>
      </c>
      <c r="Q78" s="41">
        <f t="shared" si="11"/>
        <v>1006149.2755679279</v>
      </c>
      <c r="R78" s="41">
        <f t="shared" si="12"/>
        <v>50269.274910227221</v>
      </c>
      <c r="S78" s="42">
        <f t="shared" si="13"/>
        <v>4.9919836057822464E-2</v>
      </c>
      <c r="T78" s="45">
        <f t="shared" si="14"/>
        <v>1007000</v>
      </c>
    </row>
    <row r="79" spans="2:20" ht="84" x14ac:dyDescent="0.2">
      <c r="B79" s="24" t="s">
        <v>120</v>
      </c>
      <c r="C79" s="24"/>
      <c r="D79" s="24"/>
      <c r="E79" s="10" t="s">
        <v>147</v>
      </c>
      <c r="F79" s="24" t="s">
        <v>36</v>
      </c>
      <c r="G79" s="24">
        <v>1</v>
      </c>
      <c r="H79" s="141">
        <v>790000</v>
      </c>
      <c r="I79" s="133">
        <v>790000</v>
      </c>
      <c r="J79" s="142">
        <v>869000</v>
      </c>
      <c r="K79" s="134">
        <v>869000</v>
      </c>
      <c r="L79" s="143">
        <v>853200</v>
      </c>
      <c r="M79" s="135">
        <v>853200</v>
      </c>
      <c r="N79" s="77">
        <f t="shared" si="8"/>
        <v>837400</v>
      </c>
      <c r="O79" s="78">
        <f t="shared" si="9"/>
        <v>837400</v>
      </c>
      <c r="P79" s="11">
        <f t="shared" si="10"/>
        <v>853200</v>
      </c>
      <c r="Q79" s="41">
        <f t="shared" si="11"/>
        <v>836692.55547227687</v>
      </c>
      <c r="R79" s="41">
        <f t="shared" si="12"/>
        <v>41802.870714820529</v>
      </c>
      <c r="S79" s="42">
        <f t="shared" si="13"/>
        <v>4.9919836057822457E-2</v>
      </c>
      <c r="T79" s="45">
        <f t="shared" si="14"/>
        <v>837400</v>
      </c>
    </row>
    <row r="80" spans="2:20" ht="120" x14ac:dyDescent="0.2">
      <c r="B80" s="24" t="s">
        <v>122</v>
      </c>
      <c r="C80" s="24"/>
      <c r="D80" s="24"/>
      <c r="E80" s="10" t="s">
        <v>149</v>
      </c>
      <c r="F80" s="24" t="s">
        <v>36</v>
      </c>
      <c r="G80" s="24">
        <v>1</v>
      </c>
      <c r="H80" s="141">
        <v>250000</v>
      </c>
      <c r="I80" s="133">
        <v>250000</v>
      </c>
      <c r="J80" s="142">
        <v>275000</v>
      </c>
      <c r="K80" s="134">
        <v>275000</v>
      </c>
      <c r="L80" s="143">
        <v>270000</v>
      </c>
      <c r="M80" s="135">
        <v>270000</v>
      </c>
      <c r="N80" s="77">
        <f t="shared" si="8"/>
        <v>265000</v>
      </c>
      <c r="O80" s="78">
        <f t="shared" si="9"/>
        <v>265000</v>
      </c>
      <c r="P80" s="11">
        <f t="shared" si="10"/>
        <v>270000</v>
      </c>
      <c r="Q80" s="41">
        <f t="shared" si="11"/>
        <v>264776.12514945475</v>
      </c>
      <c r="R80" s="41">
        <f t="shared" si="12"/>
        <v>13228.756555322952</v>
      </c>
      <c r="S80" s="42">
        <f t="shared" si="13"/>
        <v>4.9919836057822464E-2</v>
      </c>
      <c r="T80" s="45">
        <f t="shared" si="14"/>
        <v>265000</v>
      </c>
    </row>
    <row r="81" spans="2:20" ht="48" x14ac:dyDescent="0.2">
      <c r="B81" s="24" t="s">
        <v>124</v>
      </c>
      <c r="C81" s="24"/>
      <c r="D81" s="24"/>
      <c r="E81" s="10" t="s">
        <v>151</v>
      </c>
      <c r="F81" s="9" t="s">
        <v>39</v>
      </c>
      <c r="G81" s="9">
        <v>1</v>
      </c>
      <c r="H81" s="133">
        <v>325000</v>
      </c>
      <c r="I81" s="133">
        <v>325000</v>
      </c>
      <c r="J81" s="134">
        <v>357500</v>
      </c>
      <c r="K81" s="134">
        <v>357500</v>
      </c>
      <c r="L81" s="135">
        <v>351000</v>
      </c>
      <c r="M81" s="135">
        <v>351000</v>
      </c>
      <c r="N81" s="77">
        <f t="shared" si="8"/>
        <v>344500</v>
      </c>
      <c r="O81" s="78">
        <f t="shared" si="9"/>
        <v>344500</v>
      </c>
      <c r="P81" s="11">
        <f t="shared" si="10"/>
        <v>351000</v>
      </c>
      <c r="Q81" s="41">
        <f t="shared" si="11"/>
        <v>344208.96269429114</v>
      </c>
      <c r="R81" s="41">
        <f t="shared" si="12"/>
        <v>17197.383521919837</v>
      </c>
      <c r="S81" s="42">
        <f t="shared" si="13"/>
        <v>4.9919836057822457E-2</v>
      </c>
      <c r="T81" s="45">
        <f t="shared" si="14"/>
        <v>344500</v>
      </c>
    </row>
    <row r="82" spans="2:20" ht="72" x14ac:dyDescent="0.2">
      <c r="B82" s="24" t="s">
        <v>126</v>
      </c>
      <c r="C82" s="24"/>
      <c r="D82" s="24"/>
      <c r="E82" s="10" t="s">
        <v>153</v>
      </c>
      <c r="F82" s="9" t="s">
        <v>39</v>
      </c>
      <c r="G82" s="9">
        <v>50</v>
      </c>
      <c r="H82" s="133">
        <v>54658</v>
      </c>
      <c r="I82" s="133">
        <v>2732900</v>
      </c>
      <c r="J82" s="134">
        <v>60123.8</v>
      </c>
      <c r="K82" s="134">
        <v>3006190</v>
      </c>
      <c r="L82" s="135">
        <v>59030.64</v>
      </c>
      <c r="M82" s="135">
        <v>2951532</v>
      </c>
      <c r="N82" s="77">
        <f t="shared" si="8"/>
        <v>57937.48</v>
      </c>
      <c r="O82" s="78">
        <f t="shared" si="9"/>
        <v>2896874</v>
      </c>
      <c r="P82" s="11">
        <f t="shared" si="10"/>
        <v>2951532</v>
      </c>
      <c r="Q82" s="41">
        <f t="shared" si="11"/>
        <v>2894426.6896837791</v>
      </c>
      <c r="R82" s="41">
        <f t="shared" si="12"/>
        <v>144611.4751601684</v>
      </c>
      <c r="S82" s="42">
        <f t="shared" si="13"/>
        <v>4.9919836057822464E-2</v>
      </c>
      <c r="T82" s="45">
        <f t="shared" si="14"/>
        <v>2896874</v>
      </c>
    </row>
    <row r="83" spans="2:20" ht="96" x14ac:dyDescent="0.2">
      <c r="B83" s="24" t="s">
        <v>128</v>
      </c>
      <c r="C83" s="24"/>
      <c r="D83" s="24"/>
      <c r="E83" s="10" t="s">
        <v>155</v>
      </c>
      <c r="F83" s="9" t="s">
        <v>36</v>
      </c>
      <c r="G83" s="9">
        <v>1</v>
      </c>
      <c r="H83" s="133">
        <v>2340000</v>
      </c>
      <c r="I83" s="133">
        <v>2340000</v>
      </c>
      <c r="J83" s="134">
        <v>2574000</v>
      </c>
      <c r="K83" s="134">
        <v>2574000</v>
      </c>
      <c r="L83" s="135">
        <v>2527200</v>
      </c>
      <c r="M83" s="135">
        <v>2527200</v>
      </c>
      <c r="N83" s="77">
        <f t="shared" si="8"/>
        <v>2480400</v>
      </c>
      <c r="O83" s="78">
        <f t="shared" si="9"/>
        <v>2480400</v>
      </c>
      <c r="P83" s="11">
        <f t="shared" si="10"/>
        <v>2527200</v>
      </c>
      <c r="Q83" s="41">
        <f t="shared" si="11"/>
        <v>2478304.5313988961</v>
      </c>
      <c r="R83" s="41">
        <f t="shared" si="12"/>
        <v>123821.16135782284</v>
      </c>
      <c r="S83" s="42">
        <f t="shared" si="13"/>
        <v>4.9919836057822464E-2</v>
      </c>
      <c r="T83" s="45">
        <f t="shared" si="14"/>
        <v>2480400</v>
      </c>
    </row>
    <row r="84" spans="2:20" ht="24" x14ac:dyDescent="0.2">
      <c r="B84" s="24" t="s">
        <v>130</v>
      </c>
      <c r="C84" s="24"/>
      <c r="D84" s="24"/>
      <c r="E84" s="10" t="s">
        <v>157</v>
      </c>
      <c r="F84" s="9" t="s">
        <v>36</v>
      </c>
      <c r="G84" s="9">
        <v>1</v>
      </c>
      <c r="H84" s="133">
        <v>45000</v>
      </c>
      <c r="I84" s="133">
        <v>45000</v>
      </c>
      <c r="J84" s="134">
        <v>49500</v>
      </c>
      <c r="K84" s="134">
        <v>49500</v>
      </c>
      <c r="L84" s="135">
        <v>48600</v>
      </c>
      <c r="M84" s="135">
        <v>48600</v>
      </c>
      <c r="N84" s="77">
        <f t="shared" si="8"/>
        <v>47700</v>
      </c>
      <c r="O84" s="78">
        <f t="shared" si="9"/>
        <v>47700</v>
      </c>
      <c r="P84" s="11">
        <f t="shared" si="10"/>
        <v>48600</v>
      </c>
      <c r="Q84" s="41">
        <f t="shared" si="11"/>
        <v>47659.702526901849</v>
      </c>
      <c r="R84" s="41">
        <f t="shared" si="12"/>
        <v>2381.1761799581313</v>
      </c>
      <c r="S84" s="42">
        <f t="shared" si="13"/>
        <v>4.9919836057822457E-2</v>
      </c>
      <c r="T84" s="45">
        <f t="shared" si="14"/>
        <v>47700</v>
      </c>
    </row>
    <row r="85" spans="2:20" ht="36" x14ac:dyDescent="0.2">
      <c r="B85" s="24" t="s">
        <v>132</v>
      </c>
      <c r="C85" s="24"/>
      <c r="D85" s="24"/>
      <c r="E85" s="10" t="s">
        <v>159</v>
      </c>
      <c r="F85" s="9" t="s">
        <v>36</v>
      </c>
      <c r="G85" s="9">
        <v>1</v>
      </c>
      <c r="H85" s="133">
        <v>185000</v>
      </c>
      <c r="I85" s="133">
        <v>185000</v>
      </c>
      <c r="J85" s="134">
        <v>203500</v>
      </c>
      <c r="K85" s="134">
        <v>203500</v>
      </c>
      <c r="L85" s="135">
        <v>199800</v>
      </c>
      <c r="M85" s="135">
        <v>199800</v>
      </c>
      <c r="N85" s="77">
        <f t="shared" si="8"/>
        <v>196100</v>
      </c>
      <c r="O85" s="78">
        <f t="shared" si="9"/>
        <v>196100</v>
      </c>
      <c r="P85" s="11">
        <f t="shared" si="10"/>
        <v>199800</v>
      </c>
      <c r="Q85" s="41">
        <f t="shared" si="11"/>
        <v>195934.3326105965</v>
      </c>
      <c r="R85" s="41">
        <f t="shared" si="12"/>
        <v>9789.279850938985</v>
      </c>
      <c r="S85" s="42">
        <f t="shared" si="13"/>
        <v>4.9919836057822464E-2</v>
      </c>
      <c r="T85" s="45">
        <f t="shared" si="14"/>
        <v>196100</v>
      </c>
    </row>
    <row r="86" spans="2:20" x14ac:dyDescent="0.2">
      <c r="B86" s="24" t="s">
        <v>134</v>
      </c>
      <c r="C86" s="24"/>
      <c r="D86" s="24"/>
      <c r="E86" s="10" t="s">
        <v>161</v>
      </c>
      <c r="F86" s="9" t="s">
        <v>36</v>
      </c>
      <c r="G86" s="9">
        <v>1</v>
      </c>
      <c r="H86" s="133">
        <v>50000</v>
      </c>
      <c r="I86" s="133">
        <v>50000</v>
      </c>
      <c r="J86" s="134">
        <v>55000</v>
      </c>
      <c r="K86" s="134">
        <v>55000</v>
      </c>
      <c r="L86" s="135">
        <v>54000</v>
      </c>
      <c r="M86" s="135">
        <v>54000</v>
      </c>
      <c r="N86" s="77">
        <f t="shared" si="8"/>
        <v>53000</v>
      </c>
      <c r="O86" s="78">
        <f t="shared" si="9"/>
        <v>53000</v>
      </c>
      <c r="P86" s="11">
        <f t="shared" si="10"/>
        <v>54000</v>
      </c>
      <c r="Q86" s="41">
        <f t="shared" si="11"/>
        <v>52955.225029890949</v>
      </c>
      <c r="R86" s="41">
        <f t="shared" si="12"/>
        <v>2645.7513110645905</v>
      </c>
      <c r="S86" s="42">
        <f t="shared" si="13"/>
        <v>4.9919836057822464E-2</v>
      </c>
      <c r="T86" s="45">
        <f t="shared" si="14"/>
        <v>53000</v>
      </c>
    </row>
    <row r="87" spans="2:20" ht="48" x14ac:dyDescent="0.2">
      <c r="B87" s="24" t="s">
        <v>136</v>
      </c>
      <c r="C87" s="24"/>
      <c r="D87" s="24"/>
      <c r="E87" s="25" t="s">
        <v>163</v>
      </c>
      <c r="F87" s="9" t="s">
        <v>36</v>
      </c>
      <c r="G87" s="9">
        <v>1</v>
      </c>
      <c r="H87" s="133">
        <v>57824</v>
      </c>
      <c r="I87" s="133">
        <v>57824</v>
      </c>
      <c r="J87" s="134">
        <v>63606.400000000001</v>
      </c>
      <c r="K87" s="134">
        <v>63606.400000000001</v>
      </c>
      <c r="L87" s="135">
        <v>62449.919999999998</v>
      </c>
      <c r="M87" s="135">
        <v>62449.919999999998</v>
      </c>
      <c r="N87" s="77">
        <f t="shared" si="8"/>
        <v>61293.440000000002</v>
      </c>
      <c r="O87" s="78">
        <f t="shared" si="9"/>
        <v>61293.440000000002</v>
      </c>
      <c r="P87" s="11">
        <f t="shared" si="10"/>
        <v>62449.919999999998</v>
      </c>
      <c r="Q87" s="41">
        <f t="shared" si="11"/>
        <v>61241.658642568269</v>
      </c>
      <c r="R87" s="41">
        <f t="shared" si="12"/>
        <v>3059.7584762199776</v>
      </c>
      <c r="S87" s="42">
        <f t="shared" si="13"/>
        <v>4.9919836057822457E-2</v>
      </c>
      <c r="T87" s="45">
        <f t="shared" si="14"/>
        <v>61293.440000000002</v>
      </c>
    </row>
    <row r="88" spans="2:20" ht="24" x14ac:dyDescent="0.2">
      <c r="B88" s="24" t="s">
        <v>138</v>
      </c>
      <c r="C88" s="24"/>
      <c r="D88" s="24"/>
      <c r="E88" s="25" t="s">
        <v>165</v>
      </c>
      <c r="F88" s="9" t="s">
        <v>36</v>
      </c>
      <c r="G88" s="9">
        <v>1</v>
      </c>
      <c r="H88" s="133">
        <v>140078</v>
      </c>
      <c r="I88" s="133">
        <v>140078</v>
      </c>
      <c r="J88" s="134">
        <v>154085.79999999999</v>
      </c>
      <c r="K88" s="134">
        <v>154085.79999999999</v>
      </c>
      <c r="L88" s="135">
        <v>151284.24</v>
      </c>
      <c r="M88" s="135">
        <v>151284.24</v>
      </c>
      <c r="N88" s="77">
        <f t="shared" si="8"/>
        <v>148482.68</v>
      </c>
      <c r="O88" s="78">
        <f t="shared" si="9"/>
        <v>148482.68</v>
      </c>
      <c r="P88" s="11">
        <f t="shared" si="10"/>
        <v>151284.24</v>
      </c>
      <c r="Q88" s="41">
        <f t="shared" si="11"/>
        <v>148357.24023474127</v>
      </c>
      <c r="R88" s="41">
        <f t="shared" si="12"/>
        <v>7412.2310430261086</v>
      </c>
      <c r="S88" s="42">
        <f t="shared" si="13"/>
        <v>4.991983605782243E-2</v>
      </c>
      <c r="T88" s="45">
        <f t="shared" si="14"/>
        <v>148482.68</v>
      </c>
    </row>
    <row r="89" spans="2:20" x14ac:dyDescent="0.2">
      <c r="B89" s="101"/>
      <c r="C89" s="101"/>
      <c r="D89" s="101"/>
      <c r="E89" s="102" t="s">
        <v>166</v>
      </c>
      <c r="F89" s="103"/>
      <c r="G89" s="103"/>
      <c r="H89" s="119"/>
      <c r="I89" s="119"/>
      <c r="J89" s="119"/>
      <c r="K89" s="119"/>
      <c r="L89" s="119"/>
      <c r="M89" s="119"/>
      <c r="N89" s="119"/>
      <c r="O89" s="139"/>
      <c r="P89" s="11"/>
      <c r="Q89" s="41"/>
      <c r="R89" s="41"/>
      <c r="S89" s="42"/>
      <c r="T89" s="45"/>
    </row>
    <row r="90" spans="2:20" ht="59.25" customHeight="1" x14ac:dyDescent="0.2">
      <c r="B90" s="9" t="s">
        <v>140</v>
      </c>
      <c r="C90" s="9"/>
      <c r="D90" s="9"/>
      <c r="E90" s="26" t="s">
        <v>167</v>
      </c>
      <c r="F90" s="14" t="s">
        <v>39</v>
      </c>
      <c r="G90" s="14">
        <f>(5*6.5*2)+(3.3*4.1)</f>
        <v>78.53</v>
      </c>
      <c r="H90" s="133">
        <v>38114</v>
      </c>
      <c r="I90" s="133">
        <v>2993092.42</v>
      </c>
      <c r="J90" s="134">
        <v>41925.4</v>
      </c>
      <c r="K90" s="134">
        <v>3292401.66</v>
      </c>
      <c r="L90" s="135">
        <v>41163.120000000003</v>
      </c>
      <c r="M90" s="135">
        <v>3232539.81</v>
      </c>
      <c r="N90" s="77">
        <f t="shared" si="8"/>
        <v>40400.839999999997</v>
      </c>
      <c r="O90" s="78">
        <f t="shared" ref="O90:O98" si="15">AVERAGE(I90,K90,M90)</f>
        <v>3172677.9633333334</v>
      </c>
      <c r="P90" s="11">
        <f t="shared" ref="P90:P98" si="16">MEDIAN(I90,K90,M90)</f>
        <v>3232539.81</v>
      </c>
      <c r="Q90" s="41">
        <f t="shared" ref="Q90:Q98" si="17">GEOMEAN(I90,K90,M90)</f>
        <v>3169997.650908553</v>
      </c>
      <c r="R90" s="41">
        <f t="shared" ref="R90:R98" si="18">STDEVA(I90,K90,M90)</f>
        <v>158379.5624507849</v>
      </c>
      <c r="S90" s="42">
        <f t="shared" si="13"/>
        <v>4.9919835634495174E-2</v>
      </c>
      <c r="T90" s="45">
        <f t="shared" ref="T90:T98" si="19">AVERAGE(I90,K90,M90)</f>
        <v>3172677.9633333334</v>
      </c>
    </row>
    <row r="91" spans="2:20" ht="60" x14ac:dyDescent="0.2">
      <c r="B91" s="9" t="s">
        <v>142</v>
      </c>
      <c r="C91" s="9"/>
      <c r="D91" s="9"/>
      <c r="E91" s="10" t="s">
        <v>168</v>
      </c>
      <c r="F91" s="9" t="s">
        <v>39</v>
      </c>
      <c r="G91" s="27">
        <f>G90</f>
        <v>78.53</v>
      </c>
      <c r="H91" s="133">
        <v>145000</v>
      </c>
      <c r="I91" s="133">
        <v>11386850</v>
      </c>
      <c r="J91" s="134">
        <v>159500</v>
      </c>
      <c r="K91" s="134">
        <v>12525535</v>
      </c>
      <c r="L91" s="135">
        <v>156600</v>
      </c>
      <c r="M91" s="135">
        <v>12297798</v>
      </c>
      <c r="N91" s="77">
        <f t="shared" si="8"/>
        <v>153700</v>
      </c>
      <c r="O91" s="78">
        <f t="shared" si="15"/>
        <v>12070061</v>
      </c>
      <c r="P91" s="11">
        <f t="shared" si="16"/>
        <v>12297798</v>
      </c>
      <c r="Q91" s="41">
        <f t="shared" si="17"/>
        <v>12059864.082632273</v>
      </c>
      <c r="R91" s="41">
        <f t="shared" si="18"/>
        <v>602535.46632791671</v>
      </c>
      <c r="S91" s="42">
        <f t="shared" si="13"/>
        <v>4.9919836057822471E-2</v>
      </c>
      <c r="T91" s="45">
        <f t="shared" si="19"/>
        <v>12070061</v>
      </c>
    </row>
    <row r="92" spans="2:20" ht="85.5" customHeight="1" x14ac:dyDescent="0.2">
      <c r="B92" s="9" t="s">
        <v>144</v>
      </c>
      <c r="C92" s="9"/>
      <c r="D92" s="9"/>
      <c r="E92" s="19" t="s">
        <v>101</v>
      </c>
      <c r="F92" s="9" t="s">
        <v>10</v>
      </c>
      <c r="G92" s="9">
        <v>6.5</v>
      </c>
      <c r="H92" s="144">
        <v>85000</v>
      </c>
      <c r="I92" s="133">
        <v>552500</v>
      </c>
      <c r="J92" s="145">
        <v>93500</v>
      </c>
      <c r="K92" s="134">
        <v>607750</v>
      </c>
      <c r="L92" s="146">
        <v>91800</v>
      </c>
      <c r="M92" s="135">
        <v>596700</v>
      </c>
      <c r="N92" s="77">
        <f t="shared" si="8"/>
        <v>90100</v>
      </c>
      <c r="O92" s="78">
        <f t="shared" si="15"/>
        <v>585650</v>
      </c>
      <c r="P92" s="11">
        <f t="shared" si="16"/>
        <v>596700</v>
      </c>
      <c r="Q92" s="41">
        <f t="shared" si="17"/>
        <v>585155.23658029491</v>
      </c>
      <c r="R92" s="41">
        <f t="shared" si="18"/>
        <v>29235.551987263727</v>
      </c>
      <c r="S92" s="42">
        <f t="shared" si="13"/>
        <v>4.9919836057822464E-2</v>
      </c>
      <c r="T92" s="45">
        <f t="shared" si="19"/>
        <v>585650</v>
      </c>
    </row>
    <row r="93" spans="2:20" ht="128.25" customHeight="1" x14ac:dyDescent="0.2">
      <c r="B93" s="9" t="s">
        <v>146</v>
      </c>
      <c r="C93" s="9"/>
      <c r="D93" s="9"/>
      <c r="E93" s="26" t="s">
        <v>169</v>
      </c>
      <c r="F93" s="14" t="s">
        <v>10</v>
      </c>
      <c r="G93" s="14">
        <f>5+5+5+5+4.1+3.3</f>
        <v>27.400000000000002</v>
      </c>
      <c r="H93" s="133">
        <v>55000</v>
      </c>
      <c r="I93" s="133">
        <v>1507000</v>
      </c>
      <c r="J93" s="134">
        <v>60500</v>
      </c>
      <c r="K93" s="134">
        <v>1657700</v>
      </c>
      <c r="L93" s="135">
        <v>59400</v>
      </c>
      <c r="M93" s="135">
        <v>1627560</v>
      </c>
      <c r="N93" s="77">
        <f t="shared" si="8"/>
        <v>58300</v>
      </c>
      <c r="O93" s="78">
        <f t="shared" si="15"/>
        <v>1597420</v>
      </c>
      <c r="P93" s="11">
        <f t="shared" si="16"/>
        <v>1627560</v>
      </c>
      <c r="Q93" s="41">
        <f t="shared" si="17"/>
        <v>1596070.482400913</v>
      </c>
      <c r="R93" s="41">
        <f t="shared" si="18"/>
        <v>79742.944515486757</v>
      </c>
      <c r="S93" s="42">
        <f t="shared" si="13"/>
        <v>4.9919836057822464E-2</v>
      </c>
      <c r="T93" s="45">
        <f t="shared" si="19"/>
        <v>1597420</v>
      </c>
    </row>
    <row r="94" spans="2:20" ht="104.25" customHeight="1" x14ac:dyDescent="0.2">
      <c r="B94" s="9" t="s">
        <v>148</v>
      </c>
      <c r="C94" s="9"/>
      <c r="D94" s="9"/>
      <c r="E94" s="26" t="s">
        <v>171</v>
      </c>
      <c r="F94" s="14" t="s">
        <v>39</v>
      </c>
      <c r="G94" s="14">
        <f>4.1*4</f>
        <v>16.399999999999999</v>
      </c>
      <c r="H94" s="133">
        <v>38114</v>
      </c>
      <c r="I94" s="133">
        <v>625069.6</v>
      </c>
      <c r="J94" s="134">
        <v>41925.4</v>
      </c>
      <c r="K94" s="134">
        <v>687576.56</v>
      </c>
      <c r="L94" s="135">
        <v>41163.120000000003</v>
      </c>
      <c r="M94" s="135">
        <v>675075.17</v>
      </c>
      <c r="N94" s="77">
        <f t="shared" si="8"/>
        <v>40400.839999999997</v>
      </c>
      <c r="O94" s="78">
        <f t="shared" si="15"/>
        <v>662573.77666666673</v>
      </c>
      <c r="P94" s="11">
        <f t="shared" si="16"/>
        <v>675075.17</v>
      </c>
      <c r="Q94" s="41">
        <f t="shared" si="17"/>
        <v>662014.0272006467</v>
      </c>
      <c r="R94" s="41">
        <f t="shared" si="18"/>
        <v>33075.574652096919</v>
      </c>
      <c r="S94" s="42">
        <f t="shared" si="13"/>
        <v>4.9919836578043233E-2</v>
      </c>
      <c r="T94" s="45">
        <f t="shared" si="19"/>
        <v>662573.77666666673</v>
      </c>
    </row>
    <row r="95" spans="2:20" ht="131.25" customHeight="1" x14ac:dyDescent="0.2">
      <c r="B95" s="9" t="s">
        <v>150</v>
      </c>
      <c r="C95" s="9"/>
      <c r="D95" s="9"/>
      <c r="E95" s="26" t="s">
        <v>173</v>
      </c>
      <c r="F95" s="14" t="s">
        <v>39</v>
      </c>
      <c r="G95" s="14">
        <f>G94</f>
        <v>16.399999999999999</v>
      </c>
      <c r="H95" s="133">
        <v>78633</v>
      </c>
      <c r="I95" s="133">
        <v>1289581.2</v>
      </c>
      <c r="J95" s="134">
        <v>86496.3</v>
      </c>
      <c r="K95" s="134">
        <v>1418539.32</v>
      </c>
      <c r="L95" s="135">
        <v>84923.64</v>
      </c>
      <c r="M95" s="135">
        <v>1392747.7</v>
      </c>
      <c r="N95" s="77">
        <f t="shared" si="8"/>
        <v>83350.98</v>
      </c>
      <c r="O95" s="78">
        <f t="shared" si="15"/>
        <v>1366956.0733333332</v>
      </c>
      <c r="P95" s="11">
        <f t="shared" si="16"/>
        <v>1392747.7</v>
      </c>
      <c r="Q95" s="41">
        <f t="shared" si="17"/>
        <v>1365801.2541138723</v>
      </c>
      <c r="R95" s="41">
        <f t="shared" si="18"/>
        <v>68238.223768413984</v>
      </c>
      <c r="S95" s="42">
        <f t="shared" si="13"/>
        <v>4.991983656213219E-2</v>
      </c>
      <c r="T95" s="45">
        <f t="shared" si="19"/>
        <v>1366956.0733333332</v>
      </c>
    </row>
    <row r="96" spans="2:20" ht="102.75" customHeight="1" x14ac:dyDescent="0.2">
      <c r="B96" s="9" t="s">
        <v>152</v>
      </c>
      <c r="C96" s="9"/>
      <c r="D96" s="9"/>
      <c r="E96" s="26" t="s">
        <v>175</v>
      </c>
      <c r="F96" s="14" t="s">
        <v>10</v>
      </c>
      <c r="G96" s="14">
        <f>6.5+6.5</f>
        <v>13</v>
      </c>
      <c r="H96" s="133">
        <v>69800</v>
      </c>
      <c r="I96" s="133">
        <v>907400</v>
      </c>
      <c r="J96" s="134">
        <v>76780</v>
      </c>
      <c r="K96" s="134">
        <v>998140</v>
      </c>
      <c r="L96" s="135">
        <v>75384</v>
      </c>
      <c r="M96" s="135">
        <v>979992</v>
      </c>
      <c r="N96" s="77">
        <f t="shared" si="8"/>
        <v>73988</v>
      </c>
      <c r="O96" s="78">
        <f t="shared" si="15"/>
        <v>961844</v>
      </c>
      <c r="P96" s="11">
        <f t="shared" si="16"/>
        <v>979992</v>
      </c>
      <c r="Q96" s="41">
        <f t="shared" si="17"/>
        <v>961031.42384246085</v>
      </c>
      <c r="R96" s="41">
        <f t="shared" si="18"/>
        <v>48015.094793200187</v>
      </c>
      <c r="S96" s="42">
        <f t="shared" si="13"/>
        <v>4.9919836057822464E-2</v>
      </c>
      <c r="T96" s="45">
        <f t="shared" si="19"/>
        <v>961844</v>
      </c>
    </row>
    <row r="97" spans="2:20" ht="103.5" customHeight="1" x14ac:dyDescent="0.2">
      <c r="B97" s="9" t="s">
        <v>154</v>
      </c>
      <c r="C97" s="9"/>
      <c r="D97" s="9"/>
      <c r="E97" s="26" t="s">
        <v>171</v>
      </c>
      <c r="F97" s="14" t="s">
        <v>39</v>
      </c>
      <c r="G97" s="14">
        <v>25</v>
      </c>
      <c r="H97" s="133">
        <v>38114</v>
      </c>
      <c r="I97" s="133">
        <v>952850</v>
      </c>
      <c r="J97" s="134">
        <v>41925.4</v>
      </c>
      <c r="K97" s="134">
        <v>1048135</v>
      </c>
      <c r="L97" s="135">
        <v>41163.120000000003</v>
      </c>
      <c r="M97" s="135">
        <v>1029078</v>
      </c>
      <c r="N97" s="77">
        <f t="shared" si="8"/>
        <v>40400.839999999997</v>
      </c>
      <c r="O97" s="78">
        <f t="shared" si="15"/>
        <v>1010021</v>
      </c>
      <c r="P97" s="11">
        <f t="shared" si="16"/>
        <v>1029078</v>
      </c>
      <c r="Q97" s="41">
        <f t="shared" si="17"/>
        <v>1009167.7233946316</v>
      </c>
      <c r="R97" s="41">
        <f t="shared" si="18"/>
        <v>50420.082734957905</v>
      </c>
      <c r="S97" s="42">
        <f t="shared" si="13"/>
        <v>4.9919836057822464E-2</v>
      </c>
      <c r="T97" s="45">
        <f t="shared" si="19"/>
        <v>1010021</v>
      </c>
    </row>
    <row r="98" spans="2:20" ht="130.5" customHeight="1" x14ac:dyDescent="0.2">
      <c r="B98" s="9" t="s">
        <v>156</v>
      </c>
      <c r="C98" s="9"/>
      <c r="D98" s="9"/>
      <c r="E98" s="26" t="s">
        <v>173</v>
      </c>
      <c r="F98" s="14" t="s">
        <v>39</v>
      </c>
      <c r="G98" s="14">
        <v>25</v>
      </c>
      <c r="H98" s="133">
        <v>78633</v>
      </c>
      <c r="I98" s="133">
        <v>1965825</v>
      </c>
      <c r="J98" s="134">
        <v>86496.3</v>
      </c>
      <c r="K98" s="134">
        <v>2162407.5</v>
      </c>
      <c r="L98" s="135">
        <v>84923.64</v>
      </c>
      <c r="M98" s="135">
        <v>2123091</v>
      </c>
      <c r="N98" s="77">
        <f t="shared" si="8"/>
        <v>83350.98</v>
      </c>
      <c r="O98" s="78">
        <f t="shared" si="15"/>
        <v>2083774.5</v>
      </c>
      <c r="P98" s="11">
        <f t="shared" si="16"/>
        <v>2123091</v>
      </c>
      <c r="Q98" s="41">
        <f t="shared" si="17"/>
        <v>2082014.1048877074</v>
      </c>
      <c r="R98" s="41">
        <f t="shared" si="18"/>
        <v>104021.68142147097</v>
      </c>
      <c r="S98" s="42">
        <f t="shared" si="13"/>
        <v>4.9919836057822464E-2</v>
      </c>
      <c r="T98" s="45">
        <f t="shared" si="19"/>
        <v>2083774.5</v>
      </c>
    </row>
    <row r="99" spans="2:20" x14ac:dyDescent="0.2">
      <c r="B99" s="101"/>
      <c r="C99" s="101"/>
      <c r="D99" s="101"/>
      <c r="E99" s="102" t="s">
        <v>178</v>
      </c>
      <c r="F99" s="103"/>
      <c r="G99" s="103"/>
      <c r="H99" s="119"/>
      <c r="I99" s="119"/>
      <c r="J99" s="119"/>
      <c r="K99" s="119"/>
      <c r="L99" s="119"/>
      <c r="M99" s="119"/>
      <c r="N99" s="119"/>
      <c r="O99" s="139"/>
      <c r="P99" s="11"/>
      <c r="Q99" s="41"/>
      <c r="R99" s="41"/>
      <c r="S99" s="42"/>
      <c r="T99" s="45"/>
    </row>
    <row r="100" spans="2:20" ht="59.25" customHeight="1" x14ac:dyDescent="0.2">
      <c r="B100" s="9" t="s">
        <v>158</v>
      </c>
      <c r="C100" s="9"/>
      <c r="D100" s="9"/>
      <c r="E100" s="26" t="s">
        <v>180</v>
      </c>
      <c r="F100" s="14" t="s">
        <v>39</v>
      </c>
      <c r="G100" s="14">
        <v>260</v>
      </c>
      <c r="H100" s="133">
        <v>38114</v>
      </c>
      <c r="I100" s="133">
        <v>9909640</v>
      </c>
      <c r="J100" s="134">
        <v>41925.4</v>
      </c>
      <c r="K100" s="134">
        <v>10900604</v>
      </c>
      <c r="L100" s="135">
        <v>41163.120000000003</v>
      </c>
      <c r="M100" s="135">
        <v>10702411.199999999</v>
      </c>
      <c r="N100" s="77">
        <f t="shared" si="8"/>
        <v>40400.839999999997</v>
      </c>
      <c r="O100" s="78">
        <f t="shared" ref="O100:O115" si="20">AVERAGE(I100,K100,M100)</f>
        <v>10504218.4</v>
      </c>
      <c r="P100" s="11">
        <f t="shared" ref="P100:P115" si="21">MEDIAN(I100,K100,M100)</f>
        <v>10702411.199999999</v>
      </c>
      <c r="Q100" s="41">
        <f t="shared" ref="Q100:Q115" si="22">GEOMEAN(I100,K100,M100)</f>
        <v>10495344.323304169</v>
      </c>
      <c r="R100" s="41">
        <f t="shared" ref="R100:R115" si="23">STDEVA(I100,K100,M100)</f>
        <v>524368.86044356204</v>
      </c>
      <c r="S100" s="42">
        <f t="shared" si="13"/>
        <v>4.991983605782245E-2</v>
      </c>
      <c r="T100" s="45">
        <f t="shared" ref="T100:T115" si="24">AVERAGE(I100,K100,M100)</f>
        <v>10504218.4</v>
      </c>
    </row>
    <row r="101" spans="2:20" s="86" customFormat="1" ht="51" customHeight="1" x14ac:dyDescent="0.2">
      <c r="B101" s="80" t="s">
        <v>160</v>
      </c>
      <c r="C101" s="81"/>
      <c r="D101" s="81"/>
      <c r="E101" s="82" t="s">
        <v>182</v>
      </c>
      <c r="F101" s="80" t="s">
        <v>39</v>
      </c>
      <c r="G101" s="80">
        <v>260</v>
      </c>
      <c r="H101" s="133">
        <v>23406</v>
      </c>
      <c r="I101" s="133">
        <v>6085560</v>
      </c>
      <c r="J101" s="134">
        <v>25746.6</v>
      </c>
      <c r="K101" s="134">
        <v>6694116</v>
      </c>
      <c r="L101" s="135">
        <v>25278.48</v>
      </c>
      <c r="M101" s="135">
        <v>6572404.7999999998</v>
      </c>
      <c r="N101" s="77">
        <f t="shared" si="8"/>
        <v>24810.36</v>
      </c>
      <c r="O101" s="78">
        <f t="shared" si="20"/>
        <v>6450693.6000000006</v>
      </c>
      <c r="P101" s="73">
        <f t="shared" si="21"/>
        <v>6572404.7999999998</v>
      </c>
      <c r="Q101" s="83">
        <f t="shared" si="22"/>
        <v>6445243.9846580625</v>
      </c>
      <c r="R101" s="83">
        <f t="shared" si="23"/>
        <v>322017.56697124458</v>
      </c>
      <c r="S101" s="84">
        <f t="shared" si="13"/>
        <v>4.9919836057822457E-2</v>
      </c>
      <c r="T101" s="85">
        <f t="shared" si="24"/>
        <v>6450693.6000000006</v>
      </c>
    </row>
    <row r="102" spans="2:20" ht="60" x14ac:dyDescent="0.2">
      <c r="B102" s="9" t="s">
        <v>162</v>
      </c>
      <c r="C102" s="9"/>
      <c r="D102" s="9"/>
      <c r="E102" s="10" t="s">
        <v>185</v>
      </c>
      <c r="F102" s="9" t="s">
        <v>39</v>
      </c>
      <c r="G102" s="27">
        <v>260</v>
      </c>
      <c r="H102" s="133">
        <v>145000</v>
      </c>
      <c r="I102" s="133">
        <v>37700000</v>
      </c>
      <c r="J102" s="134">
        <v>159500</v>
      </c>
      <c r="K102" s="134">
        <v>41470000</v>
      </c>
      <c r="L102" s="135">
        <v>156600</v>
      </c>
      <c r="M102" s="135">
        <v>40716000</v>
      </c>
      <c r="N102" s="77">
        <f t="shared" si="8"/>
        <v>153700</v>
      </c>
      <c r="O102" s="78">
        <f t="shared" si="20"/>
        <v>39962000</v>
      </c>
      <c r="P102" s="11">
        <f t="shared" si="21"/>
        <v>40716000</v>
      </c>
      <c r="Q102" s="41">
        <f t="shared" si="22"/>
        <v>39928239.672537774</v>
      </c>
      <c r="R102" s="41">
        <f t="shared" si="23"/>
        <v>1994896.4885427014</v>
      </c>
      <c r="S102" s="42">
        <f t="shared" si="13"/>
        <v>4.9919836057822464E-2</v>
      </c>
      <c r="T102" s="45">
        <f t="shared" si="24"/>
        <v>39962000</v>
      </c>
    </row>
    <row r="103" spans="2:20" ht="83.25" customHeight="1" x14ac:dyDescent="0.2">
      <c r="B103" s="9" t="s">
        <v>164</v>
      </c>
      <c r="C103" s="9"/>
      <c r="D103" s="9"/>
      <c r="E103" s="19" t="s">
        <v>101</v>
      </c>
      <c r="F103" s="9" t="s">
        <v>10</v>
      </c>
      <c r="G103" s="9">
        <f>14+3.5+5</f>
        <v>22.5</v>
      </c>
      <c r="H103" s="144">
        <v>85000</v>
      </c>
      <c r="I103" s="133">
        <v>1912500</v>
      </c>
      <c r="J103" s="145">
        <v>93500</v>
      </c>
      <c r="K103" s="134">
        <v>2103750</v>
      </c>
      <c r="L103" s="146">
        <v>91800</v>
      </c>
      <c r="M103" s="135">
        <v>2065500</v>
      </c>
      <c r="N103" s="77">
        <f t="shared" si="8"/>
        <v>90100</v>
      </c>
      <c r="O103" s="78">
        <f t="shared" si="20"/>
        <v>2027250</v>
      </c>
      <c r="P103" s="11">
        <f t="shared" si="21"/>
        <v>2065500</v>
      </c>
      <c r="Q103" s="41">
        <f t="shared" si="22"/>
        <v>2025537.3573933283</v>
      </c>
      <c r="R103" s="41">
        <f t="shared" si="23"/>
        <v>101199.98764822059</v>
      </c>
      <c r="S103" s="42">
        <f t="shared" si="13"/>
        <v>4.9919836057822464E-2</v>
      </c>
      <c r="T103" s="45">
        <f t="shared" si="24"/>
        <v>2027250</v>
      </c>
    </row>
    <row r="104" spans="2:20" ht="137.25" customHeight="1" x14ac:dyDescent="0.2">
      <c r="B104" s="9" t="s">
        <v>170</v>
      </c>
      <c r="C104" s="9"/>
      <c r="D104" s="9"/>
      <c r="E104" s="26" t="s">
        <v>169</v>
      </c>
      <c r="F104" s="14" t="s">
        <v>10</v>
      </c>
      <c r="G104" s="14">
        <f>18+18+7.8+7.8+14+10</f>
        <v>75.599999999999994</v>
      </c>
      <c r="H104" s="133">
        <v>55000</v>
      </c>
      <c r="I104" s="133">
        <v>4158000</v>
      </c>
      <c r="J104" s="134">
        <v>60500</v>
      </c>
      <c r="K104" s="134">
        <v>4573800</v>
      </c>
      <c r="L104" s="135">
        <v>59400</v>
      </c>
      <c r="M104" s="135">
        <v>4490640</v>
      </c>
      <c r="N104" s="77">
        <f t="shared" si="8"/>
        <v>58300</v>
      </c>
      <c r="O104" s="78">
        <f t="shared" si="20"/>
        <v>4407480</v>
      </c>
      <c r="P104" s="11">
        <f t="shared" si="21"/>
        <v>4490640</v>
      </c>
      <c r="Q104" s="41">
        <f t="shared" si="22"/>
        <v>4403756.5134857306</v>
      </c>
      <c r="R104" s="41">
        <f t="shared" si="23"/>
        <v>220020.67902813136</v>
      </c>
      <c r="S104" s="42">
        <f t="shared" si="13"/>
        <v>4.9919836057822464E-2</v>
      </c>
      <c r="T104" s="45">
        <f t="shared" si="24"/>
        <v>4407480</v>
      </c>
    </row>
    <row r="105" spans="2:20" ht="152.25" customHeight="1" x14ac:dyDescent="0.2">
      <c r="B105" s="9" t="s">
        <v>172</v>
      </c>
      <c r="C105" s="9"/>
      <c r="D105" s="9"/>
      <c r="E105" s="26" t="s">
        <v>189</v>
      </c>
      <c r="F105" s="14" t="s">
        <v>10</v>
      </c>
      <c r="G105" s="14">
        <f>1.2*4</f>
        <v>4.8</v>
      </c>
      <c r="H105" s="133">
        <v>65000</v>
      </c>
      <c r="I105" s="133">
        <v>312000</v>
      </c>
      <c r="J105" s="134">
        <v>71500</v>
      </c>
      <c r="K105" s="134">
        <v>343200</v>
      </c>
      <c r="L105" s="135">
        <v>70200</v>
      </c>
      <c r="M105" s="135">
        <v>336960</v>
      </c>
      <c r="N105" s="77">
        <f t="shared" si="8"/>
        <v>68900</v>
      </c>
      <c r="O105" s="78">
        <f t="shared" si="20"/>
        <v>330720</v>
      </c>
      <c r="P105" s="11">
        <f t="shared" si="21"/>
        <v>336960</v>
      </c>
      <c r="Q105" s="41">
        <f t="shared" si="22"/>
        <v>330440.60418651951</v>
      </c>
      <c r="R105" s="41">
        <f t="shared" si="23"/>
        <v>16509.488181043045</v>
      </c>
      <c r="S105" s="42">
        <f t="shared" si="13"/>
        <v>4.9919836057822464E-2</v>
      </c>
      <c r="T105" s="45">
        <f t="shared" si="24"/>
        <v>330720</v>
      </c>
    </row>
    <row r="106" spans="2:20" ht="131.25" customHeight="1" x14ac:dyDescent="0.2">
      <c r="B106" s="9" t="s">
        <v>174</v>
      </c>
      <c r="C106" s="9"/>
      <c r="D106" s="9"/>
      <c r="E106" s="26" t="s">
        <v>190</v>
      </c>
      <c r="F106" s="14" t="s">
        <v>10</v>
      </c>
      <c r="G106" s="14">
        <v>14</v>
      </c>
      <c r="H106" s="133">
        <v>85000</v>
      </c>
      <c r="I106" s="133">
        <v>1190000</v>
      </c>
      <c r="J106" s="134">
        <v>93500</v>
      </c>
      <c r="K106" s="134">
        <v>1309000</v>
      </c>
      <c r="L106" s="135">
        <v>91800</v>
      </c>
      <c r="M106" s="135">
        <v>1285200</v>
      </c>
      <c r="N106" s="77">
        <f t="shared" si="8"/>
        <v>90100</v>
      </c>
      <c r="O106" s="78">
        <f t="shared" si="20"/>
        <v>1261400</v>
      </c>
      <c r="P106" s="11">
        <f t="shared" si="21"/>
        <v>1285200</v>
      </c>
      <c r="Q106" s="41">
        <f t="shared" si="22"/>
        <v>1260334.3557114045</v>
      </c>
      <c r="R106" s="41">
        <f t="shared" si="23"/>
        <v>62968.88120333726</v>
      </c>
      <c r="S106" s="42">
        <f t="shared" si="13"/>
        <v>4.9919836057822464E-2</v>
      </c>
      <c r="T106" s="45">
        <f t="shared" si="24"/>
        <v>1261400</v>
      </c>
    </row>
    <row r="107" spans="2:20" ht="98.25" customHeight="1" x14ac:dyDescent="0.2">
      <c r="B107" s="9" t="s">
        <v>176</v>
      </c>
      <c r="C107" s="9"/>
      <c r="D107" s="9"/>
      <c r="E107" s="26" t="s">
        <v>171</v>
      </c>
      <c r="F107" s="14" t="s">
        <v>39</v>
      </c>
      <c r="G107" s="14">
        <v>30</v>
      </c>
      <c r="H107" s="133">
        <v>38114</v>
      </c>
      <c r="I107" s="133">
        <v>1143420</v>
      </c>
      <c r="J107" s="134">
        <v>41925.4</v>
      </c>
      <c r="K107" s="134">
        <v>1257762</v>
      </c>
      <c r="L107" s="135">
        <v>41163.120000000003</v>
      </c>
      <c r="M107" s="135">
        <v>1234893.6000000001</v>
      </c>
      <c r="N107" s="77">
        <f t="shared" si="8"/>
        <v>40400.839999999997</v>
      </c>
      <c r="O107" s="78">
        <f t="shared" si="20"/>
        <v>1212025.2</v>
      </c>
      <c r="P107" s="11">
        <f t="shared" si="21"/>
        <v>1234893.6000000001</v>
      </c>
      <c r="Q107" s="41">
        <f t="shared" si="22"/>
        <v>1211001.2680735581</v>
      </c>
      <c r="R107" s="41">
        <f t="shared" si="23"/>
        <v>60504.0992819495</v>
      </c>
      <c r="S107" s="42">
        <f t="shared" si="13"/>
        <v>4.9919836057822478E-2</v>
      </c>
      <c r="T107" s="45">
        <f t="shared" si="24"/>
        <v>1212025.2</v>
      </c>
    </row>
    <row r="108" spans="2:20" ht="122.25" customHeight="1" x14ac:dyDescent="0.2">
      <c r="B108" s="9" t="s">
        <v>177</v>
      </c>
      <c r="C108" s="9"/>
      <c r="D108" s="9"/>
      <c r="E108" s="26" t="s">
        <v>173</v>
      </c>
      <c r="F108" s="14" t="s">
        <v>39</v>
      </c>
      <c r="G108" s="14">
        <v>30</v>
      </c>
      <c r="H108" s="133">
        <v>78633</v>
      </c>
      <c r="I108" s="133">
        <v>2358990</v>
      </c>
      <c r="J108" s="134">
        <v>86496.3</v>
      </c>
      <c r="K108" s="134">
        <v>2594889</v>
      </c>
      <c r="L108" s="135">
        <v>84923.64</v>
      </c>
      <c r="M108" s="135">
        <v>2547709.2000000002</v>
      </c>
      <c r="N108" s="77">
        <f t="shared" si="8"/>
        <v>83350.98</v>
      </c>
      <c r="O108" s="78">
        <f t="shared" si="20"/>
        <v>2500529.4</v>
      </c>
      <c r="P108" s="11">
        <f t="shared" si="21"/>
        <v>2547709.2000000002</v>
      </c>
      <c r="Q108" s="41">
        <f t="shared" si="22"/>
        <v>2498416.9258652488</v>
      </c>
      <c r="R108" s="41">
        <f t="shared" si="23"/>
        <v>124826.0177057652</v>
      </c>
      <c r="S108" s="42">
        <f t="shared" si="13"/>
        <v>4.9919836057822478E-2</v>
      </c>
      <c r="T108" s="45">
        <f t="shared" si="24"/>
        <v>2500529.4</v>
      </c>
    </row>
    <row r="109" spans="2:20" ht="132" customHeight="1" x14ac:dyDescent="0.2">
      <c r="B109" s="9" t="s">
        <v>179</v>
      </c>
      <c r="C109" s="9"/>
      <c r="D109" s="9"/>
      <c r="E109" s="26" t="s">
        <v>191</v>
      </c>
      <c r="F109" s="14" t="s">
        <v>39</v>
      </c>
      <c r="G109" s="14">
        <v>100</v>
      </c>
      <c r="H109" s="133">
        <v>54500</v>
      </c>
      <c r="I109" s="133">
        <v>5450000</v>
      </c>
      <c r="J109" s="134">
        <v>59950</v>
      </c>
      <c r="K109" s="134">
        <v>5995000</v>
      </c>
      <c r="L109" s="135">
        <v>58860</v>
      </c>
      <c r="M109" s="135">
        <v>5886000</v>
      </c>
      <c r="N109" s="77">
        <f t="shared" si="8"/>
        <v>57770</v>
      </c>
      <c r="O109" s="78">
        <f t="shared" si="20"/>
        <v>5777000</v>
      </c>
      <c r="P109" s="11">
        <f t="shared" si="21"/>
        <v>5886000</v>
      </c>
      <c r="Q109" s="41">
        <f t="shared" si="22"/>
        <v>5772119.5282581132</v>
      </c>
      <c r="R109" s="41">
        <f t="shared" si="23"/>
        <v>288386.89290604036</v>
      </c>
      <c r="S109" s="42">
        <f t="shared" si="13"/>
        <v>4.9919836057822464E-2</v>
      </c>
      <c r="T109" s="45">
        <f t="shared" si="24"/>
        <v>5777000</v>
      </c>
    </row>
    <row r="110" spans="2:20" ht="62.25" customHeight="1" x14ac:dyDescent="0.2">
      <c r="B110" s="9" t="s">
        <v>181</v>
      </c>
      <c r="C110" s="9"/>
      <c r="D110" s="9"/>
      <c r="E110" s="25" t="s">
        <v>66</v>
      </c>
      <c r="F110" s="14" t="s">
        <v>39</v>
      </c>
      <c r="G110" s="14">
        <v>260</v>
      </c>
      <c r="H110" s="133">
        <v>150469</v>
      </c>
      <c r="I110" s="133">
        <v>39121940</v>
      </c>
      <c r="J110" s="134">
        <v>165515.9</v>
      </c>
      <c r="K110" s="134">
        <v>43034134</v>
      </c>
      <c r="L110" s="135">
        <v>162506.51999999999</v>
      </c>
      <c r="M110" s="135">
        <v>42251695.200000003</v>
      </c>
      <c r="N110" s="77">
        <f t="shared" si="8"/>
        <v>159497.14000000001</v>
      </c>
      <c r="O110" s="78">
        <f t="shared" si="20"/>
        <v>41469256.399999999</v>
      </c>
      <c r="P110" s="11">
        <f t="shared" si="21"/>
        <v>42251695.200000003</v>
      </c>
      <c r="Q110" s="41">
        <f t="shared" si="22"/>
        <v>41434222.726117834</v>
      </c>
      <c r="R110" s="41">
        <f t="shared" si="23"/>
        <v>2070138.4809278056</v>
      </c>
      <c r="S110" s="42">
        <f t="shared" si="13"/>
        <v>4.9919836057822485E-2</v>
      </c>
      <c r="T110" s="45">
        <f t="shared" si="24"/>
        <v>41469256.399999999</v>
      </c>
    </row>
    <row r="111" spans="2:20" ht="108" x14ac:dyDescent="0.2">
      <c r="B111" s="9" t="s">
        <v>183</v>
      </c>
      <c r="C111" s="9"/>
      <c r="D111" s="9"/>
      <c r="E111" s="25" t="s">
        <v>192</v>
      </c>
      <c r="F111" s="14" t="s">
        <v>36</v>
      </c>
      <c r="G111" s="14">
        <v>30</v>
      </c>
      <c r="H111" s="133">
        <v>245000</v>
      </c>
      <c r="I111" s="133">
        <v>7350000</v>
      </c>
      <c r="J111" s="134">
        <v>269500</v>
      </c>
      <c r="K111" s="134">
        <v>8085000</v>
      </c>
      <c r="L111" s="135">
        <v>264600</v>
      </c>
      <c r="M111" s="135">
        <v>7938000</v>
      </c>
      <c r="N111" s="77">
        <f t="shared" si="8"/>
        <v>259700</v>
      </c>
      <c r="O111" s="78">
        <f t="shared" si="20"/>
        <v>7791000</v>
      </c>
      <c r="P111" s="11">
        <f t="shared" si="21"/>
        <v>7938000</v>
      </c>
      <c r="Q111" s="41">
        <f t="shared" si="22"/>
        <v>7784418.0793939689</v>
      </c>
      <c r="R111" s="41">
        <f t="shared" si="23"/>
        <v>388925.4427264948</v>
      </c>
      <c r="S111" s="42">
        <f t="shared" si="13"/>
        <v>4.9919836057822464E-2</v>
      </c>
      <c r="T111" s="45">
        <f t="shared" si="24"/>
        <v>7791000</v>
      </c>
    </row>
    <row r="112" spans="2:20" ht="144.75" customHeight="1" x14ac:dyDescent="0.2">
      <c r="B112" s="9" t="s">
        <v>184</v>
      </c>
      <c r="C112" s="9"/>
      <c r="D112" s="9"/>
      <c r="E112" s="16" t="s">
        <v>193</v>
      </c>
      <c r="F112" s="14" t="s">
        <v>39</v>
      </c>
      <c r="G112" s="14">
        <v>30</v>
      </c>
      <c r="H112" s="133">
        <v>45000</v>
      </c>
      <c r="I112" s="133">
        <v>1350000</v>
      </c>
      <c r="J112" s="134">
        <v>49500</v>
      </c>
      <c r="K112" s="134">
        <v>1485000</v>
      </c>
      <c r="L112" s="135">
        <v>48600</v>
      </c>
      <c r="M112" s="135">
        <v>1458000</v>
      </c>
      <c r="N112" s="77">
        <f t="shared" si="8"/>
        <v>47700</v>
      </c>
      <c r="O112" s="78">
        <f t="shared" si="20"/>
        <v>1431000</v>
      </c>
      <c r="P112" s="11">
        <f t="shared" si="21"/>
        <v>1458000</v>
      </c>
      <c r="Q112" s="41">
        <f t="shared" si="22"/>
        <v>1429791.0758070555</v>
      </c>
      <c r="R112" s="41">
        <f t="shared" si="23"/>
        <v>71435.285398743945</v>
      </c>
      <c r="S112" s="42">
        <f t="shared" si="13"/>
        <v>4.9919836057822464E-2</v>
      </c>
      <c r="T112" s="45">
        <f t="shared" si="24"/>
        <v>1431000</v>
      </c>
    </row>
    <row r="113" spans="2:22" ht="147.75" customHeight="1" x14ac:dyDescent="0.2">
      <c r="B113" s="9" t="s">
        <v>186</v>
      </c>
      <c r="C113" s="9"/>
      <c r="D113" s="9"/>
      <c r="E113" s="26" t="s">
        <v>194</v>
      </c>
      <c r="F113" s="14" t="s">
        <v>39</v>
      </c>
      <c r="G113" s="14">
        <v>10</v>
      </c>
      <c r="H113" s="133">
        <v>55000</v>
      </c>
      <c r="I113" s="133">
        <v>550000</v>
      </c>
      <c r="J113" s="134">
        <v>60500</v>
      </c>
      <c r="K113" s="134">
        <v>605000</v>
      </c>
      <c r="L113" s="135">
        <v>59400</v>
      </c>
      <c r="M113" s="135">
        <v>594000</v>
      </c>
      <c r="N113" s="77">
        <f t="shared" si="8"/>
        <v>58300</v>
      </c>
      <c r="O113" s="78">
        <f t="shared" si="20"/>
        <v>583000</v>
      </c>
      <c r="P113" s="11">
        <f t="shared" si="21"/>
        <v>594000</v>
      </c>
      <c r="Q113" s="41">
        <f t="shared" si="22"/>
        <v>582507.47532880038</v>
      </c>
      <c r="R113" s="41">
        <f t="shared" si="23"/>
        <v>29103.264421710497</v>
      </c>
      <c r="S113" s="42">
        <f t="shared" si="13"/>
        <v>4.9919836057822464E-2</v>
      </c>
      <c r="T113" s="45">
        <f t="shared" si="24"/>
        <v>583000</v>
      </c>
    </row>
    <row r="114" spans="2:22" ht="124.5" customHeight="1" x14ac:dyDescent="0.2">
      <c r="B114" s="9" t="s">
        <v>187</v>
      </c>
      <c r="C114" s="9"/>
      <c r="D114" s="9"/>
      <c r="E114" s="26" t="s">
        <v>195</v>
      </c>
      <c r="F114" s="14" t="s">
        <v>39</v>
      </c>
      <c r="G114" s="14">
        <v>2</v>
      </c>
      <c r="H114" s="133">
        <v>285000</v>
      </c>
      <c r="I114" s="133">
        <v>570000</v>
      </c>
      <c r="J114" s="134">
        <v>313500</v>
      </c>
      <c r="K114" s="134">
        <v>627000</v>
      </c>
      <c r="L114" s="135">
        <v>307800</v>
      </c>
      <c r="M114" s="135">
        <v>615600</v>
      </c>
      <c r="N114" s="77">
        <f t="shared" si="8"/>
        <v>302100</v>
      </c>
      <c r="O114" s="78">
        <f t="shared" si="20"/>
        <v>604200</v>
      </c>
      <c r="P114" s="11">
        <f t="shared" si="21"/>
        <v>615600</v>
      </c>
      <c r="Q114" s="41">
        <f t="shared" si="22"/>
        <v>603689.56534075679</v>
      </c>
      <c r="R114" s="41">
        <f t="shared" si="23"/>
        <v>30161.564946136332</v>
      </c>
      <c r="S114" s="42">
        <f t="shared" si="13"/>
        <v>4.9919836057822464E-2</v>
      </c>
      <c r="T114" s="45">
        <f t="shared" si="24"/>
        <v>604200</v>
      </c>
    </row>
    <row r="115" spans="2:22" ht="146.25" customHeight="1" x14ac:dyDescent="0.2">
      <c r="B115" s="9" t="s">
        <v>188</v>
      </c>
      <c r="C115" s="9"/>
      <c r="D115" s="9"/>
      <c r="E115" s="26" t="s">
        <v>196</v>
      </c>
      <c r="F115" s="14" t="s">
        <v>39</v>
      </c>
      <c r="G115" s="17">
        <f>(1.12*0.7)+(0.9*0.7)</f>
        <v>1.4140000000000001</v>
      </c>
      <c r="H115" s="133">
        <v>365000</v>
      </c>
      <c r="I115" s="133">
        <v>516110</v>
      </c>
      <c r="J115" s="134">
        <v>401500</v>
      </c>
      <c r="K115" s="134">
        <v>567721</v>
      </c>
      <c r="L115" s="135">
        <v>394200</v>
      </c>
      <c r="M115" s="135">
        <v>557398.80000000005</v>
      </c>
      <c r="N115" s="77">
        <f t="shared" si="8"/>
        <v>386900</v>
      </c>
      <c r="O115" s="78">
        <f t="shared" si="20"/>
        <v>547076.6</v>
      </c>
      <c r="P115" s="11">
        <f t="shared" si="21"/>
        <v>557398.80000000005</v>
      </c>
      <c r="Q115" s="41">
        <f t="shared" si="22"/>
        <v>546614.4238035403</v>
      </c>
      <c r="R115" s="41">
        <f t="shared" si="23"/>
        <v>27309.974183070924</v>
      </c>
      <c r="S115" s="42">
        <f t="shared" si="13"/>
        <v>4.9919836057822478E-2</v>
      </c>
      <c r="T115" s="45">
        <f t="shared" si="24"/>
        <v>547076.6</v>
      </c>
    </row>
    <row r="116" spans="2:22" hidden="1" x14ac:dyDescent="0.2">
      <c r="B116" s="6"/>
      <c r="C116" s="6"/>
      <c r="D116" s="6"/>
      <c r="E116" s="7" t="s">
        <v>197</v>
      </c>
      <c r="F116" s="8"/>
      <c r="G116" s="8"/>
      <c r="H116" s="147"/>
      <c r="I116" s="119"/>
      <c r="J116" s="147"/>
      <c r="K116" s="119"/>
      <c r="L116" s="147"/>
      <c r="M116" s="119"/>
      <c r="N116" s="119"/>
      <c r="O116" s="74"/>
      <c r="P116" s="11"/>
      <c r="Q116" s="41"/>
      <c r="R116" s="41"/>
      <c r="S116" s="42"/>
      <c r="T116" s="45"/>
    </row>
    <row r="117" spans="2:22" ht="108.75" hidden="1" customHeight="1" x14ac:dyDescent="0.2">
      <c r="B117" s="9"/>
      <c r="C117" s="9"/>
      <c r="D117" s="9"/>
      <c r="E117" s="26"/>
      <c r="F117" s="14"/>
      <c r="G117" s="14"/>
      <c r="H117" s="148"/>
      <c r="I117" s="119"/>
      <c r="J117" s="148"/>
      <c r="K117" s="119"/>
      <c r="L117" s="148"/>
      <c r="M117" s="119"/>
      <c r="N117" s="119"/>
      <c r="O117" s="74"/>
      <c r="P117" s="11"/>
      <c r="Q117" s="41"/>
      <c r="R117" s="41"/>
      <c r="S117" s="42"/>
      <c r="T117" s="45"/>
    </row>
    <row r="118" spans="2:22" ht="84" hidden="1" customHeight="1" x14ac:dyDescent="0.2">
      <c r="B118" s="9"/>
      <c r="C118" s="9"/>
      <c r="D118" s="9"/>
      <c r="E118" s="26"/>
      <c r="F118" s="14"/>
      <c r="G118" s="14"/>
      <c r="H118" s="148"/>
      <c r="I118" s="119"/>
      <c r="J118" s="148"/>
      <c r="K118" s="119"/>
      <c r="L118" s="148"/>
      <c r="M118" s="119"/>
      <c r="N118" s="119"/>
      <c r="O118" s="74"/>
      <c r="P118" s="11"/>
      <c r="Q118" s="41"/>
      <c r="R118" s="41"/>
      <c r="S118" s="42"/>
      <c r="T118" s="45"/>
    </row>
    <row r="119" spans="2:22" hidden="1" x14ac:dyDescent="0.2">
      <c r="B119" s="9"/>
      <c r="C119" s="9"/>
      <c r="D119" s="9"/>
      <c r="E119" s="13"/>
      <c r="F119" s="14"/>
      <c r="G119" s="14"/>
      <c r="H119" s="148"/>
      <c r="I119" s="119"/>
      <c r="J119" s="148"/>
      <c r="K119" s="119"/>
      <c r="L119" s="148"/>
      <c r="M119" s="119"/>
      <c r="N119" s="119"/>
      <c r="O119" s="74"/>
      <c r="P119" s="11"/>
      <c r="Q119" s="41"/>
      <c r="R119" s="41"/>
      <c r="S119" s="42"/>
      <c r="T119" s="45"/>
    </row>
    <row r="120" spans="2:22" hidden="1" x14ac:dyDescent="0.2">
      <c r="B120" s="9"/>
      <c r="C120" s="9"/>
      <c r="D120" s="9"/>
      <c r="E120" s="10"/>
      <c r="F120" s="14"/>
      <c r="G120" s="14"/>
      <c r="H120" s="148"/>
      <c r="I120" s="119"/>
      <c r="J120" s="148"/>
      <c r="K120" s="119"/>
      <c r="L120" s="148"/>
      <c r="M120" s="119"/>
      <c r="N120" s="119"/>
      <c r="O120" s="74"/>
      <c r="P120" s="11"/>
      <c r="Q120" s="41"/>
      <c r="R120" s="41"/>
      <c r="S120" s="42"/>
      <c r="T120" s="45"/>
    </row>
    <row r="121" spans="2:22" hidden="1" x14ac:dyDescent="0.2">
      <c r="B121" s="9"/>
      <c r="C121" s="9"/>
      <c r="D121" s="9"/>
      <c r="E121" s="13"/>
      <c r="F121" s="14"/>
      <c r="G121" s="14"/>
      <c r="H121" s="77"/>
      <c r="I121" s="119"/>
      <c r="J121" s="77"/>
      <c r="K121" s="119"/>
      <c r="L121" s="77"/>
      <c r="M121" s="119"/>
      <c r="N121" s="119"/>
      <c r="O121" s="74"/>
      <c r="P121" s="11"/>
      <c r="Q121" s="41"/>
      <c r="R121" s="41"/>
      <c r="S121" s="42"/>
      <c r="T121" s="45"/>
    </row>
    <row r="122" spans="2:22" hidden="1" x14ac:dyDescent="0.2">
      <c r="B122" s="9"/>
      <c r="C122" s="9"/>
      <c r="D122" s="9"/>
      <c r="E122" s="15"/>
      <c r="F122" s="14"/>
      <c r="G122" s="14"/>
      <c r="H122" s="77"/>
      <c r="I122" s="119"/>
      <c r="J122" s="77"/>
      <c r="K122" s="119"/>
      <c r="L122" s="77"/>
      <c r="M122" s="119"/>
      <c r="N122" s="119"/>
      <c r="O122" s="74"/>
      <c r="P122" s="11"/>
      <c r="Q122" s="41"/>
      <c r="R122" s="41"/>
      <c r="S122" s="42"/>
      <c r="T122" s="45"/>
    </row>
    <row r="123" spans="2:22" ht="35.25" hidden="1" customHeight="1" x14ac:dyDescent="0.2">
      <c r="B123" s="9"/>
      <c r="C123" s="9"/>
      <c r="D123" s="9"/>
      <c r="E123" s="15"/>
      <c r="F123" s="14"/>
      <c r="G123" s="17"/>
      <c r="H123" s="77"/>
      <c r="I123" s="119"/>
      <c r="J123" s="77"/>
      <c r="K123" s="119"/>
      <c r="L123" s="77"/>
      <c r="M123" s="119"/>
      <c r="N123" s="119"/>
      <c r="O123" s="74"/>
      <c r="P123" s="11"/>
      <c r="Q123" s="41"/>
      <c r="R123" s="41"/>
      <c r="S123" s="42"/>
      <c r="T123" s="45"/>
    </row>
    <row r="124" spans="2:22" hidden="1" x14ac:dyDescent="0.2">
      <c r="B124" s="9"/>
      <c r="C124" s="9"/>
      <c r="D124" s="9"/>
      <c r="E124" s="15"/>
      <c r="F124" s="14"/>
      <c r="G124" s="17"/>
      <c r="H124" s="77"/>
      <c r="I124" s="119"/>
      <c r="J124" s="77"/>
      <c r="K124" s="119"/>
      <c r="L124" s="77"/>
      <c r="M124" s="119"/>
      <c r="N124" s="119"/>
      <c r="O124" s="74"/>
      <c r="P124" s="11"/>
      <c r="Q124" s="41"/>
      <c r="R124" s="41"/>
      <c r="S124" s="42"/>
      <c r="T124" s="45"/>
    </row>
    <row r="125" spans="2:22" hidden="1" x14ac:dyDescent="0.2">
      <c r="B125" s="9"/>
      <c r="C125" s="9"/>
      <c r="D125" s="9"/>
      <c r="E125" s="15"/>
      <c r="F125" s="14"/>
      <c r="G125" s="17"/>
      <c r="H125" s="77"/>
      <c r="I125" s="119"/>
      <c r="J125" s="77"/>
      <c r="K125" s="119"/>
      <c r="L125" s="77"/>
      <c r="M125" s="119"/>
      <c r="N125" s="119"/>
      <c r="O125" s="74"/>
      <c r="P125" s="11"/>
      <c r="Q125" s="41"/>
      <c r="R125" s="41"/>
      <c r="S125" s="42"/>
      <c r="T125" s="45"/>
    </row>
    <row r="126" spans="2:22" hidden="1" x14ac:dyDescent="0.2">
      <c r="B126" s="9"/>
      <c r="C126" s="9"/>
      <c r="D126" s="9"/>
      <c r="E126" s="10"/>
      <c r="F126" s="9"/>
      <c r="G126" s="9"/>
      <c r="H126" s="148"/>
      <c r="I126" s="119"/>
      <c r="J126" s="148"/>
      <c r="K126" s="119"/>
      <c r="L126" s="148"/>
      <c r="M126" s="119"/>
      <c r="N126" s="119"/>
      <c r="O126" s="74"/>
      <c r="P126" s="11"/>
      <c r="Q126" s="41"/>
      <c r="R126" s="41"/>
      <c r="S126" s="42"/>
      <c r="T126" s="45"/>
    </row>
    <row r="127" spans="2:22" hidden="1" x14ac:dyDescent="0.2">
      <c r="B127" s="9"/>
      <c r="C127" s="9"/>
      <c r="D127" s="9"/>
      <c r="E127" s="10"/>
      <c r="F127" s="9"/>
      <c r="G127" s="9"/>
      <c r="H127" s="148"/>
      <c r="I127" s="119"/>
      <c r="J127" s="148"/>
      <c r="K127" s="119"/>
      <c r="L127" s="148"/>
      <c r="M127" s="119"/>
      <c r="N127" s="119"/>
      <c r="O127" s="74"/>
      <c r="P127" s="11"/>
      <c r="Q127" s="41"/>
      <c r="R127" s="41"/>
      <c r="S127" s="42"/>
      <c r="T127" s="45"/>
    </row>
    <row r="128" spans="2:22" x14ac:dyDescent="0.2">
      <c r="B128" s="170" t="s">
        <v>198</v>
      </c>
      <c r="C128" s="170"/>
      <c r="D128" s="170"/>
      <c r="E128" s="170"/>
      <c r="F128" s="48"/>
      <c r="G128" s="29"/>
      <c r="H128" s="123"/>
      <c r="I128" s="149">
        <f>SUM(I5:I127)</f>
        <v>239378766.67000002</v>
      </c>
      <c r="J128" s="123"/>
      <c r="K128" s="149">
        <v>306786250.64999998</v>
      </c>
      <c r="L128" s="123"/>
      <c r="M128" s="149">
        <v>301208318.81999999</v>
      </c>
      <c r="N128" s="123"/>
      <c r="O128" s="79">
        <f>SUM(T5:T127)</f>
        <v>253741492.67333338</v>
      </c>
      <c r="S128" s="52"/>
      <c r="V128" s="51"/>
    </row>
    <row r="129" spans="2:21" x14ac:dyDescent="0.2">
      <c r="B129" s="179" t="s">
        <v>199</v>
      </c>
      <c r="C129" s="180"/>
      <c r="D129" s="180"/>
      <c r="E129" s="180"/>
      <c r="F129" s="5"/>
      <c r="G129" s="47"/>
      <c r="H129" s="154">
        <v>0.2</v>
      </c>
      <c r="I129" s="124">
        <f>I128*H129</f>
        <v>47875753.334000006</v>
      </c>
      <c r="J129" s="154">
        <v>0.23</v>
      </c>
      <c r="K129" s="124" t="s">
        <v>206</v>
      </c>
      <c r="L129" s="154">
        <v>0.22</v>
      </c>
      <c r="M129" s="124" t="s">
        <v>210</v>
      </c>
      <c r="N129" s="154">
        <f>AVERAGE(H129,J129,L129)</f>
        <v>0.21666666666666667</v>
      </c>
      <c r="O129" s="124">
        <f>O128*N129</f>
        <v>54977323.412555568</v>
      </c>
      <c r="Q129" s="156"/>
      <c r="R129" s="156"/>
      <c r="S129" s="157"/>
      <c r="T129" s="158"/>
      <c r="U129" s="53"/>
    </row>
    <row r="130" spans="2:21" x14ac:dyDescent="0.2">
      <c r="B130" s="179" t="s">
        <v>200</v>
      </c>
      <c r="C130" s="180"/>
      <c r="D130" s="180"/>
      <c r="E130" s="180"/>
      <c r="F130" s="5"/>
      <c r="G130" s="47"/>
      <c r="H130" s="154">
        <v>0.01</v>
      </c>
      <c r="I130" s="124">
        <f>I128*H130</f>
        <v>2393787.6667000004</v>
      </c>
      <c r="J130" s="154">
        <v>0.02</v>
      </c>
      <c r="K130" s="124" t="s">
        <v>207</v>
      </c>
      <c r="L130" s="154">
        <v>0.03</v>
      </c>
      <c r="M130" s="124" t="s">
        <v>211</v>
      </c>
      <c r="N130" s="154">
        <f t="shared" ref="N130:N131" si="25">AVERAGE(H130,J130,L130)</f>
        <v>0.02</v>
      </c>
      <c r="O130" s="124">
        <f>O128*N130</f>
        <v>5074829.8534666672</v>
      </c>
      <c r="Q130" s="156"/>
      <c r="R130" s="156"/>
      <c r="S130" s="157"/>
      <c r="T130" s="158"/>
    </row>
    <row r="131" spans="2:21" x14ac:dyDescent="0.2">
      <c r="B131" s="179" t="s">
        <v>201</v>
      </c>
      <c r="C131" s="180"/>
      <c r="D131" s="180"/>
      <c r="E131" s="180"/>
      <c r="F131" s="5"/>
      <c r="G131" s="47"/>
      <c r="H131" s="154">
        <v>0.05</v>
      </c>
      <c r="I131" s="124">
        <f>I128*H131</f>
        <v>11968938.333500002</v>
      </c>
      <c r="J131" s="154">
        <v>0.05</v>
      </c>
      <c r="K131" s="124">
        <v>15339312.529999999</v>
      </c>
      <c r="L131" s="154">
        <v>0.05</v>
      </c>
      <c r="M131" s="124" t="s">
        <v>212</v>
      </c>
      <c r="N131" s="154">
        <f t="shared" si="25"/>
        <v>5.000000000000001E-2</v>
      </c>
      <c r="O131" s="124">
        <f>O128*N131</f>
        <v>12687074.633666672</v>
      </c>
      <c r="Q131" s="156"/>
      <c r="R131" s="156"/>
      <c r="S131" s="157"/>
      <c r="T131" s="158"/>
    </row>
    <row r="132" spans="2:21" x14ac:dyDescent="0.2">
      <c r="B132" s="179" t="s">
        <v>226</v>
      </c>
      <c r="C132" s="180"/>
      <c r="D132" s="180"/>
      <c r="E132" s="180"/>
      <c r="F132" s="5"/>
      <c r="G132" s="47"/>
      <c r="H132" s="154">
        <v>0.19</v>
      </c>
      <c r="I132" s="124">
        <f>I131*H132</f>
        <v>2274098.2833650005</v>
      </c>
      <c r="J132" s="154">
        <v>0.19</v>
      </c>
      <c r="K132" s="124">
        <v>2914469.38</v>
      </c>
      <c r="L132" s="154">
        <v>0.19</v>
      </c>
      <c r="M132" s="124" t="s">
        <v>213</v>
      </c>
      <c r="N132" s="155">
        <v>0.19</v>
      </c>
      <c r="O132" s="124">
        <f>O131*19%</f>
        <v>2410544.1803966677</v>
      </c>
      <c r="Q132" s="156"/>
      <c r="R132" s="158"/>
      <c r="S132" s="157"/>
      <c r="T132" s="158"/>
    </row>
    <row r="133" spans="2:21" x14ac:dyDescent="0.2">
      <c r="B133" s="170" t="s">
        <v>202</v>
      </c>
      <c r="C133" s="171"/>
      <c r="D133" s="171"/>
      <c r="E133" s="171"/>
      <c r="F133" s="28"/>
      <c r="G133" s="49"/>
      <c r="H133" s="123"/>
      <c r="I133" s="149">
        <f>SUM(I128:I132)</f>
        <v>303891344.28756505</v>
      </c>
      <c r="J133" s="150"/>
      <c r="K133" s="149" t="s">
        <v>208</v>
      </c>
      <c r="L133" s="150"/>
      <c r="M133" s="149" t="s">
        <v>214</v>
      </c>
      <c r="N133" s="150"/>
      <c r="O133" s="149">
        <f>SUM(O128:O132)</f>
        <v>328891264.75341898</v>
      </c>
      <c r="Q133" s="156"/>
      <c r="R133" s="156"/>
      <c r="S133" s="157"/>
      <c r="T133" s="158"/>
    </row>
    <row r="134" spans="2:21" ht="12" customHeight="1" x14ac:dyDescent="0.2">
      <c r="Q134" s="156"/>
      <c r="R134" s="156"/>
      <c r="S134" s="156"/>
      <c r="T134" s="158"/>
    </row>
    <row r="135" spans="2:21" x14ac:dyDescent="0.2">
      <c r="Q135" s="156"/>
      <c r="R135" s="156"/>
      <c r="S135" s="156"/>
      <c r="T135" s="158"/>
    </row>
    <row r="136" spans="2:21" x14ac:dyDescent="0.2">
      <c r="Q136" s="156"/>
      <c r="R136" s="156"/>
      <c r="S136" s="156"/>
      <c r="T136" s="158"/>
    </row>
    <row r="137" spans="2:21" x14ac:dyDescent="0.2">
      <c r="Q137" s="156"/>
      <c r="R137" s="156"/>
      <c r="S137" s="156"/>
      <c r="T137" s="158"/>
    </row>
    <row r="148" spans="17:20" ht="12.75" thickBot="1" x14ac:dyDescent="0.25"/>
    <row r="149" spans="17:20" x14ac:dyDescent="0.2">
      <c r="Q149" s="159" t="s">
        <v>221</v>
      </c>
      <c r="R149" s="160"/>
      <c r="S149" s="160"/>
      <c r="T149" s="161"/>
    </row>
    <row r="150" spans="17:20" x14ac:dyDescent="0.2">
      <c r="Q150" s="162"/>
      <c r="R150" s="163"/>
      <c r="S150" s="163"/>
      <c r="T150" s="164"/>
    </row>
    <row r="151" spans="17:20" x14ac:dyDescent="0.2">
      <c r="Q151" s="162"/>
      <c r="R151" s="163"/>
      <c r="S151" s="163"/>
      <c r="T151" s="164"/>
    </row>
    <row r="152" spans="17:20" x14ac:dyDescent="0.2">
      <c r="Q152" s="162"/>
      <c r="R152" s="163"/>
      <c r="S152" s="163"/>
      <c r="T152" s="164"/>
    </row>
    <row r="153" spans="17:20" x14ac:dyDescent="0.2">
      <c r="Q153" s="162"/>
      <c r="R153" s="163"/>
      <c r="S153" s="163"/>
      <c r="T153" s="164"/>
    </row>
    <row r="154" spans="17:20" x14ac:dyDescent="0.2">
      <c r="Q154" s="162"/>
      <c r="R154" s="163"/>
      <c r="S154" s="163"/>
      <c r="T154" s="164"/>
    </row>
    <row r="155" spans="17:20" x14ac:dyDescent="0.2">
      <c r="Q155" s="162"/>
      <c r="R155" s="163"/>
      <c r="S155" s="163"/>
      <c r="T155" s="164"/>
    </row>
    <row r="156" spans="17:20" x14ac:dyDescent="0.2">
      <c r="Q156" s="162"/>
      <c r="R156" s="163"/>
      <c r="S156" s="163"/>
      <c r="T156" s="164"/>
    </row>
    <row r="157" spans="17:20" x14ac:dyDescent="0.2">
      <c r="Q157" s="162"/>
      <c r="R157" s="163"/>
      <c r="S157" s="163"/>
      <c r="T157" s="164"/>
    </row>
    <row r="158" spans="17:20" x14ac:dyDescent="0.2">
      <c r="Q158" s="162"/>
      <c r="R158" s="163"/>
      <c r="S158" s="163"/>
      <c r="T158" s="164"/>
    </row>
    <row r="159" spans="17:20" x14ac:dyDescent="0.2">
      <c r="Q159" s="162"/>
      <c r="R159" s="163"/>
      <c r="S159" s="163"/>
      <c r="T159" s="164"/>
    </row>
    <row r="160" spans="17:20" x14ac:dyDescent="0.2">
      <c r="Q160" s="162"/>
      <c r="R160" s="163"/>
      <c r="S160" s="163"/>
      <c r="T160" s="164"/>
    </row>
    <row r="161" spans="17:20" x14ac:dyDescent="0.2">
      <c r="Q161" s="162"/>
      <c r="R161" s="163"/>
      <c r="S161" s="163"/>
      <c r="T161" s="164"/>
    </row>
    <row r="162" spans="17:20" ht="12.75" thickBot="1" x14ac:dyDescent="0.25">
      <c r="Q162" s="165"/>
      <c r="R162" s="166"/>
      <c r="S162" s="166"/>
      <c r="T162" s="167"/>
    </row>
  </sheetData>
  <mergeCells count="13">
    <mergeCell ref="Q149:T162"/>
    <mergeCell ref="L1:M1"/>
    <mergeCell ref="B133:E133"/>
    <mergeCell ref="B1:E1"/>
    <mergeCell ref="F1:G1"/>
    <mergeCell ref="H1:I1"/>
    <mergeCell ref="J1:K1"/>
    <mergeCell ref="B128:E128"/>
    <mergeCell ref="B129:E129"/>
    <mergeCell ref="B130:E130"/>
    <mergeCell ref="B131:E131"/>
    <mergeCell ref="B132:E132"/>
    <mergeCell ref="N1:O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1"/>
  <sheetViews>
    <sheetView tabSelected="1" topLeftCell="A113" workbookViewId="0">
      <selection activeCell="B115" sqref="B115"/>
    </sheetView>
  </sheetViews>
  <sheetFormatPr baseColWidth="10" defaultColWidth="11.5703125" defaultRowHeight="12" x14ac:dyDescent="0.2"/>
  <cols>
    <col min="1" max="1" width="15.5703125" style="112" customWidth="1"/>
    <col min="2" max="2" width="54.140625" style="114" customWidth="1"/>
    <col min="3" max="4" width="11.5703125" style="112"/>
    <col min="5" max="10" width="0" style="112" hidden="1" customWidth="1"/>
    <col min="11" max="11" width="17.7109375" style="125" customWidth="1"/>
    <col min="12" max="12" width="15.42578125" style="120" customWidth="1"/>
    <col min="13" max="16384" width="11.5703125" style="112"/>
  </cols>
  <sheetData>
    <row r="1" spans="1:12" x14ac:dyDescent="0.2">
      <c r="A1" s="172" t="s">
        <v>0</v>
      </c>
      <c r="B1" s="174"/>
      <c r="C1" s="172"/>
      <c r="D1" s="174"/>
      <c r="E1" s="186" t="s">
        <v>203</v>
      </c>
      <c r="F1" s="187"/>
      <c r="G1" s="188" t="s">
        <v>205</v>
      </c>
      <c r="H1" s="189"/>
      <c r="I1" s="184" t="s">
        <v>209</v>
      </c>
      <c r="J1" s="185"/>
      <c r="K1" s="190" t="s">
        <v>215</v>
      </c>
      <c r="L1" s="191"/>
    </row>
    <row r="2" spans="1:12" ht="24" x14ac:dyDescent="0.2">
      <c r="A2" s="2" t="s">
        <v>1</v>
      </c>
      <c r="B2" s="46" t="s">
        <v>2</v>
      </c>
      <c r="C2" s="2" t="s">
        <v>3</v>
      </c>
      <c r="D2" s="2" t="s">
        <v>4</v>
      </c>
      <c r="E2" s="54" t="s">
        <v>204</v>
      </c>
      <c r="F2" s="54" t="s">
        <v>5</v>
      </c>
      <c r="G2" s="59" t="s">
        <v>204</v>
      </c>
      <c r="H2" s="59" t="s">
        <v>5</v>
      </c>
      <c r="I2" s="66" t="s">
        <v>204</v>
      </c>
      <c r="J2" s="66" t="s">
        <v>5</v>
      </c>
      <c r="K2" s="76" t="s">
        <v>204</v>
      </c>
      <c r="L2" s="76" t="s">
        <v>5</v>
      </c>
    </row>
    <row r="3" spans="1:12" x14ac:dyDescent="0.2">
      <c r="A3" s="20" t="s">
        <v>6</v>
      </c>
      <c r="B3" s="21" t="s">
        <v>223</v>
      </c>
      <c r="C3" s="22"/>
      <c r="D3" s="22"/>
      <c r="E3" s="87"/>
      <c r="F3" s="88"/>
      <c r="G3" s="89"/>
      <c r="H3" s="90"/>
      <c r="I3" s="89"/>
      <c r="J3" s="90"/>
      <c r="K3" s="121"/>
      <c r="L3" s="115"/>
    </row>
    <row r="4" spans="1:12" x14ac:dyDescent="0.2">
      <c r="A4" s="91"/>
      <c r="B4" s="92" t="s">
        <v>7</v>
      </c>
      <c r="C4" s="93"/>
      <c r="D4" s="93"/>
      <c r="E4" s="94"/>
      <c r="F4" s="95"/>
      <c r="G4" s="96"/>
      <c r="H4" s="97"/>
      <c r="I4" s="96"/>
      <c r="J4" s="97"/>
      <c r="K4" s="122"/>
      <c r="L4" s="116"/>
    </row>
    <row r="5" spans="1:12" ht="72" x14ac:dyDescent="0.2">
      <c r="A5" s="9" t="s">
        <v>8</v>
      </c>
      <c r="B5" s="24" t="s">
        <v>9</v>
      </c>
      <c r="C5" s="9" t="s">
        <v>10</v>
      </c>
      <c r="D5" s="9">
        <v>10</v>
      </c>
      <c r="E5" s="55">
        <v>19229</v>
      </c>
      <c r="F5" s="56">
        <v>192290</v>
      </c>
      <c r="G5" s="60">
        <v>21151.9</v>
      </c>
      <c r="H5" s="61">
        <v>211519</v>
      </c>
      <c r="I5" s="67">
        <v>20767.32</v>
      </c>
      <c r="J5" s="68">
        <v>207673.2</v>
      </c>
      <c r="K5" s="77">
        <f>AVERAGE(E5,G5,I5)</f>
        <v>20382.740000000002</v>
      </c>
      <c r="L5" s="77">
        <f>AVERAGE(F5,H5,J5)</f>
        <v>203827.4</v>
      </c>
    </row>
    <row r="6" spans="1:12" ht="60" x14ac:dyDescent="0.2">
      <c r="A6" s="9" t="s">
        <v>11</v>
      </c>
      <c r="B6" s="24" t="s">
        <v>12</v>
      </c>
      <c r="C6" s="9" t="s">
        <v>10</v>
      </c>
      <c r="D6" s="9">
        <v>10</v>
      </c>
      <c r="E6" s="56">
        <v>43367</v>
      </c>
      <c r="F6" s="56">
        <v>433670</v>
      </c>
      <c r="G6" s="62">
        <v>47703.7</v>
      </c>
      <c r="H6" s="61">
        <v>477037</v>
      </c>
      <c r="I6" s="68">
        <v>46836.36</v>
      </c>
      <c r="J6" s="68">
        <v>468363.6</v>
      </c>
      <c r="K6" s="77">
        <f t="shared" ref="K6:L69" si="0">AVERAGE(E6,G6,I6)</f>
        <v>45969.02</v>
      </c>
      <c r="L6" s="77">
        <f t="shared" si="0"/>
        <v>459690.2</v>
      </c>
    </row>
    <row r="7" spans="1:12" ht="144" x14ac:dyDescent="0.2">
      <c r="A7" s="9" t="s">
        <v>13</v>
      </c>
      <c r="B7" s="24" t="s">
        <v>14</v>
      </c>
      <c r="C7" s="9" t="s">
        <v>15</v>
      </c>
      <c r="D7" s="9">
        <v>2</v>
      </c>
      <c r="E7" s="56">
        <v>298179</v>
      </c>
      <c r="F7" s="56">
        <v>596358</v>
      </c>
      <c r="G7" s="62">
        <v>327996.90000000002</v>
      </c>
      <c r="H7" s="62">
        <v>655993.80000000005</v>
      </c>
      <c r="I7" s="68">
        <v>322033.32</v>
      </c>
      <c r="J7" s="68">
        <v>644066.64</v>
      </c>
      <c r="K7" s="77">
        <f t="shared" si="0"/>
        <v>316069.74</v>
      </c>
      <c r="L7" s="77">
        <f t="shared" si="0"/>
        <v>632139.48</v>
      </c>
    </row>
    <row r="8" spans="1:12" ht="132" x14ac:dyDescent="0.2">
      <c r="A8" s="9" t="s">
        <v>16</v>
      </c>
      <c r="B8" s="24" t="s">
        <v>17</v>
      </c>
      <c r="C8" s="9" t="s">
        <v>15</v>
      </c>
      <c r="D8" s="9">
        <v>2</v>
      </c>
      <c r="E8" s="56">
        <v>245000</v>
      </c>
      <c r="F8" s="56">
        <v>490000</v>
      </c>
      <c r="G8" s="61">
        <v>269500</v>
      </c>
      <c r="H8" s="61">
        <v>539000</v>
      </c>
      <c r="I8" s="69">
        <v>264600</v>
      </c>
      <c r="J8" s="69">
        <v>529200</v>
      </c>
      <c r="K8" s="77">
        <f t="shared" si="0"/>
        <v>259700</v>
      </c>
      <c r="L8" s="77">
        <f t="shared" si="0"/>
        <v>519400</v>
      </c>
    </row>
    <row r="9" spans="1:12" ht="132" x14ac:dyDescent="0.2">
      <c r="A9" s="9" t="s">
        <v>18</v>
      </c>
      <c r="B9" s="24" t="s">
        <v>19</v>
      </c>
      <c r="C9" s="9" t="s">
        <v>15</v>
      </c>
      <c r="D9" s="9">
        <v>3</v>
      </c>
      <c r="E9" s="56">
        <v>165000</v>
      </c>
      <c r="F9" s="56">
        <v>495000</v>
      </c>
      <c r="G9" s="61">
        <v>181500</v>
      </c>
      <c r="H9" s="61">
        <v>544500</v>
      </c>
      <c r="I9" s="69">
        <v>178200</v>
      </c>
      <c r="J9" s="69">
        <v>534600</v>
      </c>
      <c r="K9" s="77">
        <f t="shared" si="0"/>
        <v>174900</v>
      </c>
      <c r="L9" s="77">
        <f t="shared" si="0"/>
        <v>524700</v>
      </c>
    </row>
    <row r="10" spans="1:12" ht="132" x14ac:dyDescent="0.2">
      <c r="A10" s="9" t="s">
        <v>20</v>
      </c>
      <c r="B10" s="24" t="s">
        <v>17</v>
      </c>
      <c r="C10" s="9" t="s">
        <v>15</v>
      </c>
      <c r="D10" s="9">
        <v>2</v>
      </c>
      <c r="E10" s="56">
        <v>245000</v>
      </c>
      <c r="F10" s="56">
        <v>490000</v>
      </c>
      <c r="G10" s="61">
        <v>269500</v>
      </c>
      <c r="H10" s="61">
        <v>539000</v>
      </c>
      <c r="I10" s="69">
        <v>264600</v>
      </c>
      <c r="J10" s="69">
        <v>529200</v>
      </c>
      <c r="K10" s="77">
        <f t="shared" si="0"/>
        <v>259700</v>
      </c>
      <c r="L10" s="77">
        <f t="shared" si="0"/>
        <v>519400</v>
      </c>
    </row>
    <row r="11" spans="1:12" ht="408" x14ac:dyDescent="0.2">
      <c r="A11" s="9" t="s">
        <v>21</v>
      </c>
      <c r="B11" s="24" t="s">
        <v>22</v>
      </c>
      <c r="C11" s="9" t="s">
        <v>15</v>
      </c>
      <c r="D11" s="9">
        <v>1</v>
      </c>
      <c r="E11" s="56">
        <v>3475000</v>
      </c>
      <c r="F11" s="56">
        <v>3475000</v>
      </c>
      <c r="G11" s="61">
        <v>3822500</v>
      </c>
      <c r="H11" s="61">
        <v>3822500</v>
      </c>
      <c r="I11" s="69">
        <v>3753000</v>
      </c>
      <c r="J11" s="69">
        <v>3753000</v>
      </c>
      <c r="K11" s="77">
        <f t="shared" si="0"/>
        <v>3683500</v>
      </c>
      <c r="L11" s="77">
        <f t="shared" si="0"/>
        <v>3683500</v>
      </c>
    </row>
    <row r="12" spans="1:12" ht="72" x14ac:dyDescent="0.2">
      <c r="A12" s="9" t="s">
        <v>23</v>
      </c>
      <c r="B12" s="24" t="s">
        <v>24</v>
      </c>
      <c r="C12" s="9" t="s">
        <v>10</v>
      </c>
      <c r="D12" s="9">
        <v>5</v>
      </c>
      <c r="E12" s="56">
        <v>86789</v>
      </c>
      <c r="F12" s="56">
        <v>433945</v>
      </c>
      <c r="G12" s="62">
        <v>95467.9</v>
      </c>
      <c r="H12" s="62">
        <v>477339.5</v>
      </c>
      <c r="I12" s="68">
        <v>93732.12</v>
      </c>
      <c r="J12" s="68">
        <v>468660.6</v>
      </c>
      <c r="K12" s="77">
        <f t="shared" si="0"/>
        <v>91996.340000000011</v>
      </c>
      <c r="L12" s="77">
        <f t="shared" si="0"/>
        <v>459981.7</v>
      </c>
    </row>
    <row r="13" spans="1:12" ht="72" x14ac:dyDescent="0.2">
      <c r="A13" s="9" t="s">
        <v>25</v>
      </c>
      <c r="B13" s="24" t="s">
        <v>26</v>
      </c>
      <c r="C13" s="9" t="s">
        <v>10</v>
      </c>
      <c r="D13" s="9">
        <v>4</v>
      </c>
      <c r="E13" s="56">
        <v>75000</v>
      </c>
      <c r="F13" s="56">
        <v>300000</v>
      </c>
      <c r="G13" s="61">
        <v>82500</v>
      </c>
      <c r="H13" s="61">
        <v>330000</v>
      </c>
      <c r="I13" s="69">
        <v>81000</v>
      </c>
      <c r="J13" s="69">
        <v>324000</v>
      </c>
      <c r="K13" s="77">
        <f t="shared" si="0"/>
        <v>79500</v>
      </c>
      <c r="L13" s="77">
        <f t="shared" si="0"/>
        <v>318000</v>
      </c>
    </row>
    <row r="14" spans="1:12" ht="72" x14ac:dyDescent="0.2">
      <c r="A14" s="9" t="s">
        <v>27</v>
      </c>
      <c r="B14" s="24" t="s">
        <v>28</v>
      </c>
      <c r="C14" s="9" t="s">
        <v>10</v>
      </c>
      <c r="D14" s="9">
        <v>15</v>
      </c>
      <c r="E14" s="56">
        <v>25800</v>
      </c>
      <c r="F14" s="56">
        <v>387000</v>
      </c>
      <c r="G14" s="61">
        <v>28380</v>
      </c>
      <c r="H14" s="61">
        <v>425700</v>
      </c>
      <c r="I14" s="69">
        <v>27864</v>
      </c>
      <c r="J14" s="69">
        <v>417960</v>
      </c>
      <c r="K14" s="77">
        <f t="shared" si="0"/>
        <v>27348</v>
      </c>
      <c r="L14" s="77">
        <f t="shared" si="0"/>
        <v>410220</v>
      </c>
    </row>
    <row r="15" spans="1:12" ht="60" x14ac:dyDescent="0.2">
      <c r="A15" s="9" t="s">
        <v>29</v>
      </c>
      <c r="B15" s="24" t="s">
        <v>12</v>
      </c>
      <c r="C15" s="9" t="s">
        <v>10</v>
      </c>
      <c r="D15" s="9">
        <v>10</v>
      </c>
      <c r="E15" s="56">
        <v>35000</v>
      </c>
      <c r="F15" s="56">
        <v>350000</v>
      </c>
      <c r="G15" s="61">
        <v>38500</v>
      </c>
      <c r="H15" s="61">
        <v>385000</v>
      </c>
      <c r="I15" s="69">
        <v>37800</v>
      </c>
      <c r="J15" s="113">
        <v>378000</v>
      </c>
      <c r="K15" s="77">
        <f t="shared" si="0"/>
        <v>37100</v>
      </c>
      <c r="L15" s="77">
        <f t="shared" si="0"/>
        <v>371000</v>
      </c>
    </row>
    <row r="16" spans="1:12" ht="144" x14ac:dyDescent="0.2">
      <c r="A16" s="9" t="s">
        <v>30</v>
      </c>
      <c r="B16" s="24" t="s">
        <v>31</v>
      </c>
      <c r="C16" s="9" t="s">
        <v>15</v>
      </c>
      <c r="D16" s="9">
        <v>10</v>
      </c>
      <c r="E16" s="56">
        <v>298179</v>
      </c>
      <c r="F16" s="56">
        <v>2981790</v>
      </c>
      <c r="G16" s="62">
        <v>327996.90000000002</v>
      </c>
      <c r="H16" s="61">
        <v>3279969</v>
      </c>
      <c r="I16" s="68">
        <v>322033.32</v>
      </c>
      <c r="J16" s="68">
        <v>3220333.2</v>
      </c>
      <c r="K16" s="77">
        <f t="shared" si="0"/>
        <v>316069.74</v>
      </c>
      <c r="L16" s="77">
        <f t="shared" si="0"/>
        <v>3160697.4</v>
      </c>
    </row>
    <row r="17" spans="1:12" ht="204" x14ac:dyDescent="0.2">
      <c r="A17" s="9" t="s">
        <v>32</v>
      </c>
      <c r="B17" s="24" t="s">
        <v>33</v>
      </c>
      <c r="C17" s="9" t="s">
        <v>15</v>
      </c>
      <c r="D17" s="9">
        <v>1</v>
      </c>
      <c r="E17" s="56">
        <v>25500000</v>
      </c>
      <c r="F17" s="56">
        <v>25500000</v>
      </c>
      <c r="G17" s="61">
        <v>28050000</v>
      </c>
      <c r="H17" s="61">
        <v>28050000</v>
      </c>
      <c r="I17" s="69">
        <v>27540000</v>
      </c>
      <c r="J17" s="69">
        <v>27540000</v>
      </c>
      <c r="K17" s="77">
        <f t="shared" si="0"/>
        <v>27030000</v>
      </c>
      <c r="L17" s="77">
        <f t="shared" si="0"/>
        <v>27030000</v>
      </c>
    </row>
    <row r="18" spans="1:12" x14ac:dyDescent="0.2">
      <c r="A18" s="91"/>
      <c r="B18" s="92" t="s">
        <v>34</v>
      </c>
      <c r="C18" s="93"/>
      <c r="D18" s="93"/>
      <c r="E18" s="97"/>
      <c r="F18" s="98"/>
      <c r="G18" s="97"/>
      <c r="H18" s="98"/>
      <c r="I18" s="97"/>
      <c r="J18" s="98"/>
      <c r="K18" s="117"/>
      <c r="L18" s="117"/>
    </row>
    <row r="19" spans="1:12" ht="24" x14ac:dyDescent="0.2">
      <c r="A19" s="9" t="s">
        <v>37</v>
      </c>
      <c r="B19" s="108" t="s">
        <v>35</v>
      </c>
      <c r="C19" s="14" t="s">
        <v>36</v>
      </c>
      <c r="D19" s="14">
        <v>4</v>
      </c>
      <c r="E19" s="55">
        <v>50000</v>
      </c>
      <c r="F19" s="56">
        <v>200000</v>
      </c>
      <c r="G19" s="63">
        <v>55000</v>
      </c>
      <c r="H19" s="61">
        <v>220000</v>
      </c>
      <c r="I19" s="70">
        <v>54000</v>
      </c>
      <c r="J19" s="69">
        <v>216000</v>
      </c>
      <c r="K19" s="77">
        <f t="shared" si="0"/>
        <v>53000</v>
      </c>
      <c r="L19" s="77">
        <f t="shared" si="0"/>
        <v>212000</v>
      </c>
    </row>
    <row r="20" spans="1:12" ht="36" x14ac:dyDescent="0.2">
      <c r="A20" s="9" t="s">
        <v>40</v>
      </c>
      <c r="B20" s="108" t="s">
        <v>38</v>
      </c>
      <c r="C20" s="14" t="s">
        <v>39</v>
      </c>
      <c r="D20" s="14">
        <f>(2*2.22)+(2.8*2.2)+(2.8*2.22)-(1.3*0.95)-(1.2*1.32)-(0.78*2.2)</f>
        <v>12.281000000000002</v>
      </c>
      <c r="E20" s="55">
        <v>43559</v>
      </c>
      <c r="F20" s="57">
        <v>534948.07999999996</v>
      </c>
      <c r="G20" s="60">
        <v>47914.9</v>
      </c>
      <c r="H20" s="62">
        <v>588442.89</v>
      </c>
      <c r="I20" s="67">
        <v>47043.72</v>
      </c>
      <c r="J20" s="68">
        <v>577743.93000000005</v>
      </c>
      <c r="K20" s="77">
        <f t="shared" si="0"/>
        <v>46172.54</v>
      </c>
      <c r="L20" s="77">
        <f t="shared" si="0"/>
        <v>567044.96666666667</v>
      </c>
    </row>
    <row r="21" spans="1:12" ht="36" x14ac:dyDescent="0.2">
      <c r="A21" s="9" t="s">
        <v>42</v>
      </c>
      <c r="B21" s="108" t="s">
        <v>41</v>
      </c>
      <c r="C21" s="14" t="s">
        <v>39</v>
      </c>
      <c r="D21" s="14">
        <v>5</v>
      </c>
      <c r="E21" s="55">
        <v>29834</v>
      </c>
      <c r="F21" s="56">
        <v>149170</v>
      </c>
      <c r="G21" s="60">
        <v>32817.4</v>
      </c>
      <c r="H21" s="61">
        <v>164087</v>
      </c>
      <c r="I21" s="67">
        <v>32220.720000000001</v>
      </c>
      <c r="J21" s="68">
        <v>161103.6</v>
      </c>
      <c r="K21" s="77">
        <f t="shared" si="0"/>
        <v>31624.039999999997</v>
      </c>
      <c r="L21" s="77">
        <f t="shared" si="0"/>
        <v>158120.19999999998</v>
      </c>
    </row>
    <row r="22" spans="1:12" ht="48" x14ac:dyDescent="0.2">
      <c r="A22" s="9" t="s">
        <v>44</v>
      </c>
      <c r="B22" s="108" t="s">
        <v>43</v>
      </c>
      <c r="C22" s="14" t="s">
        <v>39</v>
      </c>
      <c r="D22" s="14">
        <v>5</v>
      </c>
      <c r="E22" s="55">
        <v>51884</v>
      </c>
      <c r="F22" s="56">
        <v>259420</v>
      </c>
      <c r="G22" s="60">
        <v>57072.4</v>
      </c>
      <c r="H22" s="61">
        <v>285362</v>
      </c>
      <c r="I22" s="67">
        <v>56034.720000000001</v>
      </c>
      <c r="J22" s="68">
        <v>280173.59999999998</v>
      </c>
      <c r="K22" s="77">
        <f t="shared" si="0"/>
        <v>54997.04</v>
      </c>
      <c r="L22" s="77">
        <f t="shared" si="0"/>
        <v>274985.2</v>
      </c>
    </row>
    <row r="23" spans="1:12" ht="168" x14ac:dyDescent="0.2">
      <c r="A23" s="9" t="s">
        <v>46</v>
      </c>
      <c r="B23" s="108" t="s">
        <v>45</v>
      </c>
      <c r="C23" s="14" t="s">
        <v>39</v>
      </c>
      <c r="D23" s="14">
        <v>8.8000000000000007</v>
      </c>
      <c r="E23" s="55">
        <v>245000</v>
      </c>
      <c r="F23" s="56">
        <v>2156000</v>
      </c>
      <c r="G23" s="63">
        <v>269500</v>
      </c>
      <c r="H23" s="61">
        <v>2371600</v>
      </c>
      <c r="I23" s="70">
        <v>264600</v>
      </c>
      <c r="J23" s="69">
        <v>2328480</v>
      </c>
      <c r="K23" s="77">
        <f t="shared" si="0"/>
        <v>259700</v>
      </c>
      <c r="L23" s="77">
        <f t="shared" si="0"/>
        <v>2285360</v>
      </c>
    </row>
    <row r="24" spans="1:12" ht="120" x14ac:dyDescent="0.2">
      <c r="A24" s="9" t="s">
        <v>48</v>
      </c>
      <c r="B24" s="109" t="s">
        <v>47</v>
      </c>
      <c r="C24" s="14" t="s">
        <v>10</v>
      </c>
      <c r="D24" s="14">
        <f>2.5+2.5+3.6+3.6</f>
        <v>12.2</v>
      </c>
      <c r="E24" s="55">
        <v>45000</v>
      </c>
      <c r="F24" s="56">
        <v>549000</v>
      </c>
      <c r="G24" s="63">
        <v>49500</v>
      </c>
      <c r="H24" s="61">
        <v>603900</v>
      </c>
      <c r="I24" s="70">
        <v>48600</v>
      </c>
      <c r="J24" s="69">
        <v>592920</v>
      </c>
      <c r="K24" s="77">
        <f t="shared" si="0"/>
        <v>47700</v>
      </c>
      <c r="L24" s="77">
        <f t="shared" si="0"/>
        <v>581940</v>
      </c>
    </row>
    <row r="25" spans="1:12" ht="36" x14ac:dyDescent="0.2">
      <c r="A25" s="9" t="s">
        <v>50</v>
      </c>
      <c r="B25" s="108" t="s">
        <v>49</v>
      </c>
      <c r="C25" s="14" t="s">
        <v>39</v>
      </c>
      <c r="D25" s="14">
        <f>(2.4+2.5)*2.2</f>
        <v>10.780000000000001</v>
      </c>
      <c r="E25" s="55">
        <v>73172</v>
      </c>
      <c r="F25" s="57">
        <v>788794.16</v>
      </c>
      <c r="G25" s="60">
        <v>80489.2</v>
      </c>
      <c r="H25" s="62">
        <v>867673.58</v>
      </c>
      <c r="I25" s="67">
        <v>79025.759999999995</v>
      </c>
      <c r="J25" s="68">
        <v>851897.69</v>
      </c>
      <c r="K25" s="77">
        <f t="shared" si="0"/>
        <v>77562.320000000007</v>
      </c>
      <c r="L25" s="77">
        <f t="shared" si="0"/>
        <v>836121.80999999994</v>
      </c>
    </row>
    <row r="26" spans="1:12" ht="84" x14ac:dyDescent="0.2">
      <c r="A26" s="9" t="s">
        <v>52</v>
      </c>
      <c r="B26" s="110" t="s">
        <v>51</v>
      </c>
      <c r="C26" s="14" t="s">
        <v>39</v>
      </c>
      <c r="D26" s="14">
        <f>1.2*2.2</f>
        <v>2.64</v>
      </c>
      <c r="E26" s="55">
        <v>1250000</v>
      </c>
      <c r="F26" s="56">
        <v>3300000</v>
      </c>
      <c r="G26" s="63">
        <v>1375000</v>
      </c>
      <c r="H26" s="61">
        <v>3630000</v>
      </c>
      <c r="I26" s="70">
        <v>1350000</v>
      </c>
      <c r="J26" s="69">
        <v>3564000</v>
      </c>
      <c r="K26" s="77">
        <f t="shared" si="0"/>
        <v>1325000</v>
      </c>
      <c r="L26" s="77">
        <f t="shared" si="0"/>
        <v>3498000</v>
      </c>
    </row>
    <row r="27" spans="1:12" ht="84" x14ac:dyDescent="0.2">
      <c r="A27" s="9" t="s">
        <v>54</v>
      </c>
      <c r="B27" s="110" t="s">
        <v>53</v>
      </c>
      <c r="C27" s="14" t="s">
        <v>39</v>
      </c>
      <c r="D27" s="14">
        <f>1.3*0.95</f>
        <v>1.2349999999999999</v>
      </c>
      <c r="E27" s="55">
        <v>125000</v>
      </c>
      <c r="F27" s="56">
        <v>154375</v>
      </c>
      <c r="G27" s="63">
        <v>137500</v>
      </c>
      <c r="H27" s="62">
        <v>169812.5</v>
      </c>
      <c r="I27" s="70">
        <v>135000</v>
      </c>
      <c r="J27" s="69">
        <v>166725</v>
      </c>
      <c r="K27" s="77">
        <f t="shared" si="0"/>
        <v>132500</v>
      </c>
      <c r="L27" s="77">
        <f t="shared" si="0"/>
        <v>163637.5</v>
      </c>
    </row>
    <row r="28" spans="1:12" ht="24" x14ac:dyDescent="0.2">
      <c r="A28" s="9" t="s">
        <v>56</v>
      </c>
      <c r="B28" s="109" t="s">
        <v>55</v>
      </c>
      <c r="C28" s="14" t="s">
        <v>39</v>
      </c>
      <c r="D28" s="17">
        <f>(2.2*(2.4+2.45))+(1.3*0.95)+1</f>
        <v>12.904999999999999</v>
      </c>
      <c r="E28" s="55">
        <v>71485</v>
      </c>
      <c r="F28" s="57">
        <v>922513.93</v>
      </c>
      <c r="G28" s="60">
        <v>78633.5</v>
      </c>
      <c r="H28" s="62">
        <v>1014765.32</v>
      </c>
      <c r="I28" s="67">
        <v>77203.8</v>
      </c>
      <c r="J28" s="68">
        <v>996315.04</v>
      </c>
      <c r="K28" s="77">
        <f t="shared" si="0"/>
        <v>75774.099999999991</v>
      </c>
      <c r="L28" s="77">
        <f t="shared" si="0"/>
        <v>977864.76333333331</v>
      </c>
    </row>
    <row r="29" spans="1:12" ht="72" x14ac:dyDescent="0.2">
      <c r="A29" s="9" t="s">
        <v>58</v>
      </c>
      <c r="B29" s="109" t="s">
        <v>57</v>
      </c>
      <c r="C29" s="14" t="s">
        <v>39</v>
      </c>
      <c r="D29" s="17">
        <f>(2.2*(2.4+2.45))+(1.3*0.95)+1+D30</f>
        <v>23.574999999999999</v>
      </c>
      <c r="E29" s="55">
        <v>24855</v>
      </c>
      <c r="F29" s="57">
        <v>585956.63</v>
      </c>
      <c r="G29" s="60">
        <v>27340.5</v>
      </c>
      <c r="H29" s="62">
        <v>644552.29</v>
      </c>
      <c r="I29" s="67">
        <v>26843.4</v>
      </c>
      <c r="J29" s="68">
        <v>632833.16</v>
      </c>
      <c r="K29" s="77">
        <f t="shared" si="0"/>
        <v>26346.3</v>
      </c>
      <c r="L29" s="77">
        <f t="shared" si="0"/>
        <v>621114.02666666673</v>
      </c>
    </row>
    <row r="30" spans="1:12" ht="48" x14ac:dyDescent="0.2">
      <c r="A30" s="9" t="s">
        <v>60</v>
      </c>
      <c r="B30" s="109" t="s">
        <v>59</v>
      </c>
      <c r="C30" s="14" t="s">
        <v>39</v>
      </c>
      <c r="D30" s="14">
        <f>(2.2*(2.45+2.4))</f>
        <v>10.67</v>
      </c>
      <c r="E30" s="55">
        <v>24268</v>
      </c>
      <c r="F30" s="57">
        <v>258939.56</v>
      </c>
      <c r="G30" s="60">
        <v>26694.799999999999</v>
      </c>
      <c r="H30" s="62">
        <v>284833.52</v>
      </c>
      <c r="I30" s="67">
        <v>26209.439999999999</v>
      </c>
      <c r="J30" s="68">
        <v>279654.71999999997</v>
      </c>
      <c r="K30" s="77">
        <f t="shared" si="0"/>
        <v>25724.080000000002</v>
      </c>
      <c r="L30" s="77">
        <f t="shared" si="0"/>
        <v>274475.93333333335</v>
      </c>
    </row>
    <row r="31" spans="1:12" ht="120" x14ac:dyDescent="0.2">
      <c r="A31" s="9" t="s">
        <v>62</v>
      </c>
      <c r="B31" s="109" t="s">
        <v>61</v>
      </c>
      <c r="C31" s="14" t="s">
        <v>39</v>
      </c>
      <c r="D31" s="17">
        <f t="shared" ref="D31" si="1">(2.2*(2.4+2.45))+(1.3*0.95)+1</f>
        <v>12.904999999999999</v>
      </c>
      <c r="E31" s="55">
        <v>54658</v>
      </c>
      <c r="F31" s="57">
        <v>705361.49</v>
      </c>
      <c r="G31" s="60">
        <v>60123.8</v>
      </c>
      <c r="H31" s="62">
        <v>775897.64</v>
      </c>
      <c r="I31" s="67">
        <v>59030.64</v>
      </c>
      <c r="J31" s="68">
        <v>761790.41</v>
      </c>
      <c r="K31" s="77">
        <f t="shared" si="0"/>
        <v>57937.48</v>
      </c>
      <c r="L31" s="77">
        <f t="shared" si="0"/>
        <v>747683.18</v>
      </c>
    </row>
    <row r="32" spans="1:12" ht="72" x14ac:dyDescent="0.2">
      <c r="A32" s="9" t="s">
        <v>64</v>
      </c>
      <c r="B32" s="24" t="s">
        <v>63</v>
      </c>
      <c r="C32" s="9" t="s">
        <v>39</v>
      </c>
      <c r="D32" s="9">
        <f>D23</f>
        <v>8.8000000000000007</v>
      </c>
      <c r="E32" s="56">
        <v>23406</v>
      </c>
      <c r="F32" s="57">
        <v>205972.8</v>
      </c>
      <c r="G32" s="62">
        <v>25746.6</v>
      </c>
      <c r="H32" s="62">
        <v>226570.08</v>
      </c>
      <c r="I32" s="68">
        <v>25278.48</v>
      </c>
      <c r="J32" s="68">
        <v>222450.62</v>
      </c>
      <c r="K32" s="77">
        <f t="shared" si="0"/>
        <v>24810.36</v>
      </c>
      <c r="L32" s="77">
        <f t="shared" si="0"/>
        <v>218331.16666666666</v>
      </c>
    </row>
    <row r="33" spans="1:12" ht="60" x14ac:dyDescent="0.2">
      <c r="A33" s="9" t="s">
        <v>65</v>
      </c>
      <c r="B33" s="24" t="s">
        <v>66</v>
      </c>
      <c r="C33" s="9" t="s">
        <v>39</v>
      </c>
      <c r="D33" s="9">
        <f>D32</f>
        <v>8.8000000000000007</v>
      </c>
      <c r="E33" s="56">
        <v>150469</v>
      </c>
      <c r="F33" s="57">
        <v>1324127.2</v>
      </c>
      <c r="G33" s="62">
        <v>165515.9</v>
      </c>
      <c r="H33" s="62">
        <v>1456539.92</v>
      </c>
      <c r="I33" s="68">
        <v>162506.51999999999</v>
      </c>
      <c r="J33" s="68">
        <v>1430057.38</v>
      </c>
      <c r="K33" s="77">
        <f t="shared" si="0"/>
        <v>159497.14000000001</v>
      </c>
      <c r="L33" s="77">
        <f t="shared" si="0"/>
        <v>1403574.8333333333</v>
      </c>
    </row>
    <row r="34" spans="1:12" ht="144" x14ac:dyDescent="0.2">
      <c r="A34" s="9" t="s">
        <v>67</v>
      </c>
      <c r="B34" s="24" t="s">
        <v>14</v>
      </c>
      <c r="C34" s="9" t="s">
        <v>15</v>
      </c>
      <c r="D34" s="9">
        <v>3</v>
      </c>
      <c r="E34" s="56">
        <v>298179</v>
      </c>
      <c r="F34" s="56">
        <v>894537</v>
      </c>
      <c r="G34" s="62">
        <v>327996.90000000002</v>
      </c>
      <c r="H34" s="62">
        <v>983990.7</v>
      </c>
      <c r="I34" s="68">
        <v>322033.32</v>
      </c>
      <c r="J34" s="68">
        <v>966099.96</v>
      </c>
      <c r="K34" s="77">
        <f t="shared" si="0"/>
        <v>316069.74</v>
      </c>
      <c r="L34" s="77">
        <f t="shared" si="0"/>
        <v>948209.22000000009</v>
      </c>
    </row>
    <row r="35" spans="1:12" ht="132" x14ac:dyDescent="0.2">
      <c r="A35" s="9" t="s">
        <v>68</v>
      </c>
      <c r="B35" s="24" t="s">
        <v>19</v>
      </c>
      <c r="C35" s="9" t="s">
        <v>36</v>
      </c>
      <c r="D35" s="9">
        <v>3</v>
      </c>
      <c r="E35" s="56">
        <v>165000</v>
      </c>
      <c r="F35" s="56">
        <v>495000</v>
      </c>
      <c r="G35" s="61">
        <v>181500</v>
      </c>
      <c r="H35" s="61">
        <v>544500</v>
      </c>
      <c r="I35" s="69">
        <v>178200</v>
      </c>
      <c r="J35" s="69">
        <v>534600</v>
      </c>
      <c r="K35" s="77">
        <f t="shared" si="0"/>
        <v>174900</v>
      </c>
      <c r="L35" s="77">
        <f t="shared" si="0"/>
        <v>524700</v>
      </c>
    </row>
    <row r="36" spans="1:12" x14ac:dyDescent="0.2">
      <c r="A36" s="20" t="s">
        <v>69</v>
      </c>
      <c r="B36" s="99" t="s">
        <v>224</v>
      </c>
      <c r="C36" s="99"/>
      <c r="D36" s="99"/>
      <c r="E36" s="100"/>
      <c r="F36" s="100"/>
      <c r="G36" s="100"/>
      <c r="H36" s="100"/>
      <c r="I36" s="100"/>
      <c r="J36" s="100"/>
      <c r="K36" s="118"/>
      <c r="L36" s="118"/>
    </row>
    <row r="37" spans="1:12" x14ac:dyDescent="0.2">
      <c r="A37" s="101"/>
      <c r="B37" s="102" t="s">
        <v>7</v>
      </c>
      <c r="C37" s="103"/>
      <c r="D37" s="103"/>
      <c r="E37" s="104"/>
      <c r="F37" s="12"/>
      <c r="G37" s="104"/>
      <c r="H37" s="12"/>
      <c r="I37" s="104"/>
      <c r="J37" s="12"/>
      <c r="K37" s="119"/>
      <c r="L37" s="119"/>
    </row>
    <row r="38" spans="1:12" ht="132" x14ac:dyDescent="0.2">
      <c r="A38" s="9" t="s">
        <v>70</v>
      </c>
      <c r="B38" s="24" t="s">
        <v>17</v>
      </c>
      <c r="C38" s="9" t="s">
        <v>15</v>
      </c>
      <c r="D38" s="9">
        <v>2</v>
      </c>
      <c r="E38" s="56">
        <v>245000</v>
      </c>
      <c r="F38" s="56">
        <v>490000</v>
      </c>
      <c r="G38" s="61">
        <v>269500</v>
      </c>
      <c r="H38" s="61">
        <v>539000</v>
      </c>
      <c r="I38" s="69">
        <v>264600</v>
      </c>
      <c r="J38" s="69">
        <v>529200</v>
      </c>
      <c r="K38" s="77">
        <f t="shared" si="0"/>
        <v>259700</v>
      </c>
      <c r="L38" s="77">
        <f t="shared" si="0"/>
        <v>519400</v>
      </c>
    </row>
    <row r="39" spans="1:12" ht="132" x14ac:dyDescent="0.2">
      <c r="A39" s="9" t="s">
        <v>71</v>
      </c>
      <c r="B39" s="24" t="s">
        <v>19</v>
      </c>
      <c r="C39" s="9" t="s">
        <v>15</v>
      </c>
      <c r="D39" s="9">
        <v>3</v>
      </c>
      <c r="E39" s="56">
        <v>165000</v>
      </c>
      <c r="F39" s="56">
        <v>495000</v>
      </c>
      <c r="G39" s="61">
        <v>181500</v>
      </c>
      <c r="H39" s="61">
        <v>544500</v>
      </c>
      <c r="I39" s="69">
        <v>178200</v>
      </c>
      <c r="J39" s="69">
        <v>534600</v>
      </c>
      <c r="K39" s="77">
        <f t="shared" si="0"/>
        <v>174900</v>
      </c>
      <c r="L39" s="77">
        <f t="shared" si="0"/>
        <v>524700</v>
      </c>
    </row>
    <row r="40" spans="1:12" ht="132" x14ac:dyDescent="0.2">
      <c r="A40" s="9" t="s">
        <v>72</v>
      </c>
      <c r="B40" s="24" t="s">
        <v>17</v>
      </c>
      <c r="C40" s="9" t="s">
        <v>15</v>
      </c>
      <c r="D40" s="9">
        <v>1</v>
      </c>
      <c r="E40" s="56">
        <v>245000</v>
      </c>
      <c r="F40" s="56">
        <v>245000</v>
      </c>
      <c r="G40" s="61">
        <v>269500</v>
      </c>
      <c r="H40" s="61">
        <v>269500</v>
      </c>
      <c r="I40" s="69">
        <v>264600</v>
      </c>
      <c r="J40" s="69">
        <v>264600</v>
      </c>
      <c r="K40" s="77">
        <f t="shared" si="0"/>
        <v>259700</v>
      </c>
      <c r="L40" s="77">
        <f t="shared" si="0"/>
        <v>259700</v>
      </c>
    </row>
    <row r="41" spans="1:12" ht="132" x14ac:dyDescent="0.2">
      <c r="A41" s="9" t="s">
        <v>73</v>
      </c>
      <c r="B41" s="24" t="s">
        <v>17</v>
      </c>
      <c r="C41" s="9" t="s">
        <v>15</v>
      </c>
      <c r="D41" s="9">
        <v>12</v>
      </c>
      <c r="E41" s="56">
        <v>245000</v>
      </c>
      <c r="F41" s="56">
        <v>2940000</v>
      </c>
      <c r="G41" s="61">
        <v>269500</v>
      </c>
      <c r="H41" s="61">
        <v>3234000</v>
      </c>
      <c r="I41" s="69">
        <v>264600</v>
      </c>
      <c r="J41" s="69">
        <v>3175200</v>
      </c>
      <c r="K41" s="77">
        <f t="shared" si="0"/>
        <v>259700</v>
      </c>
      <c r="L41" s="77">
        <f t="shared" si="0"/>
        <v>3116400</v>
      </c>
    </row>
    <row r="42" spans="1:12" x14ac:dyDescent="0.2">
      <c r="A42" s="101"/>
      <c r="B42" s="102" t="s">
        <v>79</v>
      </c>
      <c r="C42" s="103"/>
      <c r="D42" s="103"/>
      <c r="E42" s="104"/>
      <c r="F42" s="12"/>
      <c r="G42" s="104"/>
      <c r="H42" s="12"/>
      <c r="I42" s="104"/>
      <c r="J42" s="12"/>
      <c r="K42" s="119"/>
      <c r="L42" s="119"/>
    </row>
    <row r="43" spans="1:12" ht="156" x14ac:dyDescent="0.2">
      <c r="A43" s="9" t="s">
        <v>74</v>
      </c>
      <c r="B43" s="24" t="s">
        <v>81</v>
      </c>
      <c r="C43" s="9" t="s">
        <v>39</v>
      </c>
      <c r="D43" s="18">
        <f>2.2*(1.8+1.8+2.42+1.7)</f>
        <v>16.984000000000002</v>
      </c>
      <c r="E43" s="56">
        <v>37025</v>
      </c>
      <c r="F43" s="57">
        <v>628832.6</v>
      </c>
      <c r="G43" s="62">
        <v>40727.5</v>
      </c>
      <c r="H43" s="62">
        <v>691715.86</v>
      </c>
      <c r="I43" s="69">
        <v>39987</v>
      </c>
      <c r="J43" s="68">
        <v>679139.21</v>
      </c>
      <c r="K43" s="77">
        <f t="shared" si="0"/>
        <v>39246.5</v>
      </c>
      <c r="L43" s="77">
        <f t="shared" si="0"/>
        <v>666562.55666666664</v>
      </c>
    </row>
    <row r="44" spans="1:12" ht="72" x14ac:dyDescent="0.2">
      <c r="A44" s="9" t="s">
        <v>75</v>
      </c>
      <c r="B44" s="24" t="s">
        <v>63</v>
      </c>
      <c r="C44" s="9" t="s">
        <v>39</v>
      </c>
      <c r="D44" s="9">
        <f>2.5*1.7</f>
        <v>4.25</v>
      </c>
      <c r="E44" s="56">
        <v>23406</v>
      </c>
      <c r="F44" s="57">
        <v>99475.5</v>
      </c>
      <c r="G44" s="62">
        <v>25746.6</v>
      </c>
      <c r="H44" s="62">
        <v>109423.05</v>
      </c>
      <c r="I44" s="68">
        <v>25278.48</v>
      </c>
      <c r="J44" s="68">
        <v>107433.54</v>
      </c>
      <c r="K44" s="77">
        <f t="shared" si="0"/>
        <v>24810.36</v>
      </c>
      <c r="L44" s="77">
        <f t="shared" si="0"/>
        <v>105444.02999999998</v>
      </c>
    </row>
    <row r="45" spans="1:12" ht="108" x14ac:dyDescent="0.2">
      <c r="A45" s="9" t="s">
        <v>76</v>
      </c>
      <c r="B45" s="24" t="s">
        <v>78</v>
      </c>
      <c r="C45" s="9" t="s">
        <v>36</v>
      </c>
      <c r="D45" s="9">
        <v>1</v>
      </c>
      <c r="E45" s="56">
        <v>195000</v>
      </c>
      <c r="F45" s="56">
        <v>195000</v>
      </c>
      <c r="G45" s="61">
        <v>214500</v>
      </c>
      <c r="H45" s="61">
        <v>214500</v>
      </c>
      <c r="I45" s="69">
        <v>210600</v>
      </c>
      <c r="J45" s="69">
        <v>210600</v>
      </c>
      <c r="K45" s="77">
        <f t="shared" si="0"/>
        <v>206700</v>
      </c>
      <c r="L45" s="77">
        <f t="shared" si="0"/>
        <v>206700</v>
      </c>
    </row>
    <row r="46" spans="1:12" ht="168" x14ac:dyDescent="0.2">
      <c r="A46" s="9" t="s">
        <v>77</v>
      </c>
      <c r="B46" s="24" t="s">
        <v>220</v>
      </c>
      <c r="C46" s="9" t="s">
        <v>39</v>
      </c>
      <c r="D46" s="18">
        <f>D43</f>
        <v>16.984000000000002</v>
      </c>
      <c r="E46" s="56">
        <v>156000</v>
      </c>
      <c r="F46" s="56">
        <v>2649504</v>
      </c>
      <c r="G46" s="61">
        <v>171600</v>
      </c>
      <c r="H46" s="62">
        <v>2914454.4</v>
      </c>
      <c r="I46" s="68">
        <v>168480</v>
      </c>
      <c r="J46" s="68">
        <v>2861464.32</v>
      </c>
      <c r="K46" s="77">
        <f t="shared" si="0"/>
        <v>165360</v>
      </c>
      <c r="L46" s="77">
        <f t="shared" si="0"/>
        <v>2808474.24</v>
      </c>
    </row>
    <row r="47" spans="1:12" ht="60" x14ac:dyDescent="0.2">
      <c r="A47" s="9" t="s">
        <v>80</v>
      </c>
      <c r="B47" s="24" t="s">
        <v>66</v>
      </c>
      <c r="C47" s="9" t="s">
        <v>39</v>
      </c>
      <c r="D47" s="9">
        <f>D44</f>
        <v>4.25</v>
      </c>
      <c r="E47" s="56">
        <v>150469</v>
      </c>
      <c r="F47" s="57">
        <v>639493.25</v>
      </c>
      <c r="G47" s="62">
        <v>165515.9</v>
      </c>
      <c r="H47" s="62">
        <v>703442.58</v>
      </c>
      <c r="I47" s="68">
        <v>162506.51999999999</v>
      </c>
      <c r="J47" s="68">
        <v>690652.71</v>
      </c>
      <c r="K47" s="77">
        <f t="shared" si="0"/>
        <v>159497.14000000001</v>
      </c>
      <c r="L47" s="77">
        <f t="shared" si="0"/>
        <v>677862.84666666668</v>
      </c>
    </row>
    <row r="48" spans="1:12" x14ac:dyDescent="0.2">
      <c r="A48" s="101"/>
      <c r="B48" s="102" t="s">
        <v>88</v>
      </c>
      <c r="C48" s="103"/>
      <c r="D48" s="103"/>
      <c r="E48" s="104"/>
      <c r="F48" s="12"/>
      <c r="G48" s="104"/>
      <c r="H48" s="12"/>
      <c r="I48" s="104"/>
      <c r="J48" s="12"/>
      <c r="K48" s="119"/>
      <c r="L48" s="119"/>
    </row>
    <row r="49" spans="1:12" ht="72" x14ac:dyDescent="0.2">
      <c r="A49" s="9" t="s">
        <v>82</v>
      </c>
      <c r="B49" s="24" t="s">
        <v>63</v>
      </c>
      <c r="C49" s="9" t="s">
        <v>39</v>
      </c>
      <c r="D49" s="9">
        <f>2.2*1.1</f>
        <v>2.4200000000000004</v>
      </c>
      <c r="E49" s="56">
        <v>23406</v>
      </c>
      <c r="F49" s="57">
        <v>56642.52</v>
      </c>
      <c r="G49" s="62">
        <v>25746.6</v>
      </c>
      <c r="H49" s="62">
        <v>62306.77</v>
      </c>
      <c r="I49" s="68">
        <v>25278.48</v>
      </c>
      <c r="J49" s="68">
        <v>61173.919999999998</v>
      </c>
      <c r="K49" s="77">
        <f t="shared" si="0"/>
        <v>24810.36</v>
      </c>
      <c r="L49" s="77">
        <f t="shared" si="0"/>
        <v>60041.07</v>
      </c>
    </row>
    <row r="50" spans="1:12" ht="108" x14ac:dyDescent="0.2">
      <c r="A50" s="9" t="s">
        <v>83</v>
      </c>
      <c r="B50" s="24" t="s">
        <v>78</v>
      </c>
      <c r="C50" s="9" t="s">
        <v>36</v>
      </c>
      <c r="D50" s="9">
        <v>1</v>
      </c>
      <c r="E50" s="56">
        <v>195000</v>
      </c>
      <c r="F50" s="56">
        <v>195000</v>
      </c>
      <c r="G50" s="61">
        <v>214500</v>
      </c>
      <c r="H50" s="61">
        <v>214500</v>
      </c>
      <c r="I50" s="69">
        <v>210600</v>
      </c>
      <c r="J50" s="69">
        <v>210600</v>
      </c>
      <c r="K50" s="77">
        <f t="shared" si="0"/>
        <v>206700</v>
      </c>
      <c r="L50" s="77">
        <f t="shared" si="0"/>
        <v>206700</v>
      </c>
    </row>
    <row r="51" spans="1:12" ht="60" x14ac:dyDescent="0.2">
      <c r="A51" s="9" t="s">
        <v>84</v>
      </c>
      <c r="B51" s="24" t="s">
        <v>66</v>
      </c>
      <c r="C51" s="9" t="s">
        <v>39</v>
      </c>
      <c r="D51" s="9">
        <f>D49</f>
        <v>2.4200000000000004</v>
      </c>
      <c r="E51" s="56">
        <v>150469</v>
      </c>
      <c r="F51" s="57">
        <v>364134.98</v>
      </c>
      <c r="G51" s="62">
        <v>165515.9</v>
      </c>
      <c r="H51" s="62">
        <v>400548.48</v>
      </c>
      <c r="I51" s="68">
        <v>162506.51999999999</v>
      </c>
      <c r="J51" s="68">
        <v>393265.78</v>
      </c>
      <c r="K51" s="77">
        <f t="shared" si="0"/>
        <v>159497.14000000001</v>
      </c>
      <c r="L51" s="77">
        <f t="shared" si="0"/>
        <v>385983.08</v>
      </c>
    </row>
    <row r="52" spans="1:12" x14ac:dyDescent="0.2">
      <c r="A52" s="101"/>
      <c r="B52" s="106" t="s">
        <v>93</v>
      </c>
      <c r="C52" s="103"/>
      <c r="D52" s="103"/>
      <c r="E52" s="104"/>
      <c r="F52" s="12"/>
      <c r="G52" s="104"/>
      <c r="H52" s="12"/>
      <c r="I52" s="104"/>
      <c r="J52" s="12"/>
      <c r="K52" s="119"/>
      <c r="L52" s="119"/>
    </row>
    <row r="53" spans="1:12" ht="72" x14ac:dyDescent="0.2">
      <c r="A53" s="9" t="s">
        <v>85</v>
      </c>
      <c r="B53" s="24" t="s">
        <v>63</v>
      </c>
      <c r="C53" s="9" t="s">
        <v>39</v>
      </c>
      <c r="D53" s="9">
        <f>1.1*2.3</f>
        <v>2.5299999999999998</v>
      </c>
      <c r="E53" s="56">
        <v>23406</v>
      </c>
      <c r="F53" s="57">
        <v>59217.18</v>
      </c>
      <c r="G53" s="62">
        <v>25746.6</v>
      </c>
      <c r="H53" s="62">
        <v>65138.9</v>
      </c>
      <c r="I53" s="68">
        <v>25278.48</v>
      </c>
      <c r="J53" s="68">
        <v>63954.55</v>
      </c>
      <c r="K53" s="77">
        <f t="shared" si="0"/>
        <v>24810.36</v>
      </c>
      <c r="L53" s="77">
        <f t="shared" si="0"/>
        <v>62770.21</v>
      </c>
    </row>
    <row r="54" spans="1:12" ht="108" x14ac:dyDescent="0.2">
      <c r="A54" s="9" t="s">
        <v>86</v>
      </c>
      <c r="B54" s="24" t="s">
        <v>78</v>
      </c>
      <c r="C54" s="9" t="s">
        <v>36</v>
      </c>
      <c r="D54" s="9">
        <v>1</v>
      </c>
      <c r="E54" s="56">
        <v>195000</v>
      </c>
      <c r="F54" s="56">
        <v>195000</v>
      </c>
      <c r="G54" s="61">
        <v>214500</v>
      </c>
      <c r="H54" s="61">
        <v>214500</v>
      </c>
      <c r="I54" s="68">
        <v>210600</v>
      </c>
      <c r="J54" s="68">
        <v>210600</v>
      </c>
      <c r="K54" s="77">
        <f t="shared" si="0"/>
        <v>206700</v>
      </c>
      <c r="L54" s="77">
        <f t="shared" si="0"/>
        <v>206700</v>
      </c>
    </row>
    <row r="55" spans="1:12" ht="60" x14ac:dyDescent="0.2">
      <c r="A55" s="9" t="s">
        <v>87</v>
      </c>
      <c r="B55" s="24" t="s">
        <v>66</v>
      </c>
      <c r="C55" s="9" t="s">
        <v>39</v>
      </c>
      <c r="D55" s="9">
        <f>D53</f>
        <v>2.5299999999999998</v>
      </c>
      <c r="E55" s="56">
        <v>150469</v>
      </c>
      <c r="F55" s="57">
        <v>380686.57</v>
      </c>
      <c r="G55" s="62">
        <v>165515.9</v>
      </c>
      <c r="H55" s="62">
        <v>418755.23</v>
      </c>
      <c r="I55" s="68">
        <v>162506.51999999999</v>
      </c>
      <c r="J55" s="68">
        <v>411141.5</v>
      </c>
      <c r="K55" s="77">
        <f t="shared" si="0"/>
        <v>159497.14000000001</v>
      </c>
      <c r="L55" s="77">
        <f t="shared" si="0"/>
        <v>403527.76666666666</v>
      </c>
    </row>
    <row r="56" spans="1:12" ht="108" x14ac:dyDescent="0.2">
      <c r="A56" s="9" t="s">
        <v>89</v>
      </c>
      <c r="B56" s="24" t="s">
        <v>96</v>
      </c>
      <c r="C56" s="9" t="s">
        <v>15</v>
      </c>
      <c r="D56" s="9">
        <v>1</v>
      </c>
      <c r="E56" s="56">
        <v>298179</v>
      </c>
      <c r="F56" s="56">
        <v>298179</v>
      </c>
      <c r="G56" s="62">
        <v>327996.90000000002</v>
      </c>
      <c r="H56" s="62">
        <v>327996.90000000002</v>
      </c>
      <c r="I56" s="68">
        <v>322033.32</v>
      </c>
      <c r="J56" s="68">
        <v>322033.32</v>
      </c>
      <c r="K56" s="77">
        <f t="shared" si="0"/>
        <v>316069.74</v>
      </c>
      <c r="L56" s="77">
        <f t="shared" si="0"/>
        <v>316069.74</v>
      </c>
    </row>
    <row r="57" spans="1:12" x14ac:dyDescent="0.2">
      <c r="A57" s="101"/>
      <c r="B57" s="102" t="s">
        <v>97</v>
      </c>
      <c r="C57" s="103"/>
      <c r="D57" s="103"/>
      <c r="E57" s="104"/>
      <c r="F57" s="12"/>
      <c r="G57" s="104"/>
      <c r="H57" s="12"/>
      <c r="I57" s="104"/>
      <c r="J57" s="12"/>
      <c r="K57" s="119"/>
      <c r="L57" s="119"/>
    </row>
    <row r="58" spans="1:12" ht="96" x14ac:dyDescent="0.2">
      <c r="A58" s="9" t="s">
        <v>90</v>
      </c>
      <c r="B58" s="24" t="s">
        <v>98</v>
      </c>
      <c r="C58" s="9" t="s">
        <v>39</v>
      </c>
      <c r="D58" s="9">
        <v>95</v>
      </c>
      <c r="E58" s="56">
        <v>145000</v>
      </c>
      <c r="F58" s="56">
        <v>13775000</v>
      </c>
      <c r="G58" s="62">
        <v>159500</v>
      </c>
      <c r="H58" s="61">
        <v>15152500</v>
      </c>
      <c r="I58" s="69">
        <v>156600</v>
      </c>
      <c r="J58" s="69">
        <v>14877000</v>
      </c>
      <c r="K58" s="77">
        <f t="shared" si="0"/>
        <v>153700</v>
      </c>
      <c r="L58" s="77">
        <f t="shared" si="0"/>
        <v>14601500</v>
      </c>
    </row>
    <row r="59" spans="1:12" ht="108" x14ac:dyDescent="0.2">
      <c r="A59" s="9" t="s">
        <v>91</v>
      </c>
      <c r="B59" s="75" t="s">
        <v>99</v>
      </c>
      <c r="C59" s="9" t="s">
        <v>36</v>
      </c>
      <c r="D59" s="9">
        <v>200</v>
      </c>
      <c r="E59" s="56">
        <v>25000</v>
      </c>
      <c r="F59" s="56">
        <v>5000000</v>
      </c>
      <c r="G59" s="61">
        <v>27500</v>
      </c>
      <c r="H59" s="61">
        <v>5500000</v>
      </c>
      <c r="I59" s="69">
        <v>27000</v>
      </c>
      <c r="J59" s="69">
        <v>5400000</v>
      </c>
      <c r="K59" s="77">
        <f t="shared" si="0"/>
        <v>26500</v>
      </c>
      <c r="L59" s="77">
        <f t="shared" si="0"/>
        <v>5300000</v>
      </c>
    </row>
    <row r="60" spans="1:12" ht="60" x14ac:dyDescent="0.2">
      <c r="A60" s="9" t="s">
        <v>92</v>
      </c>
      <c r="B60" s="75" t="s">
        <v>100</v>
      </c>
      <c r="C60" s="9" t="s">
        <v>39</v>
      </c>
      <c r="D60" s="9">
        <v>30</v>
      </c>
      <c r="E60" s="56">
        <v>78633</v>
      </c>
      <c r="F60" s="56">
        <v>2358990</v>
      </c>
      <c r="G60" s="62">
        <v>86496.3</v>
      </c>
      <c r="H60" s="61">
        <v>2594889</v>
      </c>
      <c r="I60" s="68">
        <v>84923.64</v>
      </c>
      <c r="J60" s="68">
        <v>2547709.2000000002</v>
      </c>
      <c r="K60" s="77">
        <f t="shared" si="0"/>
        <v>83350.98</v>
      </c>
      <c r="L60" s="77">
        <f t="shared" si="0"/>
        <v>2500529.4</v>
      </c>
    </row>
    <row r="61" spans="1:12" ht="96" x14ac:dyDescent="0.2">
      <c r="A61" s="9" t="s">
        <v>94</v>
      </c>
      <c r="B61" s="75" t="s">
        <v>101</v>
      </c>
      <c r="C61" s="9" t="s">
        <v>10</v>
      </c>
      <c r="D61" s="9">
        <f>1.5*10</f>
        <v>15</v>
      </c>
      <c r="E61" s="56">
        <v>116747</v>
      </c>
      <c r="F61" s="56">
        <v>1751205</v>
      </c>
      <c r="G61" s="62">
        <v>128421.7</v>
      </c>
      <c r="H61" s="62">
        <v>1926325.5</v>
      </c>
      <c r="I61" s="68">
        <v>126086.76</v>
      </c>
      <c r="J61" s="68">
        <v>1891301.4</v>
      </c>
      <c r="K61" s="77">
        <f t="shared" si="0"/>
        <v>123751.82</v>
      </c>
      <c r="L61" s="77">
        <f t="shared" si="0"/>
        <v>1856277.3</v>
      </c>
    </row>
    <row r="62" spans="1:12" ht="96" x14ac:dyDescent="0.2">
      <c r="A62" s="9" t="s">
        <v>95</v>
      </c>
      <c r="B62" s="24" t="s">
        <v>102</v>
      </c>
      <c r="C62" s="9" t="s">
        <v>10</v>
      </c>
      <c r="D62" s="9">
        <v>15</v>
      </c>
      <c r="E62" s="56">
        <v>67404</v>
      </c>
      <c r="F62" s="56">
        <v>1011060</v>
      </c>
      <c r="G62" s="62">
        <v>74144.399999999994</v>
      </c>
      <c r="H62" s="61">
        <v>1112166</v>
      </c>
      <c r="I62" s="68">
        <v>72796.320000000007</v>
      </c>
      <c r="J62" s="68">
        <v>1091944.8</v>
      </c>
      <c r="K62" s="77">
        <f t="shared" si="0"/>
        <v>71448.240000000005</v>
      </c>
      <c r="L62" s="77">
        <f t="shared" si="0"/>
        <v>1071723.5999999999</v>
      </c>
    </row>
    <row r="63" spans="1:12" x14ac:dyDescent="0.2">
      <c r="A63" s="20" t="s">
        <v>103</v>
      </c>
      <c r="B63" s="21" t="s">
        <v>225</v>
      </c>
      <c r="C63" s="22"/>
      <c r="D63" s="22"/>
      <c r="E63" s="23"/>
      <c r="F63" s="100"/>
      <c r="G63" s="23"/>
      <c r="H63" s="100"/>
      <c r="I63" s="23"/>
      <c r="J63" s="100"/>
      <c r="K63" s="118"/>
      <c r="L63" s="118"/>
    </row>
    <row r="64" spans="1:12" x14ac:dyDescent="0.2">
      <c r="A64" s="105"/>
      <c r="B64" s="102" t="s">
        <v>117</v>
      </c>
      <c r="C64" s="106"/>
      <c r="D64" s="106"/>
      <c r="E64" s="107"/>
      <c r="F64" s="12"/>
      <c r="G64" s="107"/>
      <c r="H64" s="12"/>
      <c r="I64" s="107"/>
      <c r="J64" s="12"/>
      <c r="K64" s="119"/>
      <c r="L64" s="119"/>
    </row>
    <row r="65" spans="1:12" ht="36" x14ac:dyDescent="0.2">
      <c r="A65" s="24" t="s">
        <v>104</v>
      </c>
      <c r="B65" s="24" t="s">
        <v>119</v>
      </c>
      <c r="C65" s="24" t="s">
        <v>39</v>
      </c>
      <c r="D65" s="24">
        <v>4.5</v>
      </c>
      <c r="E65" s="55">
        <v>29834</v>
      </c>
      <c r="F65" s="56">
        <v>134253</v>
      </c>
      <c r="G65" s="60">
        <v>32817.4</v>
      </c>
      <c r="H65" s="62">
        <v>147678.29999999999</v>
      </c>
      <c r="I65" s="67">
        <v>32220.720000000001</v>
      </c>
      <c r="J65" s="68">
        <v>144993.24</v>
      </c>
      <c r="K65" s="77">
        <f t="shared" si="0"/>
        <v>31624.039999999997</v>
      </c>
      <c r="L65" s="77">
        <f t="shared" si="0"/>
        <v>142308.18</v>
      </c>
    </row>
    <row r="66" spans="1:12" ht="36" x14ac:dyDescent="0.2">
      <c r="A66" s="24" t="s">
        <v>105</v>
      </c>
      <c r="B66" s="24" t="s">
        <v>121</v>
      </c>
      <c r="C66" s="24" t="s">
        <v>39</v>
      </c>
      <c r="D66" s="24">
        <v>4.5</v>
      </c>
      <c r="E66" s="55">
        <v>29834</v>
      </c>
      <c r="F66" s="56">
        <v>134253</v>
      </c>
      <c r="G66" s="60">
        <v>32817.4</v>
      </c>
      <c r="H66" s="62">
        <v>147678.29999999999</v>
      </c>
      <c r="I66" s="67">
        <v>32220.720000000001</v>
      </c>
      <c r="J66" s="68">
        <v>144993.24</v>
      </c>
      <c r="K66" s="77">
        <f t="shared" si="0"/>
        <v>31624.039999999997</v>
      </c>
      <c r="L66" s="77">
        <f t="shared" si="0"/>
        <v>142308.18</v>
      </c>
    </row>
    <row r="67" spans="1:12" ht="36" x14ac:dyDescent="0.2">
      <c r="A67" s="24" t="s">
        <v>106</v>
      </c>
      <c r="B67" s="24" t="s">
        <v>123</v>
      </c>
      <c r="C67" s="24" t="s">
        <v>10</v>
      </c>
      <c r="D67" s="24">
        <v>7.7</v>
      </c>
      <c r="E67" s="58">
        <v>21000</v>
      </c>
      <c r="F67" s="56">
        <v>161700</v>
      </c>
      <c r="G67" s="64">
        <v>23100</v>
      </c>
      <c r="H67" s="61">
        <v>177870</v>
      </c>
      <c r="I67" s="71">
        <v>22680</v>
      </c>
      <c r="J67" s="69">
        <v>174636</v>
      </c>
      <c r="K67" s="77">
        <f t="shared" si="0"/>
        <v>22260</v>
      </c>
      <c r="L67" s="77">
        <f t="shared" si="0"/>
        <v>171402</v>
      </c>
    </row>
    <row r="68" spans="1:12" ht="36" x14ac:dyDescent="0.2">
      <c r="A68" s="24" t="s">
        <v>107</v>
      </c>
      <c r="B68" s="24" t="s">
        <v>125</v>
      </c>
      <c r="C68" s="24" t="s">
        <v>36</v>
      </c>
      <c r="D68" s="24">
        <v>1</v>
      </c>
      <c r="E68" s="58">
        <v>150000</v>
      </c>
      <c r="F68" s="56">
        <v>150000</v>
      </c>
      <c r="G68" s="64">
        <v>165000</v>
      </c>
      <c r="H68" s="61">
        <v>165000</v>
      </c>
      <c r="I68" s="71">
        <v>162000</v>
      </c>
      <c r="J68" s="69">
        <v>162000</v>
      </c>
      <c r="K68" s="77">
        <f t="shared" si="0"/>
        <v>159000</v>
      </c>
      <c r="L68" s="77">
        <f t="shared" si="0"/>
        <v>159000</v>
      </c>
    </row>
    <row r="69" spans="1:12" ht="36" x14ac:dyDescent="0.2">
      <c r="A69" s="24" t="s">
        <v>108</v>
      </c>
      <c r="B69" s="75" t="s">
        <v>127</v>
      </c>
      <c r="C69" s="24" t="s">
        <v>36</v>
      </c>
      <c r="D69" s="24">
        <v>4</v>
      </c>
      <c r="E69" s="58">
        <v>50000</v>
      </c>
      <c r="F69" s="56">
        <v>200000</v>
      </c>
      <c r="G69" s="64">
        <v>55000</v>
      </c>
      <c r="H69" s="61">
        <v>220000</v>
      </c>
      <c r="I69" s="71">
        <v>54000</v>
      </c>
      <c r="J69" s="69">
        <v>216000</v>
      </c>
      <c r="K69" s="77">
        <f t="shared" si="0"/>
        <v>53000</v>
      </c>
      <c r="L69" s="77">
        <f t="shared" si="0"/>
        <v>212000</v>
      </c>
    </row>
    <row r="70" spans="1:12" ht="48" x14ac:dyDescent="0.2">
      <c r="A70" s="24" t="s">
        <v>109</v>
      </c>
      <c r="B70" s="24" t="s">
        <v>129</v>
      </c>
      <c r="C70" s="24" t="s">
        <v>39</v>
      </c>
      <c r="D70" s="24">
        <v>6</v>
      </c>
      <c r="E70" s="55">
        <v>51884</v>
      </c>
      <c r="F70" s="56">
        <v>311304</v>
      </c>
      <c r="G70" s="60">
        <v>57072.4</v>
      </c>
      <c r="H70" s="62">
        <v>342434.4</v>
      </c>
      <c r="I70" s="67">
        <v>56034.720000000001</v>
      </c>
      <c r="J70" s="68">
        <v>336208.32</v>
      </c>
      <c r="K70" s="77">
        <f t="shared" ref="K70:L115" si="2">AVERAGE(E70,G70,I70)</f>
        <v>54997.04</v>
      </c>
      <c r="L70" s="77">
        <f t="shared" si="2"/>
        <v>329982.24</v>
      </c>
    </row>
    <row r="71" spans="1:12" ht="24" x14ac:dyDescent="0.2">
      <c r="A71" s="24" t="s">
        <v>110</v>
      </c>
      <c r="B71" s="24" t="s">
        <v>131</v>
      </c>
      <c r="C71" s="24" t="s">
        <v>39</v>
      </c>
      <c r="D71" s="24">
        <v>13</v>
      </c>
      <c r="E71" s="58">
        <v>85000</v>
      </c>
      <c r="F71" s="56">
        <v>1105000</v>
      </c>
      <c r="G71" s="64">
        <v>93500</v>
      </c>
      <c r="H71" s="61">
        <v>1215500</v>
      </c>
      <c r="I71" s="71">
        <v>91800</v>
      </c>
      <c r="J71" s="69">
        <v>1193400</v>
      </c>
      <c r="K71" s="77">
        <f t="shared" si="2"/>
        <v>90100</v>
      </c>
      <c r="L71" s="77">
        <f t="shared" si="2"/>
        <v>1171300</v>
      </c>
    </row>
    <row r="72" spans="1:12" ht="48" x14ac:dyDescent="0.2">
      <c r="A72" s="24" t="s">
        <v>111</v>
      </c>
      <c r="B72" s="24" t="s">
        <v>133</v>
      </c>
      <c r="C72" s="24" t="s">
        <v>36</v>
      </c>
      <c r="D72" s="24">
        <v>1</v>
      </c>
      <c r="E72" s="58">
        <v>96250</v>
      </c>
      <c r="F72" s="56">
        <v>96250</v>
      </c>
      <c r="G72" s="64">
        <v>105875</v>
      </c>
      <c r="H72" s="61">
        <v>105875</v>
      </c>
      <c r="I72" s="71">
        <v>103950</v>
      </c>
      <c r="J72" s="69">
        <v>103950</v>
      </c>
      <c r="K72" s="77">
        <f t="shared" si="2"/>
        <v>102025</v>
      </c>
      <c r="L72" s="77">
        <f t="shared" si="2"/>
        <v>102025</v>
      </c>
    </row>
    <row r="73" spans="1:12" ht="48" x14ac:dyDescent="0.2">
      <c r="A73" s="24" t="s">
        <v>112</v>
      </c>
      <c r="B73" s="24" t="s">
        <v>135</v>
      </c>
      <c r="C73" s="24" t="s">
        <v>36</v>
      </c>
      <c r="D73" s="24">
        <v>1</v>
      </c>
      <c r="E73" s="58">
        <v>119709</v>
      </c>
      <c r="F73" s="56">
        <v>119709</v>
      </c>
      <c r="G73" s="65">
        <v>131679.9</v>
      </c>
      <c r="H73" s="62">
        <v>131679.9</v>
      </c>
      <c r="I73" s="72">
        <v>129285.72</v>
      </c>
      <c r="J73" s="68">
        <v>129285.72</v>
      </c>
      <c r="K73" s="77">
        <f t="shared" si="2"/>
        <v>126891.54</v>
      </c>
      <c r="L73" s="77">
        <f t="shared" si="2"/>
        <v>126891.54</v>
      </c>
    </row>
    <row r="74" spans="1:12" ht="48" x14ac:dyDescent="0.2">
      <c r="A74" s="24" t="s">
        <v>113</v>
      </c>
      <c r="B74" s="24" t="s">
        <v>137</v>
      </c>
      <c r="C74" s="24" t="s">
        <v>36</v>
      </c>
      <c r="D74" s="24">
        <v>1</v>
      </c>
      <c r="E74" s="58">
        <v>140078</v>
      </c>
      <c r="F74" s="56">
        <v>140078</v>
      </c>
      <c r="G74" s="65">
        <v>154085.79999999999</v>
      </c>
      <c r="H74" s="62">
        <v>154085.79999999999</v>
      </c>
      <c r="I74" s="72">
        <v>151284.24</v>
      </c>
      <c r="J74" s="68">
        <v>151284.24</v>
      </c>
      <c r="K74" s="77">
        <f t="shared" si="2"/>
        <v>148482.68</v>
      </c>
      <c r="L74" s="77">
        <f t="shared" si="2"/>
        <v>148482.68</v>
      </c>
    </row>
    <row r="75" spans="1:12" ht="60" x14ac:dyDescent="0.2">
      <c r="A75" s="24" t="s">
        <v>114</v>
      </c>
      <c r="B75" s="24" t="s">
        <v>139</v>
      </c>
      <c r="C75" s="24" t="s">
        <v>39</v>
      </c>
      <c r="D75" s="24">
        <v>16</v>
      </c>
      <c r="E75" s="58">
        <v>168000</v>
      </c>
      <c r="F75" s="56">
        <v>2688000</v>
      </c>
      <c r="G75" s="64">
        <v>184800</v>
      </c>
      <c r="H75" s="61">
        <v>2956800</v>
      </c>
      <c r="I75" s="71">
        <v>181440</v>
      </c>
      <c r="J75" s="69">
        <v>2903040</v>
      </c>
      <c r="K75" s="77">
        <f t="shared" si="2"/>
        <v>178080</v>
      </c>
      <c r="L75" s="77">
        <f t="shared" si="2"/>
        <v>2849280</v>
      </c>
    </row>
    <row r="76" spans="1:12" x14ac:dyDescent="0.2">
      <c r="A76" s="24" t="s">
        <v>115</v>
      </c>
      <c r="B76" s="24" t="s">
        <v>141</v>
      </c>
      <c r="C76" s="24" t="s">
        <v>10</v>
      </c>
      <c r="D76" s="24">
        <v>5</v>
      </c>
      <c r="E76" s="58">
        <v>29000</v>
      </c>
      <c r="F76" s="56">
        <v>145000</v>
      </c>
      <c r="G76" s="64">
        <v>31900</v>
      </c>
      <c r="H76" s="61">
        <v>159500</v>
      </c>
      <c r="I76" s="71">
        <v>31320</v>
      </c>
      <c r="J76" s="69">
        <v>156600</v>
      </c>
      <c r="K76" s="77">
        <f t="shared" si="2"/>
        <v>30740</v>
      </c>
      <c r="L76" s="77">
        <f t="shared" si="2"/>
        <v>153700</v>
      </c>
    </row>
    <row r="77" spans="1:12" ht="48" x14ac:dyDescent="0.2">
      <c r="A77" s="24" t="s">
        <v>116</v>
      </c>
      <c r="B77" s="24" t="s">
        <v>143</v>
      </c>
      <c r="C77" s="24" t="s">
        <v>39</v>
      </c>
      <c r="D77" s="24">
        <v>4.5</v>
      </c>
      <c r="E77" s="58">
        <v>185000</v>
      </c>
      <c r="F77" s="56">
        <v>832500</v>
      </c>
      <c r="G77" s="64">
        <v>203500</v>
      </c>
      <c r="H77" s="61">
        <v>915750</v>
      </c>
      <c r="I77" s="71">
        <v>199800</v>
      </c>
      <c r="J77" s="69">
        <v>899100</v>
      </c>
      <c r="K77" s="77">
        <f t="shared" si="2"/>
        <v>196100</v>
      </c>
      <c r="L77" s="77">
        <f t="shared" si="2"/>
        <v>882450</v>
      </c>
    </row>
    <row r="78" spans="1:12" ht="108" x14ac:dyDescent="0.2">
      <c r="A78" s="24" t="s">
        <v>118</v>
      </c>
      <c r="B78" s="24" t="s">
        <v>145</v>
      </c>
      <c r="C78" s="24" t="s">
        <v>36</v>
      </c>
      <c r="D78" s="24">
        <v>1</v>
      </c>
      <c r="E78" s="58">
        <v>950000</v>
      </c>
      <c r="F78" s="56">
        <v>950000</v>
      </c>
      <c r="G78" s="64">
        <v>1045000</v>
      </c>
      <c r="H78" s="61">
        <v>1045000</v>
      </c>
      <c r="I78" s="71">
        <v>1026000</v>
      </c>
      <c r="J78" s="69">
        <v>1026000</v>
      </c>
      <c r="K78" s="77">
        <f t="shared" si="2"/>
        <v>1007000</v>
      </c>
      <c r="L78" s="77">
        <f t="shared" si="2"/>
        <v>1007000</v>
      </c>
    </row>
    <row r="79" spans="1:12" ht="108" x14ac:dyDescent="0.2">
      <c r="A79" s="24" t="s">
        <v>120</v>
      </c>
      <c r="B79" s="24" t="s">
        <v>147</v>
      </c>
      <c r="C79" s="24" t="s">
        <v>36</v>
      </c>
      <c r="D79" s="24">
        <v>1</v>
      </c>
      <c r="E79" s="58">
        <v>790000</v>
      </c>
      <c r="F79" s="56">
        <v>790000</v>
      </c>
      <c r="G79" s="64">
        <v>869000</v>
      </c>
      <c r="H79" s="61">
        <v>869000</v>
      </c>
      <c r="I79" s="71">
        <v>853200</v>
      </c>
      <c r="J79" s="69">
        <v>853200</v>
      </c>
      <c r="K79" s="77">
        <f t="shared" si="2"/>
        <v>837400</v>
      </c>
      <c r="L79" s="77">
        <f t="shared" si="2"/>
        <v>837400</v>
      </c>
    </row>
    <row r="80" spans="1:12" ht="168" x14ac:dyDescent="0.2">
      <c r="A80" s="24" t="s">
        <v>122</v>
      </c>
      <c r="B80" s="24" t="s">
        <v>149</v>
      </c>
      <c r="C80" s="24" t="s">
        <v>36</v>
      </c>
      <c r="D80" s="24">
        <v>1</v>
      </c>
      <c r="E80" s="58">
        <v>250000</v>
      </c>
      <c r="F80" s="56">
        <v>250000</v>
      </c>
      <c r="G80" s="64">
        <v>275000</v>
      </c>
      <c r="H80" s="61">
        <v>275000</v>
      </c>
      <c r="I80" s="71">
        <v>270000</v>
      </c>
      <c r="J80" s="69">
        <v>270000</v>
      </c>
      <c r="K80" s="77">
        <f t="shared" si="2"/>
        <v>265000</v>
      </c>
      <c r="L80" s="77">
        <f t="shared" si="2"/>
        <v>265000</v>
      </c>
    </row>
    <row r="81" spans="1:12" ht="72" x14ac:dyDescent="0.2">
      <c r="A81" s="24" t="s">
        <v>124</v>
      </c>
      <c r="B81" s="24" t="s">
        <v>151</v>
      </c>
      <c r="C81" s="9" t="s">
        <v>39</v>
      </c>
      <c r="D81" s="9">
        <v>1</v>
      </c>
      <c r="E81" s="56">
        <v>325000</v>
      </c>
      <c r="F81" s="56">
        <v>325000</v>
      </c>
      <c r="G81" s="61">
        <v>357500</v>
      </c>
      <c r="H81" s="61">
        <v>357500</v>
      </c>
      <c r="I81" s="69">
        <v>351000</v>
      </c>
      <c r="J81" s="69">
        <v>351000</v>
      </c>
      <c r="K81" s="77">
        <f t="shared" si="2"/>
        <v>344500</v>
      </c>
      <c r="L81" s="77">
        <f t="shared" si="2"/>
        <v>344500</v>
      </c>
    </row>
    <row r="82" spans="1:12" ht="96" x14ac:dyDescent="0.2">
      <c r="A82" s="24" t="s">
        <v>126</v>
      </c>
      <c r="B82" s="24" t="s">
        <v>153</v>
      </c>
      <c r="C82" s="9" t="s">
        <v>39</v>
      </c>
      <c r="D82" s="9">
        <v>50</v>
      </c>
      <c r="E82" s="56">
        <v>54658</v>
      </c>
      <c r="F82" s="56">
        <v>2732900</v>
      </c>
      <c r="G82" s="62">
        <v>60123.8</v>
      </c>
      <c r="H82" s="62">
        <v>3006190</v>
      </c>
      <c r="I82" s="68">
        <v>59030.64</v>
      </c>
      <c r="J82" s="69">
        <v>2951532</v>
      </c>
      <c r="K82" s="77">
        <f t="shared" si="2"/>
        <v>57937.48</v>
      </c>
      <c r="L82" s="77">
        <f t="shared" si="2"/>
        <v>2896874</v>
      </c>
    </row>
    <row r="83" spans="1:12" ht="132" x14ac:dyDescent="0.2">
      <c r="A83" s="24" t="s">
        <v>128</v>
      </c>
      <c r="B83" s="24" t="s">
        <v>155</v>
      </c>
      <c r="C83" s="9" t="s">
        <v>36</v>
      </c>
      <c r="D83" s="9">
        <v>1</v>
      </c>
      <c r="E83" s="56">
        <v>2340000</v>
      </c>
      <c r="F83" s="56">
        <v>2340000</v>
      </c>
      <c r="G83" s="61">
        <v>2574000</v>
      </c>
      <c r="H83" s="61">
        <v>2574000</v>
      </c>
      <c r="I83" s="69">
        <v>2527200</v>
      </c>
      <c r="J83" s="69">
        <v>2527200</v>
      </c>
      <c r="K83" s="77">
        <f t="shared" si="2"/>
        <v>2480400</v>
      </c>
      <c r="L83" s="77">
        <f t="shared" si="2"/>
        <v>2480400</v>
      </c>
    </row>
    <row r="84" spans="1:12" ht="36" x14ac:dyDescent="0.2">
      <c r="A84" s="24" t="s">
        <v>130</v>
      </c>
      <c r="B84" s="24" t="s">
        <v>157</v>
      </c>
      <c r="C84" s="9" t="s">
        <v>36</v>
      </c>
      <c r="D84" s="9">
        <v>1</v>
      </c>
      <c r="E84" s="56">
        <v>45000</v>
      </c>
      <c r="F84" s="56">
        <v>45000</v>
      </c>
      <c r="G84" s="61">
        <v>49500</v>
      </c>
      <c r="H84" s="61">
        <v>49500</v>
      </c>
      <c r="I84" s="69">
        <v>48600</v>
      </c>
      <c r="J84" s="69">
        <v>48600</v>
      </c>
      <c r="K84" s="77">
        <f t="shared" si="2"/>
        <v>47700</v>
      </c>
      <c r="L84" s="77">
        <f t="shared" si="2"/>
        <v>47700</v>
      </c>
    </row>
    <row r="85" spans="1:12" ht="36" x14ac:dyDescent="0.2">
      <c r="A85" s="24" t="s">
        <v>132</v>
      </c>
      <c r="B85" s="24" t="s">
        <v>159</v>
      </c>
      <c r="C85" s="9" t="s">
        <v>36</v>
      </c>
      <c r="D85" s="9">
        <v>1</v>
      </c>
      <c r="E85" s="56">
        <v>185000</v>
      </c>
      <c r="F85" s="56">
        <v>185000</v>
      </c>
      <c r="G85" s="61">
        <v>203500</v>
      </c>
      <c r="H85" s="61">
        <v>203500</v>
      </c>
      <c r="I85" s="69">
        <v>199800</v>
      </c>
      <c r="J85" s="69">
        <v>199800</v>
      </c>
      <c r="K85" s="77">
        <f t="shared" si="2"/>
        <v>196100</v>
      </c>
      <c r="L85" s="77">
        <f t="shared" si="2"/>
        <v>196100</v>
      </c>
    </row>
    <row r="86" spans="1:12" x14ac:dyDescent="0.2">
      <c r="A86" s="24" t="s">
        <v>134</v>
      </c>
      <c r="B86" s="24" t="s">
        <v>161</v>
      </c>
      <c r="C86" s="9" t="s">
        <v>36</v>
      </c>
      <c r="D86" s="9">
        <v>1</v>
      </c>
      <c r="E86" s="56">
        <v>50000</v>
      </c>
      <c r="F86" s="56">
        <v>50000</v>
      </c>
      <c r="G86" s="61">
        <v>55000</v>
      </c>
      <c r="H86" s="61">
        <v>55000</v>
      </c>
      <c r="I86" s="69">
        <v>54000</v>
      </c>
      <c r="J86" s="69">
        <v>54000</v>
      </c>
      <c r="K86" s="77">
        <f t="shared" si="2"/>
        <v>53000</v>
      </c>
      <c r="L86" s="77">
        <f t="shared" si="2"/>
        <v>53000</v>
      </c>
    </row>
    <row r="87" spans="1:12" ht="60" x14ac:dyDescent="0.2">
      <c r="A87" s="24" t="s">
        <v>136</v>
      </c>
      <c r="B87" s="9" t="s">
        <v>163</v>
      </c>
      <c r="C87" s="9" t="s">
        <v>36</v>
      </c>
      <c r="D87" s="9">
        <v>1</v>
      </c>
      <c r="E87" s="56">
        <v>57824</v>
      </c>
      <c r="F87" s="56">
        <v>57824</v>
      </c>
      <c r="G87" s="62">
        <v>63606.400000000001</v>
      </c>
      <c r="H87" s="62">
        <v>63606.400000000001</v>
      </c>
      <c r="I87" s="68">
        <v>62449.919999999998</v>
      </c>
      <c r="J87" s="68">
        <v>62449.919999999998</v>
      </c>
      <c r="K87" s="77">
        <f t="shared" si="2"/>
        <v>61293.440000000002</v>
      </c>
      <c r="L87" s="77">
        <f t="shared" si="2"/>
        <v>61293.440000000002</v>
      </c>
    </row>
    <row r="88" spans="1:12" ht="36" x14ac:dyDescent="0.2">
      <c r="A88" s="24" t="s">
        <v>138</v>
      </c>
      <c r="B88" s="9" t="s">
        <v>165</v>
      </c>
      <c r="C88" s="9" t="s">
        <v>36</v>
      </c>
      <c r="D88" s="9">
        <v>1</v>
      </c>
      <c r="E88" s="56">
        <v>140078</v>
      </c>
      <c r="F88" s="56">
        <v>140078</v>
      </c>
      <c r="G88" s="62">
        <v>154085.79999999999</v>
      </c>
      <c r="H88" s="62">
        <v>154085.79999999999</v>
      </c>
      <c r="I88" s="68">
        <v>151284.24</v>
      </c>
      <c r="J88" s="68">
        <v>151284.24</v>
      </c>
      <c r="K88" s="77">
        <f t="shared" si="2"/>
        <v>148482.68</v>
      </c>
      <c r="L88" s="77">
        <f t="shared" si="2"/>
        <v>148482.68</v>
      </c>
    </row>
    <row r="89" spans="1:12" x14ac:dyDescent="0.2">
      <c r="A89" s="101"/>
      <c r="B89" s="102" t="s">
        <v>166</v>
      </c>
      <c r="C89" s="103"/>
      <c r="D89" s="103"/>
      <c r="E89" s="104"/>
      <c r="F89" s="12"/>
      <c r="G89" s="104"/>
      <c r="H89" s="12"/>
      <c r="I89" s="104"/>
      <c r="J89" s="12"/>
      <c r="K89" s="119"/>
      <c r="L89" s="119"/>
    </row>
    <row r="90" spans="1:12" ht="60" x14ac:dyDescent="0.2">
      <c r="A90" s="9" t="s">
        <v>140</v>
      </c>
      <c r="B90" s="111" t="s">
        <v>167</v>
      </c>
      <c r="C90" s="14" t="s">
        <v>39</v>
      </c>
      <c r="D90" s="14">
        <f>(5*6.5*2)+(3.3*4.1)</f>
        <v>78.53</v>
      </c>
      <c r="E90" s="55">
        <v>38114</v>
      </c>
      <c r="F90" s="57">
        <v>2993092.42</v>
      </c>
      <c r="G90" s="60">
        <v>41925.4</v>
      </c>
      <c r="H90" s="62">
        <v>3292401.66</v>
      </c>
      <c r="I90" s="67">
        <v>41163.120000000003</v>
      </c>
      <c r="J90" s="68">
        <v>3232539.81</v>
      </c>
      <c r="K90" s="77">
        <f t="shared" si="2"/>
        <v>40400.839999999997</v>
      </c>
      <c r="L90" s="77">
        <f t="shared" si="2"/>
        <v>3172677.9633333334</v>
      </c>
    </row>
    <row r="91" spans="1:12" ht="84" x14ac:dyDescent="0.2">
      <c r="A91" s="9" t="s">
        <v>142</v>
      </c>
      <c r="B91" s="24" t="s">
        <v>168</v>
      </c>
      <c r="C91" s="9" t="s">
        <v>39</v>
      </c>
      <c r="D91" s="50">
        <f>D90</f>
        <v>78.53</v>
      </c>
      <c r="E91" s="56">
        <v>145000</v>
      </c>
      <c r="F91" s="56">
        <v>11386850</v>
      </c>
      <c r="G91" s="61">
        <v>159500</v>
      </c>
      <c r="H91" s="61">
        <v>12525535</v>
      </c>
      <c r="I91" s="69">
        <v>156600</v>
      </c>
      <c r="J91" s="69">
        <v>12297798</v>
      </c>
      <c r="K91" s="77">
        <f t="shared" si="2"/>
        <v>153700</v>
      </c>
      <c r="L91" s="77">
        <f t="shared" si="2"/>
        <v>12070061</v>
      </c>
    </row>
    <row r="92" spans="1:12" ht="96" x14ac:dyDescent="0.2">
      <c r="A92" s="9" t="s">
        <v>144</v>
      </c>
      <c r="B92" s="75" t="s">
        <v>101</v>
      </c>
      <c r="C92" s="9" t="s">
        <v>10</v>
      </c>
      <c r="D92" s="9">
        <v>6.5</v>
      </c>
      <c r="E92" s="56">
        <v>85000</v>
      </c>
      <c r="F92" s="56">
        <v>552500</v>
      </c>
      <c r="G92" s="61">
        <v>93500</v>
      </c>
      <c r="H92" s="61">
        <v>607750</v>
      </c>
      <c r="I92" s="68">
        <v>91800</v>
      </c>
      <c r="J92" s="69">
        <v>596700</v>
      </c>
      <c r="K92" s="77">
        <f t="shared" si="2"/>
        <v>90100</v>
      </c>
      <c r="L92" s="77">
        <f t="shared" si="2"/>
        <v>585650</v>
      </c>
    </row>
    <row r="93" spans="1:12" ht="132" x14ac:dyDescent="0.2">
      <c r="A93" s="9" t="s">
        <v>146</v>
      </c>
      <c r="B93" s="111" t="s">
        <v>169</v>
      </c>
      <c r="C93" s="14" t="s">
        <v>10</v>
      </c>
      <c r="D93" s="14">
        <f>5+5+5+5+4.1+3.3</f>
        <v>27.400000000000002</v>
      </c>
      <c r="E93" s="56">
        <v>55000</v>
      </c>
      <c r="F93" s="56">
        <v>1507000</v>
      </c>
      <c r="G93" s="61">
        <v>60500</v>
      </c>
      <c r="H93" s="61">
        <v>1657700</v>
      </c>
      <c r="I93" s="69">
        <v>59400</v>
      </c>
      <c r="J93" s="69">
        <v>1627560</v>
      </c>
      <c r="K93" s="77">
        <f t="shared" si="2"/>
        <v>58300</v>
      </c>
      <c r="L93" s="77">
        <f t="shared" si="2"/>
        <v>1597420</v>
      </c>
    </row>
    <row r="94" spans="1:12" ht="96" x14ac:dyDescent="0.2">
      <c r="A94" s="9" t="s">
        <v>148</v>
      </c>
      <c r="B94" s="111" t="s">
        <v>171</v>
      </c>
      <c r="C94" s="14" t="s">
        <v>39</v>
      </c>
      <c r="D94" s="14">
        <f>4.1*4</f>
        <v>16.399999999999999</v>
      </c>
      <c r="E94" s="56">
        <v>38114</v>
      </c>
      <c r="F94" s="57">
        <v>625069.6</v>
      </c>
      <c r="G94" s="62">
        <v>41925.4</v>
      </c>
      <c r="H94" s="62">
        <v>687576.56</v>
      </c>
      <c r="I94" s="68">
        <v>41163.120000000003</v>
      </c>
      <c r="J94" s="68">
        <v>675075.17</v>
      </c>
      <c r="K94" s="77">
        <f t="shared" si="2"/>
        <v>40400.839999999997</v>
      </c>
      <c r="L94" s="77">
        <f t="shared" si="2"/>
        <v>662573.77666666673</v>
      </c>
    </row>
    <row r="95" spans="1:12" ht="132" x14ac:dyDescent="0.2">
      <c r="A95" s="9" t="s">
        <v>150</v>
      </c>
      <c r="B95" s="111" t="s">
        <v>173</v>
      </c>
      <c r="C95" s="14" t="s">
        <v>39</v>
      </c>
      <c r="D95" s="14">
        <f>D94</f>
        <v>16.399999999999999</v>
      </c>
      <c r="E95" s="56">
        <v>78633</v>
      </c>
      <c r="F95" s="57">
        <v>1289581.2</v>
      </c>
      <c r="G95" s="62">
        <v>86496.3</v>
      </c>
      <c r="H95" s="62">
        <v>1418539.32</v>
      </c>
      <c r="I95" s="68">
        <v>84923.64</v>
      </c>
      <c r="J95" s="68">
        <v>1392747.7</v>
      </c>
      <c r="K95" s="77">
        <f t="shared" si="2"/>
        <v>83350.98</v>
      </c>
      <c r="L95" s="77">
        <f t="shared" si="2"/>
        <v>1366956.0733333332</v>
      </c>
    </row>
    <row r="96" spans="1:12" ht="96" x14ac:dyDescent="0.2">
      <c r="A96" s="9" t="s">
        <v>152</v>
      </c>
      <c r="B96" s="111" t="s">
        <v>175</v>
      </c>
      <c r="C96" s="14" t="s">
        <v>10</v>
      </c>
      <c r="D96" s="14">
        <f>6.5+6.5</f>
        <v>13</v>
      </c>
      <c r="E96" s="56">
        <v>69800</v>
      </c>
      <c r="F96" s="56">
        <v>907400</v>
      </c>
      <c r="G96" s="61">
        <v>76780</v>
      </c>
      <c r="H96" s="61">
        <v>998140</v>
      </c>
      <c r="I96" s="69">
        <v>75384</v>
      </c>
      <c r="J96" s="69">
        <v>979992</v>
      </c>
      <c r="K96" s="77">
        <f t="shared" si="2"/>
        <v>73988</v>
      </c>
      <c r="L96" s="77">
        <f t="shared" si="2"/>
        <v>961844</v>
      </c>
    </row>
    <row r="97" spans="1:12" ht="96" x14ac:dyDescent="0.2">
      <c r="A97" s="9" t="s">
        <v>154</v>
      </c>
      <c r="B97" s="111" t="s">
        <v>171</v>
      </c>
      <c r="C97" s="14" t="s">
        <v>39</v>
      </c>
      <c r="D97" s="14">
        <v>25</v>
      </c>
      <c r="E97" s="56">
        <v>38114</v>
      </c>
      <c r="F97" s="56">
        <v>952850</v>
      </c>
      <c r="G97" s="62">
        <v>41925.4</v>
      </c>
      <c r="H97" s="61">
        <v>1048135</v>
      </c>
      <c r="I97" s="68">
        <v>41163.120000000003</v>
      </c>
      <c r="J97" s="69">
        <v>1029078</v>
      </c>
      <c r="K97" s="77">
        <f t="shared" si="2"/>
        <v>40400.839999999997</v>
      </c>
      <c r="L97" s="77">
        <f t="shared" si="2"/>
        <v>1010021</v>
      </c>
    </row>
    <row r="98" spans="1:12" ht="132" x14ac:dyDescent="0.2">
      <c r="A98" s="9" t="s">
        <v>156</v>
      </c>
      <c r="B98" s="111" t="s">
        <v>173</v>
      </c>
      <c r="C98" s="14" t="s">
        <v>39</v>
      </c>
      <c r="D98" s="14">
        <v>25</v>
      </c>
      <c r="E98" s="56">
        <v>78633</v>
      </c>
      <c r="F98" s="56">
        <v>1965825</v>
      </c>
      <c r="G98" s="62">
        <v>86496.3</v>
      </c>
      <c r="H98" s="62">
        <v>2162407.5</v>
      </c>
      <c r="I98" s="68">
        <v>84923.64</v>
      </c>
      <c r="J98" s="69">
        <v>2123091</v>
      </c>
      <c r="K98" s="77">
        <f t="shared" si="2"/>
        <v>83350.98</v>
      </c>
      <c r="L98" s="77">
        <f t="shared" si="2"/>
        <v>2083774.5</v>
      </c>
    </row>
    <row r="99" spans="1:12" x14ac:dyDescent="0.2">
      <c r="A99" s="101"/>
      <c r="B99" s="102" t="s">
        <v>178</v>
      </c>
      <c r="C99" s="103"/>
      <c r="D99" s="103"/>
      <c r="E99" s="104"/>
      <c r="F99" s="12"/>
      <c r="G99" s="104"/>
      <c r="H99" s="12"/>
      <c r="I99" s="104"/>
      <c r="J99" s="12"/>
      <c r="K99" s="119"/>
      <c r="L99" s="119"/>
    </row>
    <row r="100" spans="1:12" ht="60" x14ac:dyDescent="0.2">
      <c r="A100" s="9" t="s">
        <v>158</v>
      </c>
      <c r="B100" s="111" t="s">
        <v>180</v>
      </c>
      <c r="C100" s="14" t="s">
        <v>39</v>
      </c>
      <c r="D100" s="14">
        <v>260</v>
      </c>
      <c r="E100" s="55">
        <v>38114</v>
      </c>
      <c r="F100" s="56">
        <v>9909640</v>
      </c>
      <c r="G100" s="60">
        <v>41925.4</v>
      </c>
      <c r="H100" s="61">
        <v>10900604</v>
      </c>
      <c r="I100" s="67">
        <v>41163.120000000003</v>
      </c>
      <c r="J100" s="68">
        <v>10702411.199999999</v>
      </c>
      <c r="K100" s="77">
        <f t="shared" si="2"/>
        <v>40400.839999999997</v>
      </c>
      <c r="L100" s="77">
        <f t="shared" si="2"/>
        <v>10504218.4</v>
      </c>
    </row>
    <row r="101" spans="1:12" ht="36" x14ac:dyDescent="0.2">
      <c r="A101" s="80" t="s">
        <v>160</v>
      </c>
      <c r="B101" s="81" t="s">
        <v>182</v>
      </c>
      <c r="C101" s="80" t="s">
        <v>39</v>
      </c>
      <c r="D101" s="80">
        <v>260</v>
      </c>
      <c r="E101" s="55">
        <v>23406</v>
      </c>
      <c r="F101" s="56">
        <v>6085560</v>
      </c>
      <c r="G101" s="60">
        <v>25746.6</v>
      </c>
      <c r="H101" s="61">
        <v>6694116</v>
      </c>
      <c r="I101" s="67">
        <v>25278.48</v>
      </c>
      <c r="J101" s="68">
        <v>6572404.7999999998</v>
      </c>
      <c r="K101" s="77">
        <f t="shared" si="2"/>
        <v>24810.36</v>
      </c>
      <c r="L101" s="77">
        <f t="shared" si="2"/>
        <v>6450693.6000000006</v>
      </c>
    </row>
    <row r="102" spans="1:12" ht="84" x14ac:dyDescent="0.2">
      <c r="A102" s="9" t="s">
        <v>162</v>
      </c>
      <c r="B102" s="24" t="s">
        <v>185</v>
      </c>
      <c r="C102" s="9" t="s">
        <v>39</v>
      </c>
      <c r="D102" s="50">
        <v>260</v>
      </c>
      <c r="E102" s="56">
        <v>145000</v>
      </c>
      <c r="F102" s="56">
        <v>37700000</v>
      </c>
      <c r="G102" s="61">
        <v>159500</v>
      </c>
      <c r="H102" s="61">
        <v>41470000</v>
      </c>
      <c r="I102" s="68">
        <v>156600</v>
      </c>
      <c r="J102" s="69">
        <v>40716000</v>
      </c>
      <c r="K102" s="77">
        <f t="shared" si="2"/>
        <v>153700</v>
      </c>
      <c r="L102" s="77">
        <f t="shared" si="2"/>
        <v>39962000</v>
      </c>
    </row>
    <row r="103" spans="1:12" ht="96" x14ac:dyDescent="0.2">
      <c r="A103" s="9" t="s">
        <v>164</v>
      </c>
      <c r="B103" s="75" t="s">
        <v>101</v>
      </c>
      <c r="C103" s="9" t="s">
        <v>10</v>
      </c>
      <c r="D103" s="9">
        <f>14+3.5+5</f>
        <v>22.5</v>
      </c>
      <c r="E103" s="56">
        <v>85000</v>
      </c>
      <c r="F103" s="56">
        <v>1912500</v>
      </c>
      <c r="G103" s="61">
        <v>93500</v>
      </c>
      <c r="H103" s="61">
        <v>2103750</v>
      </c>
      <c r="I103" s="69">
        <v>91800</v>
      </c>
      <c r="J103" s="69">
        <v>2065500</v>
      </c>
      <c r="K103" s="77">
        <f t="shared" si="2"/>
        <v>90100</v>
      </c>
      <c r="L103" s="77">
        <f t="shared" si="2"/>
        <v>2027250</v>
      </c>
    </row>
    <row r="104" spans="1:12" ht="132" x14ac:dyDescent="0.2">
      <c r="A104" s="9" t="s">
        <v>170</v>
      </c>
      <c r="B104" s="111" t="s">
        <v>169</v>
      </c>
      <c r="C104" s="14" t="s">
        <v>10</v>
      </c>
      <c r="D104" s="14">
        <f>18+18+7.8+7.8+14+10</f>
        <v>75.599999999999994</v>
      </c>
      <c r="E104" s="56">
        <v>55000</v>
      </c>
      <c r="F104" s="56">
        <v>4158000</v>
      </c>
      <c r="G104" s="61">
        <v>60500</v>
      </c>
      <c r="H104" s="61">
        <v>4573800</v>
      </c>
      <c r="I104" s="69">
        <v>59400</v>
      </c>
      <c r="J104" s="69">
        <v>4490640</v>
      </c>
      <c r="K104" s="77">
        <f t="shared" si="2"/>
        <v>58300</v>
      </c>
      <c r="L104" s="77">
        <f t="shared" si="2"/>
        <v>4407480</v>
      </c>
    </row>
    <row r="105" spans="1:12" ht="168" x14ac:dyDescent="0.2">
      <c r="A105" s="9" t="s">
        <v>172</v>
      </c>
      <c r="B105" s="111" t="s">
        <v>189</v>
      </c>
      <c r="C105" s="14" t="s">
        <v>10</v>
      </c>
      <c r="D105" s="14">
        <f>1.2*4</f>
        <v>4.8</v>
      </c>
      <c r="E105" s="56">
        <v>65000</v>
      </c>
      <c r="F105" s="56">
        <v>312000</v>
      </c>
      <c r="G105" s="61">
        <v>71500</v>
      </c>
      <c r="H105" s="61">
        <v>343200</v>
      </c>
      <c r="I105" s="69">
        <v>70200</v>
      </c>
      <c r="J105" s="69">
        <v>336960</v>
      </c>
      <c r="K105" s="77">
        <f t="shared" si="2"/>
        <v>68900</v>
      </c>
      <c r="L105" s="77">
        <f t="shared" si="2"/>
        <v>330720</v>
      </c>
    </row>
    <row r="106" spans="1:12" ht="156" x14ac:dyDescent="0.2">
      <c r="A106" s="9" t="s">
        <v>174</v>
      </c>
      <c r="B106" s="111" t="s">
        <v>190</v>
      </c>
      <c r="C106" s="14" t="s">
        <v>10</v>
      </c>
      <c r="D106" s="14">
        <v>14</v>
      </c>
      <c r="E106" s="56">
        <v>85000</v>
      </c>
      <c r="F106" s="56">
        <v>1190000</v>
      </c>
      <c r="G106" s="61">
        <v>93500</v>
      </c>
      <c r="H106" s="61">
        <v>1309000</v>
      </c>
      <c r="I106" s="69">
        <v>91800</v>
      </c>
      <c r="J106" s="69">
        <v>1285200</v>
      </c>
      <c r="K106" s="77">
        <f t="shared" si="2"/>
        <v>90100</v>
      </c>
      <c r="L106" s="77">
        <f t="shared" si="2"/>
        <v>1261400</v>
      </c>
    </row>
    <row r="107" spans="1:12" ht="96" x14ac:dyDescent="0.2">
      <c r="A107" s="9" t="s">
        <v>176</v>
      </c>
      <c r="B107" s="111" t="s">
        <v>171</v>
      </c>
      <c r="C107" s="14" t="s">
        <v>39</v>
      </c>
      <c r="D107" s="14">
        <v>30</v>
      </c>
      <c r="E107" s="56">
        <v>38114</v>
      </c>
      <c r="F107" s="56">
        <v>1143420</v>
      </c>
      <c r="G107" s="62">
        <v>41925.4</v>
      </c>
      <c r="H107" s="61">
        <v>1257762</v>
      </c>
      <c r="I107" s="68">
        <v>41163.120000000003</v>
      </c>
      <c r="J107" s="68">
        <v>1234893.6000000001</v>
      </c>
      <c r="K107" s="77">
        <f t="shared" si="2"/>
        <v>40400.839999999997</v>
      </c>
      <c r="L107" s="77">
        <f t="shared" si="2"/>
        <v>1212025.2</v>
      </c>
    </row>
    <row r="108" spans="1:12" ht="132" x14ac:dyDescent="0.2">
      <c r="A108" s="9" t="s">
        <v>177</v>
      </c>
      <c r="B108" s="111" t="s">
        <v>173</v>
      </c>
      <c r="C108" s="14" t="s">
        <v>39</v>
      </c>
      <c r="D108" s="14">
        <v>30</v>
      </c>
      <c r="E108" s="56">
        <v>78633</v>
      </c>
      <c r="F108" s="56">
        <v>2358990</v>
      </c>
      <c r="G108" s="62">
        <v>86496.3</v>
      </c>
      <c r="H108" s="61">
        <v>2594889</v>
      </c>
      <c r="I108" s="68">
        <v>84923.64</v>
      </c>
      <c r="J108" s="68">
        <v>2547709.2000000002</v>
      </c>
      <c r="K108" s="77">
        <f t="shared" si="2"/>
        <v>83350.98</v>
      </c>
      <c r="L108" s="77">
        <f t="shared" si="2"/>
        <v>2500529.4</v>
      </c>
    </row>
    <row r="109" spans="1:12" ht="156" x14ac:dyDescent="0.2">
      <c r="A109" s="9" t="s">
        <v>179</v>
      </c>
      <c r="B109" s="111" t="s">
        <v>191</v>
      </c>
      <c r="C109" s="14" t="s">
        <v>39</v>
      </c>
      <c r="D109" s="14">
        <v>100</v>
      </c>
      <c r="E109" s="56">
        <v>54500</v>
      </c>
      <c r="F109" s="56">
        <v>5450000</v>
      </c>
      <c r="G109" s="61">
        <v>59950</v>
      </c>
      <c r="H109" s="61">
        <v>5995000</v>
      </c>
      <c r="I109" s="69">
        <v>58860</v>
      </c>
      <c r="J109" s="69">
        <v>5886000</v>
      </c>
      <c r="K109" s="77">
        <f t="shared" si="2"/>
        <v>57770</v>
      </c>
      <c r="L109" s="77">
        <f t="shared" si="2"/>
        <v>5777000</v>
      </c>
    </row>
    <row r="110" spans="1:12" ht="60" x14ac:dyDescent="0.2">
      <c r="A110" s="9" t="s">
        <v>181</v>
      </c>
      <c r="B110" s="9" t="s">
        <v>66</v>
      </c>
      <c r="C110" s="14" t="s">
        <v>39</v>
      </c>
      <c r="D110" s="14">
        <v>260</v>
      </c>
      <c r="E110" s="56">
        <v>150469</v>
      </c>
      <c r="F110" s="56">
        <v>39121940</v>
      </c>
      <c r="G110" s="62">
        <v>165515.9</v>
      </c>
      <c r="H110" s="61">
        <v>43034134</v>
      </c>
      <c r="I110" s="68">
        <v>162506.51999999999</v>
      </c>
      <c r="J110" s="68">
        <v>42251695.200000003</v>
      </c>
      <c r="K110" s="77">
        <f t="shared" si="2"/>
        <v>159497.14000000001</v>
      </c>
      <c r="L110" s="77">
        <f t="shared" si="2"/>
        <v>41469256.399999999</v>
      </c>
    </row>
    <row r="111" spans="1:12" ht="156" x14ac:dyDescent="0.2">
      <c r="A111" s="9" t="s">
        <v>183</v>
      </c>
      <c r="B111" s="9" t="s">
        <v>192</v>
      </c>
      <c r="C111" s="14" t="s">
        <v>36</v>
      </c>
      <c r="D111" s="14">
        <v>30</v>
      </c>
      <c r="E111" s="56">
        <v>245000</v>
      </c>
      <c r="F111" s="56">
        <v>7350000</v>
      </c>
      <c r="G111" s="61">
        <v>269500</v>
      </c>
      <c r="H111" s="61">
        <v>8085000</v>
      </c>
      <c r="I111" s="69">
        <v>264600</v>
      </c>
      <c r="J111" s="69">
        <v>7938000</v>
      </c>
      <c r="K111" s="77">
        <f t="shared" si="2"/>
        <v>259700</v>
      </c>
      <c r="L111" s="77">
        <f t="shared" si="2"/>
        <v>7791000</v>
      </c>
    </row>
    <row r="112" spans="1:12" ht="144" x14ac:dyDescent="0.2">
      <c r="A112" s="9" t="s">
        <v>184</v>
      </c>
      <c r="B112" s="110" t="s">
        <v>193</v>
      </c>
      <c r="C112" s="14" t="s">
        <v>39</v>
      </c>
      <c r="D112" s="14">
        <v>30</v>
      </c>
      <c r="E112" s="56">
        <v>45000</v>
      </c>
      <c r="F112" s="56">
        <v>1350000</v>
      </c>
      <c r="G112" s="61">
        <v>49500</v>
      </c>
      <c r="H112" s="61">
        <v>1485000</v>
      </c>
      <c r="I112" s="69">
        <v>48600</v>
      </c>
      <c r="J112" s="69">
        <v>1458000</v>
      </c>
      <c r="K112" s="77">
        <f t="shared" si="2"/>
        <v>47700</v>
      </c>
      <c r="L112" s="77">
        <f t="shared" si="2"/>
        <v>1431000</v>
      </c>
    </row>
    <row r="113" spans="1:12" ht="156" x14ac:dyDescent="0.2">
      <c r="A113" s="9" t="s">
        <v>186</v>
      </c>
      <c r="B113" s="111" t="s">
        <v>194</v>
      </c>
      <c r="C113" s="14" t="s">
        <v>39</v>
      </c>
      <c r="D113" s="14">
        <v>10</v>
      </c>
      <c r="E113" s="56">
        <v>55000</v>
      </c>
      <c r="F113" s="56">
        <v>550000</v>
      </c>
      <c r="G113" s="61">
        <v>60500</v>
      </c>
      <c r="H113" s="61">
        <v>605000</v>
      </c>
      <c r="I113" s="69">
        <v>59400</v>
      </c>
      <c r="J113" s="69">
        <v>594000</v>
      </c>
      <c r="K113" s="77">
        <f t="shared" si="2"/>
        <v>58300</v>
      </c>
      <c r="L113" s="77">
        <f t="shared" si="2"/>
        <v>583000</v>
      </c>
    </row>
    <row r="114" spans="1:12" ht="132" x14ac:dyDescent="0.2">
      <c r="A114" s="9" t="s">
        <v>187</v>
      </c>
      <c r="B114" s="111" t="s">
        <v>195</v>
      </c>
      <c r="C114" s="14" t="s">
        <v>39</v>
      </c>
      <c r="D114" s="14">
        <v>2</v>
      </c>
      <c r="E114" s="56">
        <v>285000</v>
      </c>
      <c r="F114" s="56">
        <v>570000</v>
      </c>
      <c r="G114" s="61">
        <v>313500</v>
      </c>
      <c r="H114" s="61">
        <v>627000</v>
      </c>
      <c r="I114" s="69">
        <v>307800</v>
      </c>
      <c r="J114" s="69">
        <v>615600</v>
      </c>
      <c r="K114" s="77">
        <f t="shared" si="2"/>
        <v>302100</v>
      </c>
      <c r="L114" s="77">
        <f t="shared" si="2"/>
        <v>604200</v>
      </c>
    </row>
    <row r="115" spans="1:12" ht="156" x14ac:dyDescent="0.2">
      <c r="A115" s="9" t="s">
        <v>188</v>
      </c>
      <c r="B115" s="111" t="s">
        <v>196</v>
      </c>
      <c r="C115" s="14" t="s">
        <v>39</v>
      </c>
      <c r="D115" s="17">
        <f>(1.12*0.7)+(0.9*0.7)</f>
        <v>1.4140000000000001</v>
      </c>
      <c r="E115" s="56">
        <v>365000</v>
      </c>
      <c r="F115" s="56">
        <v>516110</v>
      </c>
      <c r="G115" s="61">
        <v>401500</v>
      </c>
      <c r="H115" s="61">
        <v>567721</v>
      </c>
      <c r="I115" s="69">
        <v>394200</v>
      </c>
      <c r="J115" s="68">
        <v>557398.80000000005</v>
      </c>
      <c r="K115" s="77">
        <f t="shared" si="2"/>
        <v>386900</v>
      </c>
      <c r="L115" s="77">
        <f t="shared" si="2"/>
        <v>547076.6</v>
      </c>
    </row>
    <row r="116" spans="1:12" x14ac:dyDescent="0.2">
      <c r="A116" s="183" t="s">
        <v>198</v>
      </c>
      <c r="B116" s="183"/>
      <c r="C116" s="48"/>
      <c r="D116" s="29"/>
      <c r="E116" s="30"/>
      <c r="F116" s="31">
        <f>SUM(F5:F115)</f>
        <v>239378766.67000002</v>
      </c>
      <c r="G116" s="32"/>
      <c r="H116" s="33">
        <v>306786250.64999998</v>
      </c>
      <c r="I116" s="32"/>
      <c r="J116" s="33">
        <v>301208318.81999999</v>
      </c>
      <c r="K116" s="123"/>
      <c r="L116" s="76">
        <f>SUM(L5:L115)</f>
        <v>253741492.67333338</v>
      </c>
    </row>
    <row r="117" spans="1:12" ht="36" x14ac:dyDescent="0.2">
      <c r="A117" s="192" t="s">
        <v>199</v>
      </c>
      <c r="B117" s="193"/>
      <c r="C117" s="193"/>
      <c r="D117" s="194"/>
      <c r="E117" s="34">
        <v>0.2</v>
      </c>
      <c r="F117" s="35">
        <f>F116*E117</f>
        <v>47875753.334000006</v>
      </c>
      <c r="G117" s="34">
        <v>0.23</v>
      </c>
      <c r="H117" s="75" t="s">
        <v>206</v>
      </c>
      <c r="I117" s="36">
        <v>0.22</v>
      </c>
      <c r="J117" s="75" t="s">
        <v>210</v>
      </c>
      <c r="K117" s="154">
        <f>AVERAGE(E117,G117,I117)</f>
        <v>0.21666666666666667</v>
      </c>
      <c r="L117" s="124">
        <f>L116*K117</f>
        <v>54977323.412555568</v>
      </c>
    </row>
    <row r="118" spans="1:12" ht="24" x14ac:dyDescent="0.2">
      <c r="A118" s="192" t="s">
        <v>200</v>
      </c>
      <c r="B118" s="193"/>
      <c r="C118" s="193"/>
      <c r="D118" s="194"/>
      <c r="E118" s="34">
        <v>0.01</v>
      </c>
      <c r="F118" s="35">
        <f>F116*E118</f>
        <v>2393787.6667000004</v>
      </c>
      <c r="G118" s="34">
        <v>0.02</v>
      </c>
      <c r="H118" s="75" t="s">
        <v>207</v>
      </c>
      <c r="I118" s="36">
        <v>0.03</v>
      </c>
      <c r="J118" s="75" t="s">
        <v>211</v>
      </c>
      <c r="K118" s="154">
        <f t="shared" ref="K118:K119" si="3">AVERAGE(E118,G118,I118)</f>
        <v>0.02</v>
      </c>
      <c r="L118" s="124">
        <f>L116*K118</f>
        <v>5074829.8534666672</v>
      </c>
    </row>
    <row r="119" spans="1:12" ht="36" x14ac:dyDescent="0.2">
      <c r="A119" s="192" t="s">
        <v>201</v>
      </c>
      <c r="B119" s="193"/>
      <c r="C119" s="193"/>
      <c r="D119" s="194"/>
      <c r="E119" s="34">
        <v>0.05</v>
      </c>
      <c r="F119" s="35">
        <f>F116*E119</f>
        <v>11968938.333500002</v>
      </c>
      <c r="G119" s="34">
        <v>0.05</v>
      </c>
      <c r="H119" s="37">
        <v>15339312.529999999</v>
      </c>
      <c r="I119" s="36">
        <v>0.05</v>
      </c>
      <c r="J119" s="75" t="s">
        <v>212</v>
      </c>
      <c r="K119" s="154">
        <f t="shared" si="3"/>
        <v>5.000000000000001E-2</v>
      </c>
      <c r="L119" s="124">
        <f>L116*K119</f>
        <v>12687074.633666672</v>
      </c>
    </row>
    <row r="120" spans="1:12" ht="24" x14ac:dyDescent="0.2">
      <c r="A120" s="192" t="s">
        <v>226</v>
      </c>
      <c r="B120" s="193"/>
      <c r="C120" s="193"/>
      <c r="D120" s="194"/>
      <c r="E120" s="34">
        <v>0.19</v>
      </c>
      <c r="F120" s="35">
        <f>F119*E120</f>
        <v>2274098.2833650005</v>
      </c>
      <c r="G120" s="34">
        <v>0.19</v>
      </c>
      <c r="H120" s="37">
        <v>2914469.38</v>
      </c>
      <c r="I120" s="36">
        <v>0.19</v>
      </c>
      <c r="J120" s="75" t="s">
        <v>213</v>
      </c>
      <c r="K120" s="155">
        <v>0.19</v>
      </c>
      <c r="L120" s="124">
        <f>L119*19%</f>
        <v>2410544.1803966677</v>
      </c>
    </row>
    <row r="121" spans="1:12" ht="36" customHeight="1" x14ac:dyDescent="0.2">
      <c r="A121" s="195" t="s">
        <v>202</v>
      </c>
      <c r="B121" s="196"/>
      <c r="C121" s="196"/>
      <c r="D121" s="196"/>
      <c r="E121" s="196"/>
      <c r="F121" s="196"/>
      <c r="G121" s="196"/>
      <c r="H121" s="196"/>
      <c r="I121" s="196"/>
      <c r="J121" s="196"/>
      <c r="K121" s="197"/>
      <c r="L121" s="149">
        <f>SUM(L116:L120)</f>
        <v>328891264.75341898</v>
      </c>
    </row>
  </sheetData>
  <mergeCells count="12">
    <mergeCell ref="A121:K121"/>
    <mergeCell ref="K1:L1"/>
    <mergeCell ref="A117:D117"/>
    <mergeCell ref="A118:D118"/>
    <mergeCell ref="A119:D119"/>
    <mergeCell ref="A120:D120"/>
    <mergeCell ref="A116:B116"/>
    <mergeCell ref="I1:J1"/>
    <mergeCell ref="A1:B1"/>
    <mergeCell ref="C1:D1"/>
    <mergeCell ref="E1:F1"/>
    <mergeCell ref="G1:H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ANALISIS DE COTIZACIONES </vt:lpstr>
      <vt:lpstr>VALOR TECHO ESTIMADO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TK Maria Juliana Ceron Rivera</dc:creator>
  <cp:lastModifiedBy>TK Maria Juliana Ceron Rivera</cp:lastModifiedBy>
  <dcterms:created xsi:type="dcterms:W3CDTF">2026-04-10T21:05:06Z</dcterms:created>
  <dcterms:modified xsi:type="dcterms:W3CDTF">2026-05-19T19:52:08Z</dcterms:modified>
</cp:coreProperties>
</file>