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 MANUEL\Documents\0.0 _ ASUS\0. TRABAJOS\2026\5º _ AEROCIVIL\8°_ Amalfi\0°_ AMALFI _ FINAL\"/>
    </mc:Choice>
  </mc:AlternateContent>
  <xr:revisionPtr revIDLastSave="0" documentId="13_ncr:1_{40FEE0A2-0898-4AEA-B7F9-5AE7E2BA963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BIENES RELEVANTES" sheetId="265" r:id="rId1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[0]!ERR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'BIENES RELEVANTES'!$A$4:$M$4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'BIENES RELEVANTES'!$A$1:$K$46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[0]!ERR</definedName>
    <definedName name="Proponente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olver_adj" localSheetId="0" hidden="1">'BIENES RELEVANTES'!$I$35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'BIENES RELEVANTES'!$I$41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'BIENES RELEVANTES'!$I$41</definedName>
    <definedName name="solver_pre" localSheetId="0" hidden="1">0.000001</definedName>
    <definedName name="solver_rel1" localSheetId="0" hidden="1">2</definedName>
    <definedName name="solver_rhs1" localSheetId="0" hidden="1">'BIENES RELEVANTES'!$I$42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265" l="1"/>
  <c r="J10" i="265"/>
  <c r="J11" i="265"/>
  <c r="J12" i="265"/>
  <c r="J13" i="265"/>
  <c r="J14" i="265"/>
  <c r="J15" i="265"/>
  <c r="J16" i="265"/>
  <c r="J17" i="265"/>
  <c r="J18" i="265"/>
  <c r="J19" i="265"/>
  <c r="J20" i="265"/>
  <c r="J21" i="265"/>
  <c r="J22" i="265"/>
  <c r="J23" i="265"/>
  <c r="J24" i="265"/>
  <c r="J25" i="265"/>
  <c r="J26" i="265"/>
  <c r="J27" i="265"/>
  <c r="J29" i="265"/>
  <c r="J30" i="265"/>
  <c r="J32" i="265"/>
  <c r="J6" i="265"/>
  <c r="J7" i="265"/>
  <c r="J8" i="265"/>
  <c r="J5" i="265"/>
  <c r="L32" i="265"/>
  <c r="I30" i="265" l="1"/>
  <c r="I29" i="265"/>
  <c r="I31" i="265" l="1"/>
  <c r="G5" i="265"/>
  <c r="G8" i="265"/>
  <c r="G6" i="265"/>
  <c r="G7" i="265"/>
  <c r="I32" i="265" l="1"/>
  <c r="I8" i="265"/>
  <c r="I10" i="265"/>
  <c r="I33" i="265" l="1"/>
  <c r="I24" i="265"/>
  <c r="I17" i="265"/>
  <c r="I9" i="265" l="1"/>
  <c r="I22" i="265"/>
  <c r="I11" i="265"/>
  <c r="I21" i="265"/>
  <c r="I20" i="265"/>
  <c r="I13" i="265"/>
  <c r="I15" i="265"/>
  <c r="I19" i="265"/>
  <c r="G18" i="265"/>
  <c r="I18" i="265" s="1"/>
  <c r="G23" i="265"/>
  <c r="I23" i="265" s="1"/>
  <c r="I27" i="265"/>
  <c r="I16" i="265"/>
  <c r="I5" i="265"/>
  <c r="I14" i="265"/>
  <c r="I12" i="265" l="1"/>
  <c r="I7" i="265"/>
  <c r="I6" i="265" l="1"/>
  <c r="I43" i="265" l="1"/>
  <c r="I36" i="265" l="1"/>
  <c r="H40" i="265"/>
  <c r="H42" i="265"/>
  <c r="H41" i="265" l="1"/>
  <c r="H43" i="265" l="1"/>
  <c r="K5" i="265"/>
  <c r="K6" i="265" s="1"/>
  <c r="K7" i="265" s="1"/>
  <c r="K8" i="265" s="1"/>
  <c r="K9" i="265" s="1"/>
  <c r="K10" i="265" s="1"/>
  <c r="K11" i="265" s="1"/>
  <c r="K12" i="265" s="1"/>
  <c r="K13" i="265" s="1"/>
  <c r="K14" i="265" s="1"/>
  <c r="K15" i="265" s="1"/>
  <c r="K16" i="265" s="1"/>
  <c r="K17" i="265" s="1"/>
  <c r="K18" i="265" s="1"/>
  <c r="K19" i="265" s="1"/>
  <c r="K20" i="265" s="1"/>
  <c r="K21" i="265" s="1"/>
  <c r="K22" i="265" s="1"/>
  <c r="K23" i="265" s="1"/>
  <c r="K24" i="265" s="1"/>
  <c r="K25" i="265" s="1"/>
  <c r="K26" i="265" s="1"/>
  <c r="K27" i="265" s="1"/>
</calcChain>
</file>

<file path=xl/sharedStrings.xml><?xml version="1.0" encoding="utf-8"?>
<sst xmlns="http://schemas.openxmlformats.org/spreadsheetml/2006/main" count="98" uniqueCount="77">
  <si>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</si>
  <si>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</si>
  <si>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</si>
  <si>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</si>
  <si>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</si>
  <si>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</si>
  <si>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</si>
  <si>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</si>
  <si>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</si>
  <si>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PORCENTAJE</t>
  </si>
  <si>
    <t>ADMINISTRACION</t>
  </si>
  <si>
    <t xml:space="preserve">IMPREVISTO
</t>
  </si>
  <si>
    <t>TOTAL A.I.U</t>
  </si>
  <si>
    <t>UTILIDAD</t>
  </si>
  <si>
    <t>m2</t>
  </si>
  <si>
    <t>LADO AIRE</t>
  </si>
  <si>
    <t>Nro.</t>
  </si>
  <si>
    <t>m3</t>
  </si>
  <si>
    <t>450-22 INV</t>
  </si>
  <si>
    <t>6.1.15.2</t>
  </si>
  <si>
    <t>421-22 INV</t>
  </si>
  <si>
    <t>421.2</t>
  </si>
  <si>
    <t>RIEGO DE LIGA CON EMULSION ASFALTICA CRR-65. (Análisis aplicado para riego de liga con emulsión  sobre superficie asfáltica limpia, seca y sin polvo. Incluye aplicación, retiro de vegetales y barrido previo obligatorio para garantizar adherencia, transporte desde planta, análisis y diseño</t>
  </si>
  <si>
    <t>PAVIMENTO FLEXIBLE. Mezcla densa en caliente MDC-10, (Aplicado previo aseo y descontaminación, para mezcla MDC-10 fabricada en planta móvil. Incluye suministro de agregados, producción, transporte desde planta de producción hasta el sitio de aplicación, extendido y compactación; también inlcuye cemento asfáltico y llenante mineral, según diseño (Basado en ítem 450.3 INVIAS)</t>
  </si>
  <si>
    <t>330-22 INV</t>
  </si>
  <si>
    <t>6,1,16          320.4.2</t>
  </si>
  <si>
    <t>1.3.1</t>
  </si>
  <si>
    <t>210-22 INV</t>
  </si>
  <si>
    <t>6.1.16.1</t>
  </si>
  <si>
    <t>220-22 INV</t>
  </si>
  <si>
    <r>
      <rPr>
        <b/>
        <sz val="10"/>
        <rFont val="Arial Narrow"/>
        <family val="2"/>
      </rPr>
      <t xml:space="preserve">NOTA 1: </t>
    </r>
    <r>
      <rPr>
        <sz val="10"/>
        <rFont val="Arial Narrow"/>
        <family val="2"/>
      </rPr>
      <t xml:space="preserve"> Se debe tener en cuenta que el PRECIO UNITARIO incluye el valor de A.I.U. </t>
    </r>
  </si>
  <si>
    <r>
      <rPr>
        <b/>
        <sz val="10"/>
        <rFont val="Arial Narrow"/>
        <family val="2"/>
      </rPr>
      <t>NOTA 2:</t>
    </r>
    <r>
      <rPr>
        <sz val="10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</si>
  <si>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3:</t>
    </r>
    <r>
      <rPr>
        <sz val="10"/>
        <rFont val="Arial Narrow"/>
        <family val="2"/>
      </rPr>
      <t xml:space="preserve"> El A.I.U y su discriminación deben estar en porcentaje (%). </t>
    </r>
  </si>
  <si>
    <t>COMPACTACION DE LA SUBRASANTE. Incluye desmonte y limpieza, descapote y retiro del material inadecuado de demolición, drenaje y subdrenaje, preparación de la superficie de apoyo para el relleno mediante escarificación, nivelación o compactación</t>
  </si>
  <si>
    <t>SUB-BASE - BASE GRANULAR  .Clase según análisis por ejecutor, incluye transporte desde fuente hasta sitio de aplicación, extensión en capa de espesor uniforme, humedecimiento y compactación</t>
  </si>
  <si>
    <t>EXCAVACIÓN A MAQUINA. en material conglomerado de 0 - 1 m. de profundidad, sección obligada y afines de talud, incluye cargue, transporte y retiro de sobrantes.</t>
  </si>
  <si>
    <t xml:space="preserve">Mantenimiento de cerramiento en malla eslabonada y tubos metálicos de cerramiento, acabado en anticorrosivo y pintura epóxica. </t>
  </si>
  <si>
    <t xml:space="preserve">Suministro e instalación de cerradura para puerta en interior </t>
  </si>
  <si>
    <t>und</t>
  </si>
  <si>
    <t>PINTURA PARA SEÑALIZACION HORIZONTAL para pista, calles de rodaje y plataforma, según norma FAA - P620, marca vial con pintura en frio, Incluye materiales, equipos, mano de obra y demas para su correcta instalación.  Observar las normas RAC 14 y anexo 14 de la OACI ante cualquier diferencia de conceptos en cuanto a especificaciones técnicas</t>
  </si>
  <si>
    <t>Suministro y aplicación de señalización de Personas de Movilidad Reducida PMR, de acuerdo a la normativa.</t>
  </si>
  <si>
    <t>Suministro e instalación de piso vinílico (administración)</t>
  </si>
  <si>
    <t>Suministro e instalación de piso en vinilo de alto tráfico e=2mm (Bodega)</t>
  </si>
  <si>
    <t>PINTURA GENERAL, interior o exterior con pintura de primera calidad (Koraza), sobre cubierta de bodegas, columnas, muros, cielos, vigas y/o sobre pintura existente, color a definir, en todas las superficies a pintar, se aplicarán cuantas manos de pintura e imprimantes sean necesarios. Incluye todo tipo de resanes y preparación de superficie, puertas, ventanas, arañas pasamanos, es decir sin descontar vanos; Incluye recursos, andamios, acomodación mobiliario y herramienta menor y limpieza</t>
  </si>
  <si>
    <t>Suministro y operación de vibrocompactador de gran capacidad, durante un tiempo estimado de 10 horas, destinado a la conformación, nivelación y compactación superficial de la pista, con el fin de eliminar irregularidades tipo “morritos”, mejorar la uniformidad del terreno y garantizar condiciones óptimas de rodadura y seguridad operacional.</t>
  </si>
  <si>
    <t>hr</t>
  </si>
  <si>
    <t xml:space="preserve">Limpieza (desmalezado y evacuación sedimentos) en canales (en tierra o en concreto) de evacuación aguas, retiro y disposición de material sobrante a cualquier distancia en botadero autorizado. Consistente en mantenimiento de taludes, reconstrucción de canales y limpieza de cauce a cualquier ancho de canal.  </t>
  </si>
  <si>
    <t>ml</t>
  </si>
  <si>
    <t>Localización y replanteo con comisión topográfica, áreas menores a 5.000 m2</t>
  </si>
  <si>
    <t>12.2.4</t>
  </si>
  <si>
    <t>2.2.14</t>
  </si>
  <si>
    <t>CONCRETO DE 3000 PSI(21 Mpa) PARA MUROS -ALETAS- CAJAS Y GUARDARUEDAS . Incluye enconfrado, desencofrado, concreto a la vista, M de O</t>
  </si>
  <si>
    <t>Suministro e instalación tubería aglomerada y corrugada de 10 pulgadas empotrada en aleta de entrada y salida con espesor de 20 cm y en caja de inspección de 1m x 70cm para canal ubicado en cabecera 15 (concretos se pagarán aparte de éste ítem)</t>
  </si>
  <si>
    <t>TUBERIA PVC-S Ø4". Suministro y colocación de tubería pvc-s Ø4" para aguas residuales o lluvias. Incluye suministro y transporte de los materiales, accesorios, pegante, limpiador y todos los elementos necesarios para su correcta instalación y funcionamiento. La excavación y los llenos se pagaran en su ítem respectivo.</t>
  </si>
  <si>
    <t>12.1.17</t>
  </si>
  <si>
    <t>PINTURA REJA AGUAS LLUVIAS DE PARQUEADERO. Ancho 0,5 m. angulo 2"  y platinas 3/8" x 2", previo retiro de bisagras, ajustes para que encaje en canal confinado en angulo metálico, retiro de oxido, anticorrosivo y pintura de señalización color amarillo</t>
  </si>
  <si>
    <t>14.21.28</t>
  </si>
  <si>
    <t>6.1.22</t>
  </si>
  <si>
    <t>14.1.18</t>
  </si>
  <si>
    <t>4.1.3</t>
  </si>
  <si>
    <t>kg</t>
  </si>
  <si>
    <t>14.1.28</t>
  </si>
  <si>
    <t>Suministro y aplicación de pintura epóxica en estructura metálica (negro y amarillo).inlcuye preparacion de superficies, retiro oxidos, cambio piezas meteorizadas</t>
  </si>
  <si>
    <t>230.1-22 INV</t>
  </si>
  <si>
    <t>MEJORAMIENTO DE LA SUBRASANTE CON ADICION DE MATERIALES(Análisis aplicado para Mejoramiento de la subrasante por medio de escarificado, mezcla con material de adición tipo SBG-50 Clase C (NT1) en proporción con un reemplazo del 50% del material de aporte, extendido y compactado en capa de 0.30 m de espesor total)</t>
  </si>
  <si>
    <t>Estudio de geología, geomorfología, y geotecnia (incluye ensayos de campo y caracterización de materiales, informe geotécnico con recomendaciones para diseño de pavimento aeroportuario)</t>
  </si>
  <si>
    <t>Diseño de pavimentos para plataforma y calle de rodaje en pavimento flexible para un área de 2200 m2. (incluye informe, planos, cantidades y presupuesto)</t>
  </si>
  <si>
    <t>SUMINISTRO E INSTALACION TEJA TERMOACUSTICA para parqueadero, incluye canal lateral metálico y bajante de aguas lluvias, incluye accesorios para instalación.</t>
  </si>
  <si>
    <t>SUBTOTAL DE CONSULTORIA</t>
  </si>
  <si>
    <t>IVA DE CONSULTORIA</t>
  </si>
  <si>
    <t>TOTAL DE CONSULTORIA</t>
  </si>
  <si>
    <t>VALOR TOTAL DE LA CONSULTORIA Y OBRAS</t>
  </si>
  <si>
    <t>IVA SOBRE LA UTILIDAD</t>
  </si>
  <si>
    <t>GL</t>
  </si>
  <si>
    <t>ESTRUCTURA METALICA PARA CUBIERTA (INC ANTICORROSIVO, ESMALTE SINTETICO, TRANSPORTE E INSTALACION)</t>
  </si>
  <si>
    <t>% PATICIPACIÓN</t>
  </si>
  <si>
    <t>%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</si>
</sst>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[$$-240A]\ * #,##0.00_-;\-[$$-240A]\ * #,##0.00_-;_-[$$-240A]\ * &quot;-&quot;??_-;_-@_-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12">
      <alignment horizontal="right"/>
    </xf>
    <xf numFmtId="188" fontId="6" fillId="0" borderId="12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12">
      <alignment horizontal="right"/>
    </xf>
    <xf numFmtId="191" fontId="4" fillId="0" borderId="0">
      <protection locked="0"/>
    </xf>
    <xf numFmtId="3" fontId="30" fillId="0" borderId="0" applyFont="0" applyFill="0" applyBorder="0" applyAlignment="0" applyProtection="0"/>
    <xf numFmtId="192" fontId="4" fillId="0" borderId="0">
      <protection locked="0"/>
    </xf>
    <xf numFmtId="193" fontId="30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6" fontId="4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4" fillId="0" borderId="0"/>
    <xf numFmtId="0" fontId="1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13">
      <protection locked="0"/>
    </xf>
  </cellStyleXfs>
  <cellXfs count="61">
    <xf numFmtId="0" fontId="0" fillId="0" borderId="0" xfId="0"/>
    <xf numFmtId="173" fontId="29" fillId="0" borderId="11" xfId="34" applyFont="1" applyBorder="1"/>
    <xf numFmtId="0" fontId="29" fillId="0" borderId="11" xfId="74" applyFont="1" applyBorder="1" applyAlignment="1">
      <alignment horizontal="center" vertical="center"/>
    </xf>
    <xf numFmtId="0" fontId="29" fillId="0" borderId="11" xfId="74" applyFont="1" applyBorder="1" applyAlignment="1">
      <alignment horizontal="left" vertical="center" wrapText="1"/>
    </xf>
    <xf numFmtId="4" fontId="29" fillId="0" borderId="11" xfId="39" applyNumberFormat="1" applyFont="1" applyBorder="1" applyAlignment="1">
      <alignment vertical="center" wrapText="1"/>
    </xf>
    <xf numFmtId="167" fontId="29" fillId="0" borderId="11" xfId="62" applyNumberFormat="1" applyFont="1" applyBorder="1" applyAlignment="1">
      <alignment horizontal="right" vertical="center" wrapText="1"/>
    </xf>
    <xf numFmtId="186" fontId="38" fillId="26" borderId="11" xfId="60" applyNumberFormat="1" applyFont="1" applyFill="1" applyBorder="1" applyAlignment="1">
      <alignment horizontal="center" vertical="center"/>
    </xf>
    <xf numFmtId="0" fontId="29" fillId="26" borderId="11" xfId="130" applyFont="1" applyFill="1" applyBorder="1" applyAlignment="1">
      <alignment vertical="center" wrapText="1"/>
    </xf>
    <xf numFmtId="4" fontId="29" fillId="0" borderId="11" xfId="39" applyNumberFormat="1" applyFont="1" applyBorder="1" applyAlignment="1">
      <alignment horizontal="center" vertical="center" wrapText="1"/>
    </xf>
    <xf numFmtId="10" fontId="39" fillId="0" borderId="11" xfId="95" applyNumberFormat="1" applyFont="1" applyBorder="1" applyAlignment="1">
      <alignment horizontal="center" vertical="center"/>
    </xf>
    <xf numFmtId="0" fontId="29" fillId="0" borderId="11" xfId="135" applyFont="1" applyBorder="1" applyAlignment="1">
      <alignment horizontal="center" vertical="center"/>
    </xf>
    <xf numFmtId="0" fontId="38" fillId="24" borderId="11" xfId="73" applyFont="1" applyFill="1" applyBorder="1" applyAlignment="1">
      <alignment horizontal="center" vertical="center"/>
    </xf>
    <xf numFmtId="0" fontId="38" fillId="24" borderId="11" xfId="73" applyFont="1" applyFill="1" applyBorder="1" applyAlignment="1">
      <alignment vertical="center"/>
    </xf>
    <xf numFmtId="0" fontId="29" fillId="0" borderId="11" xfId="135" applyFont="1" applyBorder="1" applyAlignment="1">
      <alignment horizontal="left" vertical="center" wrapText="1"/>
    </xf>
    <xf numFmtId="0" fontId="29" fillId="0" borderId="11" xfId="89" applyFont="1" applyBorder="1"/>
    <xf numFmtId="3" fontId="38" fillId="26" borderId="11" xfId="130" applyNumberFormat="1" applyFont="1" applyFill="1" applyBorder="1" applyAlignment="1">
      <alignment vertical="center"/>
    </xf>
    <xf numFmtId="0" fontId="38" fillId="0" borderId="11" xfId="126" applyFont="1" applyBorder="1" applyAlignment="1">
      <alignment horizontal="center" vertical="center" wrapText="1"/>
    </xf>
    <xf numFmtId="0" fontId="40" fillId="0" borderId="11" xfId="0" applyFont="1" applyBorder="1"/>
    <xf numFmtId="0" fontId="29" fillId="0" borderId="11" xfId="135" applyFont="1" applyBorder="1" applyAlignment="1">
      <alignment horizontal="center" vertical="center" wrapText="1"/>
    </xf>
    <xf numFmtId="2" fontId="29" fillId="0" borderId="11" xfId="135" applyNumberFormat="1" applyFont="1" applyBorder="1" applyAlignment="1">
      <alignment horizontal="center" vertical="center"/>
    </xf>
    <xf numFmtId="0" fontId="29" fillId="0" borderId="11" xfId="73" applyFont="1" applyBorder="1" applyAlignment="1">
      <alignment horizontal="center" vertical="center"/>
    </xf>
    <xf numFmtId="0" fontId="29" fillId="0" borderId="11" xfId="89" applyFont="1" applyBorder="1" applyAlignment="1">
      <alignment vertical="center"/>
    </xf>
    <xf numFmtId="0" fontId="29" fillId="0" borderId="11" xfId="90" applyFont="1" applyBorder="1"/>
    <xf numFmtId="187" fontId="38" fillId="24" borderId="11" xfId="73" applyNumberFormat="1" applyFont="1" applyFill="1" applyBorder="1" applyAlignment="1">
      <alignment vertical="center"/>
    </xf>
    <xf numFmtId="49" fontId="38" fillId="0" borderId="11" xfId="131" applyNumberFormat="1" applyFont="1" applyBorder="1" applyAlignment="1">
      <alignment horizontal="right" vertical="center"/>
    </xf>
    <xf numFmtId="186" fontId="38" fillId="0" borderId="11" xfId="131" applyNumberFormat="1" applyFont="1" applyBorder="1" applyAlignment="1">
      <alignment vertical="center"/>
    </xf>
    <xf numFmtId="0" fontId="29" fillId="0" borderId="11" xfId="128" applyFont="1" applyBorder="1"/>
    <xf numFmtId="0" fontId="29" fillId="0" borderId="11" xfId="128" applyFont="1" applyBorder="1" applyAlignment="1">
      <alignment horizontal="center"/>
    </xf>
    <xf numFmtId="0" fontId="29" fillId="0" borderId="11" xfId="128" applyFont="1" applyBorder="1" applyAlignment="1">
      <alignment horizontal="left" vertical="center"/>
    </xf>
    <xf numFmtId="180" fontId="29" fillId="0" borderId="11" xfId="129" applyNumberFormat="1" applyFont="1" applyBorder="1" applyAlignment="1">
      <alignment horizontal="center" vertical="center"/>
    </xf>
    <xf numFmtId="0" fontId="38" fillId="0" borderId="11" xfId="128" applyFont="1" applyBorder="1" applyAlignment="1">
      <alignment vertical="center"/>
    </xf>
    <xf numFmtId="0" fontId="38" fillId="0" borderId="11" xfId="128" applyFont="1" applyBorder="1" applyAlignment="1">
      <alignment horizontal="right" vertical="center"/>
    </xf>
    <xf numFmtId="181" fontId="29" fillId="0" borderId="11" xfId="129" applyNumberFormat="1" applyFont="1" applyBorder="1" applyAlignment="1">
      <alignment vertical="center"/>
    </xf>
    <xf numFmtId="0" fontId="38" fillId="0" borderId="11" xfId="128" applyFont="1" applyBorder="1" applyAlignment="1">
      <alignment horizontal="left" vertical="center"/>
    </xf>
    <xf numFmtId="9" fontId="29" fillId="0" borderId="11" xfId="129" applyNumberFormat="1" applyFont="1" applyBorder="1" applyAlignment="1">
      <alignment horizontal="center" vertical="center"/>
    </xf>
    <xf numFmtId="181" fontId="38" fillId="0" borderId="11" xfId="129" applyNumberFormat="1" applyFont="1" applyBorder="1" applyAlignment="1">
      <alignment vertical="center"/>
    </xf>
    <xf numFmtId="0" fontId="29" fillId="0" borderId="11" xfId="128" applyFont="1" applyBorder="1" applyAlignment="1">
      <alignment vertical="center"/>
    </xf>
    <xf numFmtId="187" fontId="38" fillId="24" borderId="11" xfId="135" applyNumberFormat="1" applyFont="1" applyFill="1" applyBorder="1" applyAlignment="1">
      <alignment vertical="center"/>
    </xf>
    <xf numFmtId="2" fontId="29" fillId="0" borderId="11" xfId="128" applyNumberFormat="1" applyFont="1" applyBorder="1"/>
    <xf numFmtId="181" fontId="29" fillId="0" borderId="11" xfId="129" applyNumberFormat="1" applyFont="1" applyBorder="1"/>
    <xf numFmtId="39" fontId="38" fillId="0" borderId="11" xfId="129" applyNumberFormat="1" applyFont="1" applyBorder="1" applyAlignment="1">
      <alignment vertical="center"/>
    </xf>
    <xf numFmtId="0" fontId="38" fillId="0" borderId="11" xfId="79" applyFont="1" applyBorder="1" applyAlignment="1">
      <alignment vertical="center"/>
    </xf>
    <xf numFmtId="0" fontId="29" fillId="0" borderId="11" xfId="79" applyFont="1" applyBorder="1" applyAlignment="1">
      <alignment vertical="center"/>
    </xf>
    <xf numFmtId="182" fontId="29" fillId="0" borderId="11" xfId="90" applyNumberFormat="1" applyFont="1" applyBorder="1"/>
    <xf numFmtId="3" fontId="38" fillId="26" borderId="11" xfId="130" applyNumberFormat="1" applyFont="1" applyFill="1" applyBorder="1" applyAlignment="1">
      <alignment vertical="center" wrapText="1"/>
    </xf>
    <xf numFmtId="184" fontId="29" fillId="0" borderId="11" xfId="90" applyNumberFormat="1" applyFont="1" applyBorder="1"/>
    <xf numFmtId="9" fontId="29" fillId="27" borderId="11" xfId="95" applyFont="1" applyFill="1" applyBorder="1" applyAlignment="1">
      <alignment horizontal="center" vertical="center"/>
    </xf>
    <xf numFmtId="204" fontId="29" fillId="0" borderId="11" xfId="90" applyNumberFormat="1" applyFont="1" applyBorder="1"/>
    <xf numFmtId="0" fontId="29" fillId="0" borderId="11" xfId="0" applyFont="1" applyBorder="1" applyAlignment="1">
      <alignment vertical="center" wrapText="1"/>
    </xf>
    <xf numFmtId="0" fontId="29" fillId="25" borderId="11" xfId="130" applyFont="1" applyFill="1" applyBorder="1" applyAlignment="1">
      <alignment vertical="center" wrapText="1"/>
    </xf>
    <xf numFmtId="0" fontId="29" fillId="0" borderId="11" xfId="89" applyFont="1" applyBorder="1" applyAlignment="1">
      <alignment horizontal="center"/>
    </xf>
    <xf numFmtId="185" fontId="29" fillId="0" borderId="11" xfId="34" applyNumberFormat="1" applyFont="1" applyBorder="1"/>
    <xf numFmtId="0" fontId="29" fillId="0" borderId="11" xfId="74" applyFont="1" applyBorder="1" applyAlignment="1">
      <alignment horizontal="center" vertical="center" wrapText="1"/>
    </xf>
    <xf numFmtId="0" fontId="38" fillId="0" borderId="11" xfId="73" applyFont="1" applyBorder="1" applyAlignment="1">
      <alignment vertical="center"/>
    </xf>
    <xf numFmtId="187" fontId="29" fillId="0" borderId="11" xfId="73" applyNumberFormat="1" applyFont="1" applyBorder="1" applyAlignment="1">
      <alignment vertical="center"/>
    </xf>
    <xf numFmtId="10" fontId="41" fillId="0" borderId="11" xfId="95" applyNumberFormat="1" applyFont="1" applyBorder="1" applyAlignment="1">
      <alignment horizontal="center" vertical="center"/>
    </xf>
    <xf numFmtId="4" fontId="38" fillId="25" borderId="11" xfId="73" applyNumberFormat="1" applyFont="1" applyFill="1" applyBorder="1" applyAlignment="1">
      <alignment horizontal="center" vertical="center" wrapText="1"/>
    </xf>
    <xf numFmtId="0" fontId="38" fillId="24" borderId="11" xfId="73" applyFont="1" applyFill="1" applyBorder="1" applyAlignment="1">
      <alignment horizontal="left" vertical="center"/>
    </xf>
    <xf numFmtId="0" fontId="38" fillId="25" borderId="11" xfId="73" applyFont="1" applyFill="1" applyBorder="1" applyAlignment="1">
      <alignment horizontal="center" vertical="center" wrapText="1"/>
    </xf>
    <xf numFmtId="0" fontId="38" fillId="0" borderId="11" xfId="126" applyFont="1" applyBorder="1" applyAlignment="1">
      <alignment horizontal="center" vertical="center" wrapText="1"/>
    </xf>
    <xf numFmtId="167" fontId="29" fillId="0" borderId="11" xfId="90" applyNumberFormat="1" applyFont="1" applyBorder="1"/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R50"/>
  <sheetViews>
    <sheetView showGridLines="0" tabSelected="1" view="pageBreakPreview" zoomScale="110" zoomScaleNormal="55" zoomScaleSheetLayoutView="110" zoomScalePageLayoutView="70" workbookViewId="0">
      <selection activeCell="L5" sqref="L5"/>
    </sheetView>
  </sheetViews>
  <sheetFormatPr baseColWidth="10" defaultColWidth="11.44140625" defaultRowHeight="13.8" x14ac:dyDescent="0.3"/>
  <cols>
    <col min="1" max="1" width="8.109375" style="14" customWidth="1"/>
    <col min="2" max="2" width="9" style="14" hidden="1" customWidth="1"/>
    <col min="3" max="3" width="11.5546875" style="50" hidden="1" customWidth="1"/>
    <col min="4" max="4" width="9.109375" style="14" hidden="1" customWidth="1"/>
    <col min="5" max="5" width="37.6640625" style="14" customWidth="1"/>
    <col min="6" max="6" width="6.33203125" style="14" customWidth="1"/>
    <col min="7" max="7" width="7.5546875" style="14" customWidth="1"/>
    <col min="8" max="8" width="12.6640625" style="14" customWidth="1"/>
    <col min="9" max="9" width="13.6640625" style="14" bestFit="1" customWidth="1"/>
    <col min="10" max="11" width="11.88671875" style="14" bestFit="1" customWidth="1"/>
    <col min="12" max="12" width="30.5546875" style="14" customWidth="1"/>
    <col min="13" max="13" width="21.6640625" style="14" customWidth="1"/>
    <col min="14" max="16384" width="11.44140625" style="14"/>
  </cols>
  <sheetData>
    <row r="1" spans="1:18" ht="14.25" customHeight="1" x14ac:dyDescent="0.3">
      <c r="A1" s="12"/>
      <c r="B1" s="12"/>
      <c r="C1" s="12"/>
      <c r="D1" s="12"/>
      <c r="E1" s="12"/>
      <c r="F1" s="12"/>
      <c r="G1" s="12"/>
      <c r="H1" s="12"/>
      <c r="I1" s="12"/>
      <c r="J1" s="57"/>
      <c r="K1" s="57"/>
      <c r="L1" s="57"/>
      <c r="M1" s="57"/>
      <c r="N1" s="57"/>
      <c r="O1" s="57"/>
      <c r="P1" s="57"/>
      <c r="Q1" s="57"/>
      <c r="R1" s="57"/>
    </row>
    <row r="2" spans="1:18" ht="15.6" customHeight="1" x14ac:dyDescent="0.3">
      <c r="A2" s="58" t="s">
        <v>0</v>
      </c>
      <c r="B2" s="58" t="s">
        <v>16</v>
      </c>
      <c r="C2" s="59" t="s">
        <v>1</v>
      </c>
      <c r="D2" s="59"/>
      <c r="E2" s="58" t="s">
        <v>2</v>
      </c>
      <c r="F2" s="58" t="s">
        <v>3</v>
      </c>
      <c r="G2" s="58" t="s">
        <v>4</v>
      </c>
      <c r="H2" s="56" t="s">
        <v>5</v>
      </c>
      <c r="I2" s="56" t="s">
        <v>6</v>
      </c>
      <c r="J2" s="56" t="s">
        <v>75</v>
      </c>
      <c r="K2" s="56" t="s">
        <v>76</v>
      </c>
    </row>
    <row r="3" spans="1:18" ht="10.199999999999999" customHeight="1" x14ac:dyDescent="0.3">
      <c r="A3" s="58"/>
      <c r="B3" s="58"/>
      <c r="C3" s="16" t="s">
        <v>7</v>
      </c>
      <c r="D3" s="16" t="s">
        <v>8</v>
      </c>
      <c r="E3" s="58"/>
      <c r="F3" s="58"/>
      <c r="G3" s="58"/>
      <c r="H3" s="56"/>
      <c r="I3" s="56"/>
      <c r="J3" s="56"/>
      <c r="K3" s="56"/>
    </row>
    <row r="4" spans="1:18" s="17" customFormat="1" ht="12" customHeight="1" x14ac:dyDescent="0.3">
      <c r="A4" s="11">
        <v>1</v>
      </c>
      <c r="B4" s="11"/>
      <c r="C4" s="12"/>
      <c r="D4" s="12"/>
      <c r="E4" s="11" t="s">
        <v>15</v>
      </c>
      <c r="F4" s="12"/>
      <c r="G4" s="12"/>
      <c r="H4" s="12"/>
      <c r="I4" s="12"/>
      <c r="J4" s="12"/>
      <c r="K4" s="12"/>
    </row>
    <row r="5" spans="1:18" s="17" customFormat="1" ht="115.2" customHeight="1" x14ac:dyDescent="0.3">
      <c r="A5" s="10">
        <v>1.7</v>
      </c>
      <c r="B5" s="2" t="s">
        <v>19</v>
      </c>
      <c r="C5" s="2" t="s">
        <v>18</v>
      </c>
      <c r="D5" s="2"/>
      <c r="E5" s="3" t="s">
        <v>23</v>
      </c>
      <c r="F5" s="2" t="s">
        <v>17</v>
      </c>
      <c r="G5" s="4">
        <f>2200*0.09</f>
        <v>198</v>
      </c>
      <c r="H5" s="5">
        <v>1778879</v>
      </c>
      <c r="I5" s="5">
        <f>ROUND((G5*H5),0)</f>
        <v>352218042</v>
      </c>
      <c r="J5" s="55">
        <f>+I5/$L$32</f>
        <v>0.3555567950650324</v>
      </c>
      <c r="K5" s="9">
        <f>+J5+K4</f>
        <v>0.3555567950650324</v>
      </c>
      <c r="L5" s="14"/>
      <c r="M5" s="14"/>
    </row>
    <row r="6" spans="1:18" s="17" customFormat="1" ht="60" customHeight="1" x14ac:dyDescent="0.3">
      <c r="A6" s="10">
        <v>1.4</v>
      </c>
      <c r="B6" s="18" t="s">
        <v>25</v>
      </c>
      <c r="C6" s="10" t="s">
        <v>24</v>
      </c>
      <c r="D6" s="10"/>
      <c r="E6" s="13" t="s">
        <v>34</v>
      </c>
      <c r="F6" s="10" t="s">
        <v>17</v>
      </c>
      <c r="G6" s="4">
        <f>2200*0.6</f>
        <v>1320</v>
      </c>
      <c r="H6" s="5">
        <v>229562</v>
      </c>
      <c r="I6" s="5">
        <f>ROUND((H6*G6),0)</f>
        <v>303021840</v>
      </c>
      <c r="J6" s="55">
        <f t="shared" ref="J6:J32" si="0">+I6/$L$32</f>
        <v>0.30589425133738329</v>
      </c>
      <c r="K6" s="9">
        <f>+J6+K5</f>
        <v>0.6614510464024157</v>
      </c>
    </row>
    <row r="7" spans="1:18" s="17" customFormat="1" ht="40.200000000000003" customHeight="1" x14ac:dyDescent="0.3">
      <c r="A7" s="10">
        <v>1.2</v>
      </c>
      <c r="B7" s="18" t="s">
        <v>26</v>
      </c>
      <c r="C7" s="10" t="s">
        <v>27</v>
      </c>
      <c r="D7" s="10"/>
      <c r="E7" s="13" t="s">
        <v>35</v>
      </c>
      <c r="F7" s="10" t="s">
        <v>17</v>
      </c>
      <c r="G7" s="4">
        <f>2200*1.2</f>
        <v>2640</v>
      </c>
      <c r="H7" s="5">
        <v>75806</v>
      </c>
      <c r="I7" s="5">
        <f>ROUND((G7*H7),0)</f>
        <v>200127840</v>
      </c>
      <c r="J7" s="55">
        <f t="shared" si="0"/>
        <v>0.20202489625357575</v>
      </c>
      <c r="K7" s="9">
        <f>+J7+K6</f>
        <v>0.86347594265599148</v>
      </c>
    </row>
    <row r="8" spans="1:18" s="17" customFormat="1" ht="103.2" customHeight="1" x14ac:dyDescent="0.3">
      <c r="A8" s="10">
        <v>1.5</v>
      </c>
      <c r="B8" s="18">
        <v>230.1</v>
      </c>
      <c r="C8" s="10" t="s">
        <v>63</v>
      </c>
      <c r="D8" s="10"/>
      <c r="E8" s="13" t="s">
        <v>64</v>
      </c>
      <c r="F8" s="10" t="s">
        <v>17</v>
      </c>
      <c r="G8" s="4">
        <f>2200*0.3</f>
        <v>660</v>
      </c>
      <c r="H8" s="5">
        <v>42150</v>
      </c>
      <c r="I8" s="5">
        <f>ROUND((H8*G8),0)</f>
        <v>27819000</v>
      </c>
      <c r="J8" s="9">
        <f t="shared" si="0"/>
        <v>2.8082702480965286E-2</v>
      </c>
      <c r="K8" s="9">
        <f t="shared" ref="K8:K26" si="1">+J8+K7</f>
        <v>0.89155864513695682</v>
      </c>
    </row>
    <row r="9" spans="1:18" s="17" customFormat="1" ht="27.6" x14ac:dyDescent="0.3">
      <c r="A9" s="10">
        <v>1.1000000000000001</v>
      </c>
      <c r="B9" s="18"/>
      <c r="C9" s="10"/>
      <c r="D9" s="10"/>
      <c r="E9" s="13" t="s">
        <v>48</v>
      </c>
      <c r="F9" s="10" t="s">
        <v>14</v>
      </c>
      <c r="G9" s="4">
        <v>2200</v>
      </c>
      <c r="H9" s="5">
        <v>8346</v>
      </c>
      <c r="I9" s="5">
        <f>H9*G9</f>
        <v>18361200</v>
      </c>
      <c r="J9" s="9">
        <f t="shared" si="0"/>
        <v>1.853524989372371E-2</v>
      </c>
      <c r="K9" s="9">
        <f>+J9+K8</f>
        <v>0.9100938950306805</v>
      </c>
    </row>
    <row r="10" spans="1:18" s="17" customFormat="1" ht="40.799999999999997" customHeight="1" x14ac:dyDescent="0.3">
      <c r="A10" s="20">
        <v>2.5</v>
      </c>
      <c r="B10" s="2" t="s">
        <v>59</v>
      </c>
      <c r="C10" s="2"/>
      <c r="D10" s="2"/>
      <c r="E10" s="3" t="s">
        <v>74</v>
      </c>
      <c r="F10" s="2" t="s">
        <v>60</v>
      </c>
      <c r="G10" s="4">
        <v>630</v>
      </c>
      <c r="H10" s="5">
        <v>28186</v>
      </c>
      <c r="I10" s="5">
        <f>G10*H10</f>
        <v>17757180</v>
      </c>
      <c r="J10" s="9">
        <f t="shared" si="0"/>
        <v>1.7925504253961218E-2</v>
      </c>
      <c r="K10" s="9">
        <f t="shared" si="1"/>
        <v>0.92801939928464172</v>
      </c>
      <c r="L10" s="21"/>
      <c r="M10" s="14"/>
    </row>
    <row r="11" spans="1:18" ht="69" customHeight="1" x14ac:dyDescent="0.3">
      <c r="A11" s="19">
        <v>1.1000000000000001</v>
      </c>
      <c r="B11" s="10" t="s">
        <v>49</v>
      </c>
      <c r="C11" s="10"/>
      <c r="D11" s="10"/>
      <c r="E11" s="13" t="s">
        <v>52</v>
      </c>
      <c r="F11" s="10" t="s">
        <v>47</v>
      </c>
      <c r="G11" s="4">
        <v>80</v>
      </c>
      <c r="H11" s="5">
        <v>189320</v>
      </c>
      <c r="I11" s="5">
        <f>H11*G11</f>
        <v>15145600</v>
      </c>
      <c r="J11" s="9">
        <f t="shared" si="0"/>
        <v>1.5289168506981123E-2</v>
      </c>
      <c r="K11" s="9">
        <f t="shared" si="1"/>
        <v>0.94330856779162287</v>
      </c>
      <c r="L11" s="17"/>
      <c r="M11" s="17"/>
    </row>
    <row r="12" spans="1:18" s="17" customFormat="1" ht="71.400000000000006" customHeight="1" x14ac:dyDescent="0.3">
      <c r="A12" s="10">
        <v>1.3</v>
      </c>
      <c r="B12" s="18" t="s">
        <v>28</v>
      </c>
      <c r="C12" s="10" t="s">
        <v>29</v>
      </c>
      <c r="D12" s="10"/>
      <c r="E12" s="13" t="s">
        <v>33</v>
      </c>
      <c r="F12" s="10" t="s">
        <v>14</v>
      </c>
      <c r="G12" s="4">
        <v>2200</v>
      </c>
      <c r="H12" s="5">
        <v>4426</v>
      </c>
      <c r="I12" s="5">
        <f>ROUND((G12*H12),0)</f>
        <v>9737200</v>
      </c>
      <c r="J12" s="9">
        <f t="shared" si="0"/>
        <v>9.8295010819100317E-3</v>
      </c>
      <c r="K12" s="9">
        <f t="shared" si="1"/>
        <v>0.95313806887353292</v>
      </c>
    </row>
    <row r="13" spans="1:18" ht="66.75" customHeight="1" x14ac:dyDescent="0.3">
      <c r="A13" s="20">
        <v>2.1</v>
      </c>
      <c r="B13" s="2" t="s">
        <v>58</v>
      </c>
      <c r="C13" s="2"/>
      <c r="D13" s="2"/>
      <c r="E13" s="3" t="s">
        <v>43</v>
      </c>
      <c r="F13" s="2" t="s">
        <v>14</v>
      </c>
      <c r="G13" s="4">
        <v>330</v>
      </c>
      <c r="H13" s="5">
        <v>22155</v>
      </c>
      <c r="I13" s="5">
        <f>G13*H13</f>
        <v>7311150</v>
      </c>
      <c r="J13" s="9">
        <f t="shared" si="0"/>
        <v>7.3804540150152545E-3</v>
      </c>
      <c r="K13" s="9">
        <f t="shared" si="1"/>
        <v>0.96051852288854822</v>
      </c>
    </row>
    <row r="14" spans="1:18" s="17" customFormat="1" ht="50.25" customHeight="1" x14ac:dyDescent="0.3">
      <c r="A14" s="10">
        <v>1.6</v>
      </c>
      <c r="B14" s="10" t="s">
        <v>21</v>
      </c>
      <c r="C14" s="10" t="s">
        <v>20</v>
      </c>
      <c r="D14" s="10"/>
      <c r="E14" s="13" t="s">
        <v>22</v>
      </c>
      <c r="F14" s="10" t="s">
        <v>14</v>
      </c>
      <c r="G14" s="4">
        <v>2200</v>
      </c>
      <c r="H14" s="5">
        <v>3141</v>
      </c>
      <c r="I14" s="5">
        <f>ROUND((H14*G14),0)</f>
        <v>6910200</v>
      </c>
      <c r="J14" s="9">
        <f t="shared" si="0"/>
        <v>6.9757033208945806E-3</v>
      </c>
      <c r="K14" s="9">
        <f t="shared" si="1"/>
        <v>0.96749422620944281</v>
      </c>
    </row>
    <row r="15" spans="1:18" s="17" customFormat="1" ht="27.6" x14ac:dyDescent="0.3">
      <c r="A15" s="20">
        <v>2.9</v>
      </c>
      <c r="B15" s="2"/>
      <c r="C15" s="2"/>
      <c r="D15" s="2"/>
      <c r="E15" s="3" t="s">
        <v>42</v>
      </c>
      <c r="F15" s="2" t="s">
        <v>14</v>
      </c>
      <c r="G15" s="4">
        <v>33.770000000000003</v>
      </c>
      <c r="H15" s="5">
        <v>190442</v>
      </c>
      <c r="I15" s="5">
        <f>G15*H15</f>
        <v>6431226.3400000008</v>
      </c>
      <c r="J15" s="9">
        <f t="shared" si="0"/>
        <v>6.4921893631678827E-3</v>
      </c>
      <c r="K15" s="9">
        <f t="shared" si="1"/>
        <v>0.97398641557261068</v>
      </c>
      <c r="L15" s="14"/>
      <c r="M15" s="14"/>
    </row>
    <row r="16" spans="1:18" s="17" customFormat="1" ht="41.4" x14ac:dyDescent="0.3">
      <c r="A16" s="20">
        <v>2.1</v>
      </c>
      <c r="B16" s="2"/>
      <c r="C16" s="2"/>
      <c r="D16" s="2"/>
      <c r="E16" s="3" t="s">
        <v>36</v>
      </c>
      <c r="F16" s="2" t="s">
        <v>14</v>
      </c>
      <c r="G16" s="4">
        <v>220</v>
      </c>
      <c r="H16" s="5">
        <v>23450</v>
      </c>
      <c r="I16" s="5">
        <f>H16*G16</f>
        <v>5159000</v>
      </c>
      <c r="J16" s="9">
        <f t="shared" si="0"/>
        <v>5.2079033070671094E-3</v>
      </c>
      <c r="K16" s="9">
        <f t="shared" si="1"/>
        <v>0.97919431887967778</v>
      </c>
      <c r="L16" s="14"/>
      <c r="M16" s="14"/>
    </row>
    <row r="17" spans="1:13" ht="41.4" x14ac:dyDescent="0.3">
      <c r="A17" s="10">
        <v>1.1100000000000001</v>
      </c>
      <c r="B17" s="10" t="s">
        <v>50</v>
      </c>
      <c r="C17" s="10"/>
      <c r="D17" s="10"/>
      <c r="E17" s="13" t="s">
        <v>51</v>
      </c>
      <c r="F17" s="10" t="s">
        <v>17</v>
      </c>
      <c r="G17" s="4">
        <v>3.2</v>
      </c>
      <c r="H17" s="5">
        <v>1479048</v>
      </c>
      <c r="I17" s="5">
        <f>H17*G17</f>
        <v>4732953.6000000006</v>
      </c>
      <c r="J17" s="9">
        <f t="shared" si="0"/>
        <v>4.7778183185956937E-3</v>
      </c>
      <c r="K17" s="9">
        <f t="shared" si="1"/>
        <v>0.98397213719827348</v>
      </c>
      <c r="L17" s="17"/>
      <c r="M17" s="17"/>
    </row>
    <row r="18" spans="1:13" ht="55.2" x14ac:dyDescent="0.3">
      <c r="A18" s="20">
        <v>2.4</v>
      </c>
      <c r="B18" s="2"/>
      <c r="C18" s="2"/>
      <c r="D18" s="2"/>
      <c r="E18" s="3" t="s">
        <v>67</v>
      </c>
      <c r="F18" s="2" t="s">
        <v>14</v>
      </c>
      <c r="G18" s="4">
        <f>9*3.5</f>
        <v>31.5</v>
      </c>
      <c r="H18" s="5">
        <v>145625</v>
      </c>
      <c r="I18" s="5">
        <f>G18*H18</f>
        <v>4587187.5</v>
      </c>
      <c r="J18" s="9">
        <f t="shared" si="0"/>
        <v>4.6306704693519878E-3</v>
      </c>
      <c r="K18" s="9">
        <f t="shared" si="1"/>
        <v>0.98860280766762543</v>
      </c>
    </row>
    <row r="19" spans="1:13" ht="15.6" customHeight="1" x14ac:dyDescent="0.3">
      <c r="A19" s="20">
        <v>2.8</v>
      </c>
      <c r="B19" s="2"/>
      <c r="C19" s="2"/>
      <c r="D19" s="2"/>
      <c r="E19" s="3" t="s">
        <v>41</v>
      </c>
      <c r="F19" s="2" t="s">
        <v>14</v>
      </c>
      <c r="G19" s="4">
        <v>19.95</v>
      </c>
      <c r="H19" s="5">
        <v>190442</v>
      </c>
      <c r="I19" s="5">
        <f>G19*H19</f>
        <v>3799317.9</v>
      </c>
      <c r="J19" s="9">
        <f t="shared" si="0"/>
        <v>3.8353324783890804E-3</v>
      </c>
      <c r="K19" s="9">
        <f t="shared" si="1"/>
        <v>0.9924381401460145</v>
      </c>
    </row>
    <row r="20" spans="1:13" ht="96.6" x14ac:dyDescent="0.3">
      <c r="A20" s="19">
        <v>1.8</v>
      </c>
      <c r="B20" s="10"/>
      <c r="C20" s="10"/>
      <c r="D20" s="10"/>
      <c r="E20" s="13" t="s">
        <v>44</v>
      </c>
      <c r="F20" s="10" t="s">
        <v>45</v>
      </c>
      <c r="G20" s="4">
        <v>10</v>
      </c>
      <c r="H20" s="5">
        <v>160000</v>
      </c>
      <c r="I20" s="5">
        <f>H20*G20</f>
        <v>1600000</v>
      </c>
      <c r="J20" s="9">
        <f t="shared" si="0"/>
        <v>1.6151667554385298E-3</v>
      </c>
      <c r="K20" s="9">
        <f t="shared" si="1"/>
        <v>0.99405330690145299</v>
      </c>
      <c r="L20" s="17"/>
      <c r="M20" s="17"/>
    </row>
    <row r="21" spans="1:13" ht="96.6" x14ac:dyDescent="0.3">
      <c r="A21" s="10">
        <v>1.9</v>
      </c>
      <c r="B21" s="2" t="s">
        <v>19</v>
      </c>
      <c r="C21" s="2" t="s">
        <v>18</v>
      </c>
      <c r="D21" s="2"/>
      <c r="E21" s="3" t="s">
        <v>46</v>
      </c>
      <c r="F21" s="2" t="s">
        <v>47</v>
      </c>
      <c r="G21" s="4">
        <v>146</v>
      </c>
      <c r="H21" s="5">
        <v>10220</v>
      </c>
      <c r="I21" s="5">
        <f>H21*G21</f>
        <v>1492120</v>
      </c>
      <c r="J21" s="9">
        <f t="shared" si="0"/>
        <v>1.5062641369530869E-3</v>
      </c>
      <c r="K21" s="9">
        <f t="shared" si="1"/>
        <v>0.99555957103840609</v>
      </c>
    </row>
    <row r="22" spans="1:13" ht="41.25" customHeight="1" x14ac:dyDescent="0.3">
      <c r="A22" s="10">
        <v>1.1299999999999999</v>
      </c>
      <c r="B22" s="2" t="s">
        <v>56</v>
      </c>
      <c r="C22" s="2"/>
      <c r="D22" s="2"/>
      <c r="E22" s="3" t="s">
        <v>55</v>
      </c>
      <c r="F22" s="2" t="s">
        <v>47</v>
      </c>
      <c r="G22" s="4">
        <v>16</v>
      </c>
      <c r="H22" s="5">
        <v>76813</v>
      </c>
      <c r="I22" s="5">
        <f>H22*G22</f>
        <v>1229008</v>
      </c>
      <c r="J22" s="9">
        <f t="shared" si="0"/>
        <v>1.2406580398549979E-3</v>
      </c>
      <c r="K22" s="9">
        <f t="shared" si="1"/>
        <v>0.99680022907826105</v>
      </c>
    </row>
    <row r="23" spans="1:13" ht="43.8" customHeight="1" x14ac:dyDescent="0.3">
      <c r="A23" s="20">
        <v>2.2999999999999998</v>
      </c>
      <c r="B23" s="2" t="s">
        <v>61</v>
      </c>
      <c r="C23" s="2"/>
      <c r="D23" s="2"/>
      <c r="E23" s="3" t="s">
        <v>62</v>
      </c>
      <c r="F23" s="2" t="s">
        <v>14</v>
      </c>
      <c r="G23" s="4">
        <f>18*0.6</f>
        <v>10.799999999999999</v>
      </c>
      <c r="H23" s="5">
        <v>76813</v>
      </c>
      <c r="I23" s="5">
        <f>G23*H23</f>
        <v>829580.39999999991</v>
      </c>
      <c r="J23" s="9">
        <f t="shared" si="0"/>
        <v>8.374441769021235E-4</v>
      </c>
      <c r="K23" s="9">
        <f t="shared" si="1"/>
        <v>0.99763767325516317</v>
      </c>
    </row>
    <row r="24" spans="1:13" ht="86.4" customHeight="1" x14ac:dyDescent="0.3">
      <c r="A24" s="19">
        <v>1.1200000000000001</v>
      </c>
      <c r="B24" s="2" t="s">
        <v>54</v>
      </c>
      <c r="C24" s="2"/>
      <c r="D24" s="2"/>
      <c r="E24" s="3" t="s">
        <v>53</v>
      </c>
      <c r="F24" s="2" t="s">
        <v>47</v>
      </c>
      <c r="G24" s="4">
        <v>16</v>
      </c>
      <c r="H24" s="5">
        <v>47810</v>
      </c>
      <c r="I24" s="5">
        <f>H24*G24</f>
        <v>764960</v>
      </c>
      <c r="J24" s="9">
        <f t="shared" si="0"/>
        <v>7.7221122577516112E-4</v>
      </c>
      <c r="K24" s="9">
        <f t="shared" si="1"/>
        <v>0.99840988448093837</v>
      </c>
      <c r="L24" s="17"/>
      <c r="M24" s="17"/>
    </row>
    <row r="25" spans="1:13" ht="105.6" customHeight="1" x14ac:dyDescent="0.3">
      <c r="A25" s="20">
        <v>2.6</v>
      </c>
      <c r="B25" s="2" t="s">
        <v>57</v>
      </c>
      <c r="C25" s="2"/>
      <c r="D25" s="2"/>
      <c r="E25" s="3" t="s">
        <v>39</v>
      </c>
      <c r="F25" s="2" t="s">
        <v>14</v>
      </c>
      <c r="G25" s="4">
        <v>16</v>
      </c>
      <c r="H25" s="5">
        <v>40774</v>
      </c>
      <c r="I25" s="5">
        <v>652384</v>
      </c>
      <c r="J25" s="9">
        <f t="shared" si="0"/>
        <v>6.585680928625061E-4</v>
      </c>
      <c r="K25" s="9">
        <f t="shared" si="1"/>
        <v>0.99906845257380084</v>
      </c>
    </row>
    <row r="26" spans="1:13" ht="28.8" customHeight="1" x14ac:dyDescent="0.3">
      <c r="A26" s="20">
        <v>2.7</v>
      </c>
      <c r="B26" s="2"/>
      <c r="C26" s="2"/>
      <c r="D26" s="2"/>
      <c r="E26" s="3" t="s">
        <v>40</v>
      </c>
      <c r="F26" s="2" t="s">
        <v>14</v>
      </c>
      <c r="G26" s="4">
        <v>12</v>
      </c>
      <c r="H26" s="5">
        <v>38750</v>
      </c>
      <c r="I26" s="5">
        <v>465000</v>
      </c>
      <c r="J26" s="9">
        <f t="shared" si="0"/>
        <v>4.6940783829932273E-4</v>
      </c>
      <c r="K26" s="9">
        <f t="shared" si="1"/>
        <v>0.99953786041210013</v>
      </c>
    </row>
    <row r="27" spans="1:13" ht="27.6" x14ac:dyDescent="0.3">
      <c r="A27" s="20">
        <v>2.2000000000000002</v>
      </c>
      <c r="B27" s="2"/>
      <c r="C27" s="2"/>
      <c r="D27" s="2"/>
      <c r="E27" s="3" t="s">
        <v>37</v>
      </c>
      <c r="F27" s="2" t="s">
        <v>38</v>
      </c>
      <c r="G27" s="4">
        <v>2</v>
      </c>
      <c r="H27" s="5">
        <v>228900</v>
      </c>
      <c r="I27" s="5">
        <f>G27*H27</f>
        <v>457800</v>
      </c>
      <c r="J27" s="9">
        <f t="shared" si="0"/>
        <v>4.6213958789984933E-4</v>
      </c>
      <c r="K27" s="9">
        <f>+J27+K26</f>
        <v>1</v>
      </c>
    </row>
    <row r="28" spans="1:13" s="22" customFormat="1" x14ac:dyDescent="0.3">
      <c r="A28" s="53"/>
      <c r="B28" s="53"/>
      <c r="C28" s="53"/>
      <c r="D28" s="53"/>
      <c r="E28" s="52" t="s">
        <v>72</v>
      </c>
      <c r="F28" s="53"/>
      <c r="G28" s="53"/>
      <c r="H28" s="53"/>
      <c r="I28" s="54">
        <v>7468883</v>
      </c>
      <c r="J28" s="9">
        <v>7.1000000000000004E-3</v>
      </c>
      <c r="K28" s="9"/>
    </row>
    <row r="29" spans="1:13" s="22" customFormat="1" ht="60.6" customHeight="1" x14ac:dyDescent="0.3">
      <c r="A29" s="20">
        <v>3.1</v>
      </c>
      <c r="B29" s="2"/>
      <c r="C29" s="2"/>
      <c r="D29" s="2"/>
      <c r="E29" s="13" t="s">
        <v>65</v>
      </c>
      <c r="F29" s="2" t="s">
        <v>73</v>
      </c>
      <c r="G29" s="8">
        <v>1</v>
      </c>
      <c r="H29" s="5">
        <v>23255000</v>
      </c>
      <c r="I29" s="5">
        <f t="shared" ref="I29:I30" si="2">H29*G29</f>
        <v>23255000</v>
      </c>
      <c r="J29" s="9">
        <f>+I29/$L$36</f>
        <v>2.2188056257355208E-2</v>
      </c>
      <c r="K29" s="9"/>
    </row>
    <row r="30" spans="1:13" s="22" customFormat="1" ht="48" customHeight="1" x14ac:dyDescent="0.3">
      <c r="A30" s="20">
        <v>3.2</v>
      </c>
      <c r="B30" s="2"/>
      <c r="C30" s="2"/>
      <c r="D30" s="2"/>
      <c r="E30" s="13" t="s">
        <v>66</v>
      </c>
      <c r="F30" s="2" t="s">
        <v>73</v>
      </c>
      <c r="G30" s="8">
        <v>1</v>
      </c>
      <c r="H30" s="5">
        <v>18768300</v>
      </c>
      <c r="I30" s="5">
        <f t="shared" si="2"/>
        <v>18768300</v>
      </c>
      <c r="J30" s="9">
        <f>+I30/$L$36</f>
        <v>1.7907206891202742E-2</v>
      </c>
      <c r="K30" s="9"/>
    </row>
    <row r="31" spans="1:13" s="22" customFormat="1" hidden="1" x14ac:dyDescent="0.3">
      <c r="A31" s="12" t="s">
        <v>68</v>
      </c>
      <c r="B31" s="12"/>
      <c r="C31" s="12"/>
      <c r="D31" s="12"/>
      <c r="E31" s="12"/>
      <c r="F31" s="12"/>
      <c r="G31" s="12"/>
      <c r="H31" s="12"/>
      <c r="I31" s="23">
        <f>I29+I30</f>
        <v>42023300</v>
      </c>
    </row>
    <row r="32" spans="1:13" s="22" customFormat="1" x14ac:dyDescent="0.3">
      <c r="A32" s="53"/>
      <c r="B32" s="53"/>
      <c r="C32" s="53"/>
      <c r="D32" s="53"/>
      <c r="E32" s="52" t="s">
        <v>69</v>
      </c>
      <c r="F32" s="53"/>
      <c r="G32" s="53"/>
      <c r="H32" s="53"/>
      <c r="I32" s="54">
        <f>+I31*19%</f>
        <v>7984427</v>
      </c>
      <c r="J32" s="9">
        <f>+I32/$L$36</f>
        <v>7.6180999982260111E-3</v>
      </c>
      <c r="K32" s="9"/>
      <c r="L32" s="60">
        <f>+SUM(I5:I27)</f>
        <v>990609789.74000001</v>
      </c>
    </row>
    <row r="33" spans="1:13" s="22" customFormat="1" hidden="1" x14ac:dyDescent="0.3">
      <c r="A33" s="12" t="s">
        <v>70</v>
      </c>
      <c r="B33" s="12"/>
      <c r="C33" s="12"/>
      <c r="D33" s="12"/>
      <c r="E33" s="12"/>
      <c r="F33" s="12"/>
      <c r="G33" s="12"/>
      <c r="H33" s="12"/>
      <c r="I33" s="23">
        <f>+I31+I32</f>
        <v>50007727</v>
      </c>
    </row>
    <row r="34" spans="1:13" s="22" customFormat="1" hidden="1" x14ac:dyDescent="0.3">
      <c r="A34" s="24"/>
      <c r="B34" s="24"/>
      <c r="C34" s="24"/>
      <c r="D34" s="24"/>
      <c r="E34" s="24"/>
      <c r="F34" s="24"/>
      <c r="G34" s="24"/>
      <c r="H34" s="24"/>
      <c r="I34" s="25"/>
    </row>
    <row r="35" spans="1:13" s="22" customFormat="1" hidden="1" x14ac:dyDescent="0.3">
      <c r="A35" s="26"/>
      <c r="B35" s="27"/>
      <c r="C35" s="26"/>
      <c r="D35" s="26"/>
      <c r="E35" s="28"/>
      <c r="F35" s="29"/>
      <c r="G35" s="30"/>
      <c r="H35" s="31"/>
      <c r="I35" s="32"/>
    </row>
    <row r="36" spans="1:13" s="22" customFormat="1" hidden="1" x14ac:dyDescent="0.3">
      <c r="A36" s="26"/>
      <c r="B36" s="27"/>
      <c r="C36" s="26"/>
      <c r="D36" s="26"/>
      <c r="E36" s="33" t="s">
        <v>71</v>
      </c>
      <c r="F36" s="34"/>
      <c r="G36" s="35"/>
      <c r="H36" s="36"/>
      <c r="I36" s="37" t="e">
        <f>#REF!+I33</f>
        <v>#REF!</v>
      </c>
      <c r="L36" s="37">
        <v>1048086399.74</v>
      </c>
    </row>
    <row r="37" spans="1:13" s="22" customFormat="1" hidden="1" x14ac:dyDescent="0.3">
      <c r="A37" s="26"/>
      <c r="B37" s="27"/>
      <c r="C37" s="27"/>
      <c r="D37" s="27"/>
      <c r="E37" s="26"/>
      <c r="F37" s="26"/>
      <c r="G37" s="38"/>
      <c r="H37" s="39"/>
      <c r="I37" s="40"/>
    </row>
    <row r="38" spans="1:13" s="22" customFormat="1" hidden="1" x14ac:dyDescent="0.3">
      <c r="A38" s="41"/>
      <c r="B38" s="42"/>
      <c r="C38" s="42"/>
      <c r="D38" s="42"/>
      <c r="E38" s="42"/>
      <c r="F38" s="42"/>
      <c r="G38" s="42"/>
      <c r="H38" s="42"/>
      <c r="I38" s="42"/>
      <c r="J38" s="43"/>
    </row>
    <row r="39" spans="1:13" s="22" customFormat="1" ht="13.8" hidden="1" customHeight="1" x14ac:dyDescent="0.3">
      <c r="A39" s="7" t="s">
        <v>30</v>
      </c>
      <c r="B39" s="7"/>
      <c r="C39" s="7"/>
      <c r="D39" s="7"/>
      <c r="E39" s="7"/>
      <c r="F39" s="44" t="s">
        <v>2</v>
      </c>
      <c r="G39" s="44"/>
      <c r="H39" s="44"/>
      <c r="I39" s="6" t="s">
        <v>9</v>
      </c>
      <c r="J39" s="45"/>
    </row>
    <row r="40" spans="1:13" s="22" customFormat="1" ht="13.8" hidden="1" customHeight="1" x14ac:dyDescent="0.3">
      <c r="A40" s="7" t="s">
        <v>31</v>
      </c>
      <c r="B40" s="7"/>
      <c r="C40" s="7"/>
      <c r="D40" s="7"/>
      <c r="E40" s="7"/>
      <c r="F40" s="15" t="s">
        <v>10</v>
      </c>
      <c r="G40" s="15"/>
      <c r="H40" s="6" t="e">
        <f>ROUND(+(((#REF!/(I$43+1))*I40)),0)</f>
        <v>#REF!</v>
      </c>
      <c r="I40" s="46">
        <v>0.2</v>
      </c>
      <c r="J40" s="45"/>
      <c r="M40" s="47"/>
    </row>
    <row r="41" spans="1:13" s="22" customFormat="1" ht="13.8" hidden="1" customHeight="1" x14ac:dyDescent="0.3">
      <c r="A41" s="7" t="s">
        <v>32</v>
      </c>
      <c r="B41" s="7"/>
      <c r="C41" s="7"/>
      <c r="D41" s="7"/>
      <c r="E41" s="7"/>
      <c r="F41" s="15" t="s">
        <v>11</v>
      </c>
      <c r="G41" s="15"/>
      <c r="H41" s="6" t="e">
        <f>ROUND(+(((#REF!/(I$43+1))*I41)),0)</f>
        <v>#REF!</v>
      </c>
      <c r="I41" s="46">
        <v>0.01</v>
      </c>
      <c r="J41" s="45"/>
    </row>
    <row r="42" spans="1:13" s="22" customFormat="1" hidden="1" x14ac:dyDescent="0.3">
      <c r="A42" s="48"/>
      <c r="B42" s="48"/>
      <c r="C42" s="48"/>
      <c r="D42" s="48"/>
      <c r="E42" s="48"/>
      <c r="F42" s="15" t="s">
        <v>13</v>
      </c>
      <c r="G42" s="15"/>
      <c r="H42" s="6" t="e">
        <f>ROUND(+(((#REF!/(I$43+1))*I42)),0)</f>
        <v>#REF!</v>
      </c>
      <c r="I42" s="46">
        <v>0.05</v>
      </c>
    </row>
    <row r="43" spans="1:13" hidden="1" x14ac:dyDescent="0.3">
      <c r="A43" s="48"/>
      <c r="B43" s="48"/>
      <c r="C43" s="48"/>
      <c r="D43" s="48"/>
      <c r="E43" s="48"/>
      <c r="F43" s="15" t="s">
        <v>12</v>
      </c>
      <c r="G43" s="15"/>
      <c r="H43" s="6" t="e">
        <f>SUM(H40:H42)</f>
        <v>#REF!</v>
      </c>
      <c r="I43" s="46">
        <f>+I40+I41+I42</f>
        <v>0.26</v>
      </c>
      <c r="M43" s="1"/>
    </row>
    <row r="44" spans="1:13" hidden="1" x14ac:dyDescent="0.3">
      <c r="A44" s="48"/>
      <c r="B44" s="48"/>
      <c r="C44" s="48"/>
      <c r="D44" s="48"/>
      <c r="E44" s="48"/>
      <c r="F44" s="49"/>
      <c r="G44" s="49"/>
      <c r="H44" s="49"/>
      <c r="I44" s="49"/>
    </row>
    <row r="45" spans="1:13" hidden="1" x14ac:dyDescent="0.3">
      <c r="E45" s="51"/>
    </row>
    <row r="46" spans="1:13" hidden="1" x14ac:dyDescent="0.3"/>
    <row r="50" spans="7:7" x14ac:dyDescent="0.3">
      <c r="G50" s="14">
        <v>700000000</v>
      </c>
    </row>
  </sheetData>
  <mergeCells count="11">
    <mergeCell ref="A2:A3"/>
    <mergeCell ref="B2:B3"/>
    <mergeCell ref="E2:E3"/>
    <mergeCell ref="F2:F3"/>
    <mergeCell ref="C2:D2"/>
    <mergeCell ref="K2:K3"/>
    <mergeCell ref="J1:R1"/>
    <mergeCell ref="G2:G3"/>
    <mergeCell ref="H2:H3"/>
    <mergeCell ref="I2:I3"/>
    <mergeCell ref="J2:J3"/>
  </mergeCells>
  <pageMargins left="0.11811023622047245" right="0.11811023622047245" top="0.15748031496062992" bottom="0.15748031496062992" header="0.31496062992125984" footer="0.31496062992125984"/>
  <pageSetup scale="42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RELEVANTES</vt:lpstr>
      <vt:lpstr>'BIENES RELEVANTES'!Área_de_impresión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Manuel Bello Rodriguez</cp:lastModifiedBy>
  <cp:revision/>
  <cp:lastPrinted>2026-04-26T21:44:25Z</cp:lastPrinted>
  <dcterms:created xsi:type="dcterms:W3CDTF">2006-06-27T16:47:25Z</dcterms:created>
  <dcterms:modified xsi:type="dcterms:W3CDTF">2026-04-30T16:33:30Z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