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0. CENAC REGIONAL USAQUEN\1. ESTRUCTURACIÓN\SUBASTA INVERSA\SASI 074 KIT DE INCORPORACIÓN\"/>
    </mc:Choice>
  </mc:AlternateContent>
  <xr:revisionPtr revIDLastSave="0" documentId="13_ncr:1_{CA8502A6-9AE6-4EF5-9FD0-80F1FE0566A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ALISIS ECONOMICO" sheetId="32" r:id="rId1"/>
  </sheets>
  <definedNames>
    <definedName name="_xlnm._FilterDatabase" localSheetId="0" hidden="1">'ANALISIS ECONOMICO'!$A$7:$BK$8</definedName>
  </definedNames>
  <calcPr calcId="181029"/>
</workbook>
</file>

<file path=xl/calcChain.xml><?xml version="1.0" encoding="utf-8"?>
<calcChain xmlns="http://schemas.openxmlformats.org/spreadsheetml/2006/main">
  <c r="BJ74" i="32" l="1"/>
  <c r="AL26" i="32"/>
  <c r="AT26" i="32" s="1"/>
  <c r="AQ26" i="32"/>
  <c r="AR26" i="32"/>
  <c r="AV26" i="32" s="1"/>
  <c r="BJ10" i="32"/>
  <c r="AK74" i="32"/>
  <c r="AM74" i="32"/>
  <c r="AN74" i="32"/>
  <c r="AO74" i="32"/>
  <c r="AP74" i="32"/>
  <c r="AL49" i="32"/>
  <c r="AT49" i="32" s="1"/>
  <c r="AL47" i="32"/>
  <c r="AT47" i="32" s="1"/>
  <c r="AL18" i="32"/>
  <c r="AT18" i="32" s="1"/>
  <c r="AL10" i="32"/>
  <c r="AR39" i="32"/>
  <c r="AR65" i="32"/>
  <c r="AQ11" i="32"/>
  <c r="AR11" i="32" s="1"/>
  <c r="AV11" i="32" s="1"/>
  <c r="AQ12" i="32"/>
  <c r="AR12" i="32" s="1"/>
  <c r="AV12" i="32" s="1"/>
  <c r="AQ13" i="32"/>
  <c r="AR13" i="32" s="1"/>
  <c r="AV13" i="32" s="1"/>
  <c r="AQ14" i="32"/>
  <c r="AR14" i="32" s="1"/>
  <c r="AV14" i="32" s="1"/>
  <c r="AQ15" i="32"/>
  <c r="AR15" i="32" s="1"/>
  <c r="AV15" i="32" s="1"/>
  <c r="AQ16" i="32"/>
  <c r="AR16" i="32" s="1"/>
  <c r="AV16" i="32" s="1"/>
  <c r="AQ17" i="32"/>
  <c r="AR17" i="32" s="1"/>
  <c r="AV17" i="32" s="1"/>
  <c r="AQ18" i="32"/>
  <c r="AR18" i="32" s="1"/>
  <c r="AV18" i="32" s="1"/>
  <c r="AQ19" i="32"/>
  <c r="AR19" i="32" s="1"/>
  <c r="AV19" i="32" s="1"/>
  <c r="AQ20" i="32"/>
  <c r="AR20" i="32" s="1"/>
  <c r="AV20" i="32" s="1"/>
  <c r="AQ21" i="32"/>
  <c r="AR21" i="32" s="1"/>
  <c r="AV21" i="32" s="1"/>
  <c r="AQ27" i="32"/>
  <c r="AR27" i="32" s="1"/>
  <c r="AV27" i="32" s="1"/>
  <c r="AQ28" i="32"/>
  <c r="AR28" i="32" s="1"/>
  <c r="AV28" i="32" s="1"/>
  <c r="AQ29" i="32"/>
  <c r="AR29" i="32" s="1"/>
  <c r="AV29" i="32" s="1"/>
  <c r="AQ30" i="32"/>
  <c r="AR30" i="32" s="1"/>
  <c r="AV30" i="32" s="1"/>
  <c r="AQ36" i="32"/>
  <c r="AR36" i="32" s="1"/>
  <c r="AV36" i="32" s="1"/>
  <c r="AQ37" i="32"/>
  <c r="AR37" i="32" s="1"/>
  <c r="AV37" i="32" s="1"/>
  <c r="AQ44" i="32"/>
  <c r="AR44" i="32" s="1"/>
  <c r="AV44" i="32" s="1"/>
  <c r="AQ45" i="32"/>
  <c r="AR45" i="32" s="1"/>
  <c r="AV45" i="32" s="1"/>
  <c r="AQ46" i="32"/>
  <c r="AR46" i="32" s="1"/>
  <c r="AV46" i="32" s="1"/>
  <c r="AQ47" i="32"/>
  <c r="AR47" i="32" s="1"/>
  <c r="AV47" i="32" s="1"/>
  <c r="AQ48" i="32"/>
  <c r="AR48" i="32" s="1"/>
  <c r="AV48" i="32" s="1"/>
  <c r="AQ49" i="32"/>
  <c r="AR49" i="32" s="1"/>
  <c r="AV49" i="32" s="1"/>
  <c r="AQ54" i="32"/>
  <c r="AR54" i="32" s="1"/>
  <c r="AV54" i="32" s="1"/>
  <c r="AQ55" i="32"/>
  <c r="AR55" i="32" s="1"/>
  <c r="AV55" i="32" s="1"/>
  <c r="AQ57" i="32"/>
  <c r="AR57" i="32" s="1"/>
  <c r="AV57" i="32" s="1"/>
  <c r="AQ62" i="32"/>
  <c r="AR62" i="32" s="1"/>
  <c r="AV62" i="32" s="1"/>
  <c r="AQ63" i="32"/>
  <c r="AR63" i="32" s="1"/>
  <c r="AV63" i="32" s="1"/>
  <c r="AQ64" i="32"/>
  <c r="AR64" i="32" s="1"/>
  <c r="AV64" i="32" s="1"/>
  <c r="AV65" i="32"/>
  <c r="AQ70" i="32"/>
  <c r="AR70" i="32" s="1"/>
  <c r="AV70" i="32" s="1"/>
  <c r="AQ71" i="32"/>
  <c r="AR71" i="32" s="1"/>
  <c r="AV71" i="32" s="1"/>
  <c r="AQ72" i="32"/>
  <c r="AR72" i="32" s="1"/>
  <c r="AV72" i="32" s="1"/>
  <c r="AQ73" i="32"/>
  <c r="AR73" i="32" s="1"/>
  <c r="AV73" i="32" s="1"/>
  <c r="AQ10" i="32"/>
  <c r="AV39" i="32"/>
  <c r="AU11" i="32"/>
  <c r="AU12" i="32"/>
  <c r="AU13" i="32"/>
  <c r="AU14" i="32"/>
  <c r="AU15" i="32"/>
  <c r="AU16" i="32"/>
  <c r="AU17" i="32"/>
  <c r="AU18" i="32"/>
  <c r="AU19" i="32"/>
  <c r="AU20" i="32"/>
  <c r="AU21" i="32"/>
  <c r="AU26" i="32"/>
  <c r="AU27" i="32"/>
  <c r="AU28" i="32"/>
  <c r="AU29" i="32"/>
  <c r="AU30" i="32"/>
  <c r="AU36" i="32"/>
  <c r="AU37" i="32"/>
  <c r="AU39" i="32"/>
  <c r="AU44" i="32"/>
  <c r="AU45" i="32"/>
  <c r="AU46" i="32"/>
  <c r="AU47" i="32"/>
  <c r="AU48" i="32"/>
  <c r="AU49" i="32"/>
  <c r="AU54" i="32"/>
  <c r="AU55" i="32"/>
  <c r="AU57" i="32"/>
  <c r="AU62" i="32"/>
  <c r="AU63" i="32"/>
  <c r="AU64" i="32"/>
  <c r="AU65" i="32"/>
  <c r="AU70" i="32"/>
  <c r="AU71" i="32"/>
  <c r="AU72" i="32"/>
  <c r="AU73" i="32"/>
  <c r="AU10" i="32"/>
  <c r="AE21" i="32"/>
  <c r="AF21" i="32" s="1"/>
  <c r="AL11" i="32"/>
  <c r="AT11" i="32" s="1"/>
  <c r="AL12" i="32"/>
  <c r="AT12" i="32" s="1"/>
  <c r="AL13" i="32"/>
  <c r="AT13" i="32" s="1"/>
  <c r="AL14" i="32"/>
  <c r="AL15" i="32"/>
  <c r="AT15" i="32" s="1"/>
  <c r="AL16" i="32"/>
  <c r="AT16" i="32" s="1"/>
  <c r="AL17" i="32"/>
  <c r="AT17" i="32" s="1"/>
  <c r="AL19" i="32"/>
  <c r="AL20" i="32"/>
  <c r="AT20" i="32" s="1"/>
  <c r="AL21" i="32"/>
  <c r="AT21" i="32" s="1"/>
  <c r="AL27" i="32"/>
  <c r="AT27" i="32" s="1"/>
  <c r="AL28" i="32"/>
  <c r="AT28" i="32" s="1"/>
  <c r="AL29" i="32"/>
  <c r="AT29" i="32" s="1"/>
  <c r="AL30" i="32"/>
  <c r="AT30" i="32" s="1"/>
  <c r="AL36" i="32"/>
  <c r="AT36" i="32" s="1"/>
  <c r="AL37" i="32"/>
  <c r="AT37" i="32" s="1"/>
  <c r="AL39" i="32"/>
  <c r="AT39" i="32" s="1"/>
  <c r="AL44" i="32"/>
  <c r="AT44" i="32" s="1"/>
  <c r="AL45" i="32"/>
  <c r="AT45" i="32" s="1"/>
  <c r="AL46" i="32"/>
  <c r="AT46" i="32" s="1"/>
  <c r="AL48" i="32"/>
  <c r="AT48" i="32" s="1"/>
  <c r="AL54" i="32"/>
  <c r="AT54" i="32" s="1"/>
  <c r="AL55" i="32"/>
  <c r="AT55" i="32" s="1"/>
  <c r="AL57" i="32"/>
  <c r="AT57" i="32" s="1"/>
  <c r="AL62" i="32"/>
  <c r="AT62" i="32" s="1"/>
  <c r="AL63" i="32"/>
  <c r="AT63" i="32" s="1"/>
  <c r="AL64" i="32"/>
  <c r="AT64" i="32" s="1"/>
  <c r="AL65" i="32"/>
  <c r="AT65" i="32" s="1"/>
  <c r="AL70" i="32"/>
  <c r="AT70" i="32" s="1"/>
  <c r="AL71" i="32"/>
  <c r="AT71" i="32" s="1"/>
  <c r="AL72" i="32"/>
  <c r="AT72" i="32" s="1"/>
  <c r="AL73" i="32"/>
  <c r="AT73" i="32" s="1"/>
  <c r="AE73" i="32"/>
  <c r="AD73" i="32"/>
  <c r="AF73" i="32" s="1"/>
  <c r="AE72" i="32"/>
  <c r="AD72" i="32"/>
  <c r="AF72" i="32" s="1"/>
  <c r="AE71" i="32"/>
  <c r="AD71" i="32"/>
  <c r="AF71" i="32" s="1"/>
  <c r="AE70" i="32"/>
  <c r="AD70" i="32"/>
  <c r="AF70" i="32" s="1"/>
  <c r="AE65" i="32"/>
  <c r="AD65" i="32"/>
  <c r="AF65" i="32" s="1"/>
  <c r="AE64" i="32"/>
  <c r="AD64" i="32"/>
  <c r="AF64" i="32" s="1"/>
  <c r="AE63" i="32"/>
  <c r="AD63" i="32"/>
  <c r="AF63" i="32" s="1"/>
  <c r="AE62" i="32"/>
  <c r="AD62" i="32"/>
  <c r="AF62" i="32" s="1"/>
  <c r="E62" i="32"/>
  <c r="E63" i="32" s="1"/>
  <c r="E64" i="32" s="1"/>
  <c r="E65" i="32" s="1"/>
  <c r="E70" i="32" s="1"/>
  <c r="E71" i="32" s="1"/>
  <c r="E72" i="32" s="1"/>
  <c r="E73" i="32" s="1"/>
  <c r="AE57" i="32"/>
  <c r="AD57" i="32"/>
  <c r="AF57" i="32" s="1"/>
  <c r="AE55" i="32"/>
  <c r="AD55" i="32"/>
  <c r="AF55" i="32" s="1"/>
  <c r="AE54" i="32"/>
  <c r="AD54" i="32"/>
  <c r="AF54" i="32" s="1"/>
  <c r="AE49" i="32"/>
  <c r="AD49" i="32"/>
  <c r="AF49" i="32" s="1"/>
  <c r="AE48" i="32"/>
  <c r="AD48" i="32"/>
  <c r="AF48" i="32" s="1"/>
  <c r="AE47" i="32"/>
  <c r="AD47" i="32"/>
  <c r="AF47" i="32" s="1"/>
  <c r="AE46" i="32"/>
  <c r="AD46" i="32"/>
  <c r="AF46" i="32" s="1"/>
  <c r="AE45" i="32"/>
  <c r="AD45" i="32"/>
  <c r="AF45" i="32" s="1"/>
  <c r="E45" i="32"/>
  <c r="E46" i="32" s="1"/>
  <c r="E47" i="32" s="1"/>
  <c r="E48" i="32" s="1"/>
  <c r="E49" i="32" s="1"/>
  <c r="E54" i="32" s="1"/>
  <c r="AE44" i="32"/>
  <c r="AD44" i="32"/>
  <c r="AF44" i="32" s="1"/>
  <c r="AE39" i="32"/>
  <c r="AD39" i="32"/>
  <c r="AF39" i="32" s="1"/>
  <c r="AE37" i="32"/>
  <c r="AD37" i="32"/>
  <c r="AF37" i="32" s="1"/>
  <c r="E37" i="32"/>
  <c r="AE36" i="32"/>
  <c r="AD36" i="32"/>
  <c r="AF36" i="32" s="1"/>
  <c r="AE30" i="32"/>
  <c r="AD30" i="32"/>
  <c r="AF30" i="32" s="1"/>
  <c r="AE29" i="32"/>
  <c r="AD29" i="32"/>
  <c r="AF29" i="32" s="1"/>
  <c r="AE28" i="32"/>
  <c r="AD28" i="32"/>
  <c r="AF28" i="32" s="1"/>
  <c r="AE27" i="32"/>
  <c r="AD27" i="32"/>
  <c r="AF27" i="32" s="1"/>
  <c r="AE26" i="32"/>
  <c r="AD26" i="32"/>
  <c r="AF26" i="32" s="1"/>
  <c r="AE20" i="32"/>
  <c r="AD20" i="32"/>
  <c r="AF20" i="32" s="1"/>
  <c r="AE19" i="32"/>
  <c r="AD19" i="32"/>
  <c r="AF19" i="32" s="1"/>
  <c r="AE18" i="32"/>
  <c r="AD18" i="32"/>
  <c r="AF18" i="32" s="1"/>
  <c r="AE17" i="32"/>
  <c r="AD17" i="32"/>
  <c r="AF17" i="32" s="1"/>
  <c r="AE16" i="32"/>
  <c r="AD16" i="32"/>
  <c r="AF16" i="32" s="1"/>
  <c r="AE15" i="32"/>
  <c r="AD15" i="32"/>
  <c r="AF15" i="32" s="1"/>
  <c r="AE14" i="32"/>
  <c r="AD14" i="32"/>
  <c r="AF14" i="32" s="1"/>
  <c r="AE13" i="32"/>
  <c r="AD13" i="32"/>
  <c r="AF13" i="32" s="1"/>
  <c r="AE12" i="32"/>
  <c r="AD12" i="32"/>
  <c r="AF12" i="32" s="1"/>
  <c r="AE11" i="32"/>
  <c r="AD11" i="32"/>
  <c r="AF11" i="32" s="1"/>
  <c r="E11" i="32"/>
  <c r="E12" i="32" s="1"/>
  <c r="E13" i="32" s="1"/>
  <c r="E14" i="32" s="1"/>
  <c r="E15" i="32" s="1"/>
  <c r="E16" i="32" s="1"/>
  <c r="E17" i="32" s="1"/>
  <c r="E18" i="32" s="1"/>
  <c r="E19" i="32" s="1"/>
  <c r="E20" i="32" s="1"/>
  <c r="E21" i="32" s="1"/>
  <c r="E26" i="32" s="1"/>
  <c r="E27" i="32" s="1"/>
  <c r="E28" i="32" s="1"/>
  <c r="E29" i="32" s="1"/>
  <c r="E30" i="32" s="1"/>
  <c r="AE10" i="32"/>
  <c r="AD10" i="32"/>
  <c r="AF10" i="32" s="1"/>
  <c r="AU74" i="32" l="1"/>
  <c r="AL74" i="32"/>
  <c r="AR10" i="32"/>
  <c r="AQ74" i="32"/>
  <c r="AY14" i="32"/>
  <c r="AT14" i="32"/>
  <c r="AT19" i="32"/>
  <c r="BB19" i="32"/>
  <c r="BD63" i="32"/>
  <c r="BE63" i="32"/>
  <c r="BF63" i="32"/>
  <c r="BG63" i="32"/>
  <c r="BH63" i="32"/>
  <c r="BD72" i="32"/>
  <c r="BE72" i="32"/>
  <c r="BF72" i="32"/>
  <c r="BG72" i="32"/>
  <c r="BH72" i="32"/>
  <c r="BH28" i="32"/>
  <c r="BG28" i="32"/>
  <c r="BF28" i="32"/>
  <c r="BE28" i="32"/>
  <c r="BD28" i="32"/>
  <c r="BH13" i="32"/>
  <c r="BG13" i="32"/>
  <c r="BF13" i="32"/>
  <c r="BE13" i="32"/>
  <c r="BD13" i="32"/>
  <c r="BD16" i="32"/>
  <c r="BE16" i="32"/>
  <c r="BF16" i="32"/>
  <c r="BG16" i="32"/>
  <c r="BH16" i="32"/>
  <c r="BA11" i="32"/>
  <c r="AY11" i="32"/>
  <c r="BB11" i="32"/>
  <c r="BC11" i="32" s="1"/>
  <c r="AZ11" i="32"/>
  <c r="AX11" i="32"/>
  <c r="BB12" i="32"/>
  <c r="AZ12" i="32"/>
  <c r="AY12" i="32"/>
  <c r="BA12" i="32"/>
  <c r="AX12" i="32"/>
  <c r="AZ13" i="32"/>
  <c r="BB13" i="32"/>
  <c r="BA13" i="32"/>
  <c r="AX13" i="32"/>
  <c r="AY13" i="32"/>
  <c r="BA14" i="32"/>
  <c r="AZ14" i="32"/>
  <c r="AX14" i="32"/>
  <c r="BB14" i="32"/>
  <c r="BC14" i="32" s="1"/>
  <c r="BA15" i="32"/>
  <c r="AX15" i="32"/>
  <c r="AY15" i="32"/>
  <c r="AZ15" i="32"/>
  <c r="BB15" i="32"/>
  <c r="BC15" i="32" s="1"/>
  <c r="BB16" i="32"/>
  <c r="AY16" i="32"/>
  <c r="AX16" i="32"/>
  <c r="BA16" i="32"/>
  <c r="AZ16" i="32"/>
  <c r="BA17" i="32"/>
  <c r="AX17" i="32"/>
  <c r="BB17" i="32"/>
  <c r="AY17" i="32"/>
  <c r="AZ17" i="32"/>
  <c r="BA18" i="32"/>
  <c r="AX18" i="32"/>
  <c r="BB18" i="32"/>
  <c r="AY18" i="32"/>
  <c r="AZ18" i="32"/>
  <c r="AY19" i="32"/>
  <c r="BA19" i="32"/>
  <c r="AX19" i="32"/>
  <c r="AZ19" i="32"/>
  <c r="AX20" i="32"/>
  <c r="BA20" i="32"/>
  <c r="AZ20" i="32"/>
  <c r="AY20" i="32"/>
  <c r="BB20" i="32"/>
  <c r="BC20" i="32" s="1"/>
  <c r="BA21" i="32"/>
  <c r="AX21" i="32"/>
  <c r="AY21" i="32"/>
  <c r="AZ21" i="32"/>
  <c r="BB21" i="32"/>
  <c r="AX26" i="32"/>
  <c r="AY26" i="32"/>
  <c r="BA26" i="32"/>
  <c r="AZ26" i="32"/>
  <c r="BB26" i="32"/>
  <c r="AZ27" i="32"/>
  <c r="BB27" i="32"/>
  <c r="BA27" i="32"/>
  <c r="AY27" i="32"/>
  <c r="AX27" i="32"/>
  <c r="AZ28" i="32"/>
  <c r="AY28" i="32"/>
  <c r="BA28" i="32"/>
  <c r="AX28" i="32"/>
  <c r="BB28" i="32"/>
  <c r="BC28" i="32" s="1"/>
  <c r="AZ29" i="32"/>
  <c r="BA29" i="32"/>
  <c r="AX29" i="32"/>
  <c r="AY29" i="32"/>
  <c r="BB29" i="32"/>
  <c r="BC29" i="32" s="1"/>
  <c r="AX30" i="32"/>
  <c r="AZ30" i="32"/>
  <c r="AY30" i="32"/>
  <c r="BA30" i="32"/>
  <c r="BB30" i="32"/>
  <c r="BC30" i="32" s="1"/>
  <c r="AX36" i="32"/>
  <c r="AZ36" i="32"/>
  <c r="AY36" i="32"/>
  <c r="BA36" i="32"/>
  <c r="BB36" i="32"/>
  <c r="BC36" i="32" s="1"/>
  <c r="AY37" i="32"/>
  <c r="BA37" i="32"/>
  <c r="AX37" i="32"/>
  <c r="AZ37" i="32"/>
  <c r="BB37" i="32"/>
  <c r="BC37" i="32" s="1"/>
  <c r="AZ39" i="32"/>
  <c r="AX39" i="32"/>
  <c r="BB39" i="32"/>
  <c r="AY39" i="32"/>
  <c r="BA39" i="32"/>
  <c r="AZ44" i="32"/>
  <c r="AX44" i="32"/>
  <c r="BA44" i="32"/>
  <c r="BB44" i="32"/>
  <c r="AY44" i="32"/>
  <c r="BA45" i="32"/>
  <c r="AX45" i="32"/>
  <c r="BB45" i="32"/>
  <c r="AZ45" i="32"/>
  <c r="AY45" i="32"/>
  <c r="AZ46" i="32"/>
  <c r="BA46" i="32"/>
  <c r="BB46" i="32"/>
  <c r="AY46" i="32"/>
  <c r="AX46" i="32"/>
  <c r="BA47" i="32"/>
  <c r="AX47" i="32"/>
  <c r="AY47" i="32"/>
  <c r="BB47" i="32"/>
  <c r="BC47" i="32" s="1"/>
  <c r="AZ47" i="32"/>
  <c r="AZ48" i="32"/>
  <c r="AX48" i="32"/>
  <c r="BA48" i="32"/>
  <c r="BB48" i="32"/>
  <c r="AY48" i="32"/>
  <c r="BA49" i="32"/>
  <c r="AY49" i="32"/>
  <c r="AZ49" i="32"/>
  <c r="BB49" i="32"/>
  <c r="BC49" i="32" s="1"/>
  <c r="AX49" i="32"/>
  <c r="AZ54" i="32"/>
  <c r="AX54" i="32"/>
  <c r="BA54" i="32"/>
  <c r="BB54" i="32"/>
  <c r="AY54" i="32"/>
  <c r="AZ55" i="32"/>
  <c r="BB55" i="32"/>
  <c r="AX55" i="32"/>
  <c r="AY55" i="32"/>
  <c r="BA55" i="32"/>
  <c r="AX57" i="32"/>
  <c r="BB57" i="32"/>
  <c r="AZ57" i="32"/>
  <c r="BA57" i="32"/>
  <c r="AY57" i="32"/>
  <c r="BB62" i="32"/>
  <c r="BA62" i="32"/>
  <c r="AX62" i="32"/>
  <c r="AY62" i="32"/>
  <c r="AZ62" i="32"/>
  <c r="AZ63" i="32"/>
  <c r="AY63" i="32"/>
  <c r="BA63" i="32"/>
  <c r="BB63" i="32"/>
  <c r="BC63" i="32" s="1"/>
  <c r="AX63" i="32"/>
  <c r="AX64" i="32"/>
  <c r="AZ64" i="32"/>
  <c r="BA64" i="32"/>
  <c r="AY64" i="32"/>
  <c r="BB64" i="32"/>
  <c r="BC64" i="32" s="1"/>
  <c r="AY65" i="32"/>
  <c r="AX65" i="32"/>
  <c r="BB65" i="32"/>
  <c r="BC65" i="32" s="1"/>
  <c r="AZ65" i="32"/>
  <c r="BA65" i="32"/>
  <c r="AX70" i="32"/>
  <c r="AZ70" i="32"/>
  <c r="BA70" i="32"/>
  <c r="AY70" i="32"/>
  <c r="BB70" i="32"/>
  <c r="BC70" i="32" s="1"/>
  <c r="AY71" i="32"/>
  <c r="BB71" i="32"/>
  <c r="BC71" i="32" s="1"/>
  <c r="BA71" i="32"/>
  <c r="AZ71" i="32"/>
  <c r="AX71" i="32"/>
  <c r="AX72" i="32"/>
  <c r="BB72" i="32"/>
  <c r="AY72" i="32"/>
  <c r="BA72" i="32"/>
  <c r="AZ72" i="32"/>
  <c r="BA73" i="32"/>
  <c r="AZ73" i="32"/>
  <c r="BB73" i="32"/>
  <c r="AX73" i="32"/>
  <c r="AY73" i="32"/>
  <c r="AT10" i="32"/>
  <c r="AT74" i="32" s="1"/>
  <c r="BC21" i="32" l="1"/>
  <c r="BC26" i="32"/>
  <c r="BK26" i="32" s="1"/>
  <c r="AR74" i="32"/>
  <c r="BB10" i="32"/>
  <c r="BB74" i="32"/>
  <c r="BC72" i="32"/>
  <c r="BC13" i="32"/>
  <c r="BC16" i="32"/>
  <c r="BC39" i="32"/>
  <c r="BC44" i="32"/>
  <c r="BC45" i="32"/>
  <c r="BC46" i="32"/>
  <c r="BC48" i="32"/>
  <c r="BC54" i="32"/>
  <c r="BC55" i="32"/>
  <c r="BC57" i="32"/>
  <c r="BC62" i="32"/>
  <c r="BC12" i="32"/>
  <c r="BC17" i="32"/>
  <c r="BC18" i="32"/>
  <c r="BC27" i="32"/>
  <c r="BC73" i="32"/>
  <c r="BC19" i="32"/>
  <c r="BD19" i="32"/>
  <c r="BE19" i="32"/>
  <c r="BF19" i="32"/>
  <c r="BG19" i="32"/>
  <c r="BH19" i="32"/>
  <c r="BI11" i="32"/>
  <c r="BJ11" i="32" s="1"/>
  <c r="BK11" i="32"/>
  <c r="BK12" i="32"/>
  <c r="BI13" i="32"/>
  <c r="BJ13" i="32" s="1"/>
  <c r="BK13" i="32"/>
  <c r="BI14" i="32"/>
  <c r="BJ14" i="32" s="1"/>
  <c r="BK14" i="32"/>
  <c r="BK15" i="32"/>
  <c r="BI16" i="32"/>
  <c r="BJ16" i="32" s="1"/>
  <c r="BK16" i="32"/>
  <c r="BK17" i="32"/>
  <c r="BI18" i="32"/>
  <c r="BJ18" i="32" s="1"/>
  <c r="BK18" i="32"/>
  <c r="BI20" i="32"/>
  <c r="BJ20" i="32" s="1"/>
  <c r="BK20" i="32"/>
  <c r="BK27" i="32"/>
  <c r="BI28" i="32"/>
  <c r="BJ28" i="32" s="1"/>
  <c r="BK28" i="32"/>
  <c r="BK29" i="32"/>
  <c r="BK30" i="32"/>
  <c r="BK36" i="32"/>
  <c r="BK37" i="32"/>
  <c r="BI39" i="32"/>
  <c r="BJ39" i="32" s="1"/>
  <c r="BK39" i="32"/>
  <c r="BI44" i="32"/>
  <c r="BJ44" i="32" s="1"/>
  <c r="BK44" i="32"/>
  <c r="BK45" i="32"/>
  <c r="BK46" i="32"/>
  <c r="BK47" i="32"/>
  <c r="BK48" i="32"/>
  <c r="BK49" i="32"/>
  <c r="BK54" i="32"/>
  <c r="BK55" i="32"/>
  <c r="BK57" i="32"/>
  <c r="BK62" i="32"/>
  <c r="BI63" i="32"/>
  <c r="BJ63" i="32" s="1"/>
  <c r="BK63" i="32"/>
  <c r="BI64" i="32"/>
  <c r="BJ64" i="32" s="1"/>
  <c r="BK64" i="32"/>
  <c r="BK65" i="32"/>
  <c r="BK70" i="32"/>
  <c r="BI70" i="32"/>
  <c r="BJ70" i="32" s="1"/>
  <c r="BK71" i="32"/>
  <c r="BI72" i="32"/>
  <c r="BJ72" i="32" s="1"/>
  <c r="BK72" i="32"/>
  <c r="BK73" i="32"/>
  <c r="BF73" i="32"/>
  <c r="BE73" i="32"/>
  <c r="BH73" i="32"/>
  <c r="BG73" i="32"/>
  <c r="BI73" i="32" s="1"/>
  <c r="BJ73" i="32" s="1"/>
  <c r="BD73" i="32"/>
  <c r="BF71" i="32"/>
  <c r="BD71" i="32"/>
  <c r="BG71" i="32"/>
  <c r="BI71" i="32" s="1"/>
  <c r="BJ71" i="32" s="1"/>
  <c r="BE71" i="32"/>
  <c r="BH71" i="32"/>
  <c r="BG70" i="32"/>
  <c r="BF70" i="32"/>
  <c r="BD70" i="32"/>
  <c r="BE70" i="32"/>
  <c r="BH70" i="32"/>
  <c r="BD65" i="32"/>
  <c r="BF65" i="32"/>
  <c r="BE65" i="32"/>
  <c r="BG65" i="32"/>
  <c r="BI65" i="32" s="1"/>
  <c r="BJ65" i="32" s="1"/>
  <c r="BH65" i="32"/>
  <c r="BD64" i="32"/>
  <c r="BH64" i="32"/>
  <c r="BG64" i="32"/>
  <c r="BE64" i="32"/>
  <c r="BF64" i="32"/>
  <c r="BD62" i="32"/>
  <c r="BG62" i="32"/>
  <c r="BI62" i="32" s="1"/>
  <c r="BJ62" i="32" s="1"/>
  <c r="BE62" i="32"/>
  <c r="BH62" i="32"/>
  <c r="BF62" i="32"/>
  <c r="BD57" i="32"/>
  <c r="BH57" i="32"/>
  <c r="BE57" i="32"/>
  <c r="BF57" i="32"/>
  <c r="BG57" i="32"/>
  <c r="BI57" i="32" s="1"/>
  <c r="BJ57" i="32" s="1"/>
  <c r="BG55" i="32"/>
  <c r="BI55" i="32" s="1"/>
  <c r="BJ55" i="32" s="1"/>
  <c r="BE55" i="32"/>
  <c r="BD55" i="32"/>
  <c r="BF55" i="32"/>
  <c r="BH55" i="32"/>
  <c r="BE54" i="32"/>
  <c r="BD54" i="32"/>
  <c r="BF54" i="32"/>
  <c r="BG54" i="32"/>
  <c r="BI54" i="32" s="1"/>
  <c r="BJ54" i="32" s="1"/>
  <c r="BH54" i="32"/>
  <c r="BD49" i="32"/>
  <c r="BE49" i="32"/>
  <c r="BH49" i="32"/>
  <c r="BG49" i="32"/>
  <c r="BI49" i="32" s="1"/>
  <c r="BJ49" i="32" s="1"/>
  <c r="BF49" i="32"/>
  <c r="BE48" i="32"/>
  <c r="BG48" i="32"/>
  <c r="BI48" i="32" s="1"/>
  <c r="BJ48" i="32" s="1"/>
  <c r="BD48" i="32"/>
  <c r="BH48" i="32"/>
  <c r="BF48" i="32"/>
  <c r="BD47" i="32"/>
  <c r="BE47" i="32"/>
  <c r="BG47" i="32"/>
  <c r="BI47" i="32" s="1"/>
  <c r="BJ47" i="32" s="1"/>
  <c r="BF47" i="32"/>
  <c r="BH47" i="32"/>
  <c r="BF46" i="32"/>
  <c r="BD46" i="32"/>
  <c r="BE46" i="32"/>
  <c r="BG46" i="32"/>
  <c r="BI46" i="32" s="1"/>
  <c r="BJ46" i="32" s="1"/>
  <c r="BH46" i="32"/>
  <c r="BE45" i="32"/>
  <c r="BF45" i="32"/>
  <c r="BD45" i="32"/>
  <c r="BH45" i="32"/>
  <c r="BG45" i="32"/>
  <c r="BI45" i="32" s="1"/>
  <c r="BJ45" i="32" s="1"/>
  <c r="BF44" i="32"/>
  <c r="BD44" i="32"/>
  <c r="BG44" i="32"/>
  <c r="BH44" i="32"/>
  <c r="BE44" i="32"/>
  <c r="BG39" i="32"/>
  <c r="BF39" i="32"/>
  <c r="BD39" i="32"/>
  <c r="BH39" i="32"/>
  <c r="BE39" i="32"/>
  <c r="BD37" i="32"/>
  <c r="BH37" i="32"/>
  <c r="BF37" i="32"/>
  <c r="BG37" i="32"/>
  <c r="BI37" i="32" s="1"/>
  <c r="BJ37" i="32" s="1"/>
  <c r="BE37" i="32"/>
  <c r="BH36" i="32"/>
  <c r="BG36" i="32"/>
  <c r="BI36" i="32" s="1"/>
  <c r="BJ36" i="32" s="1"/>
  <c r="BD36" i="32"/>
  <c r="BE36" i="32"/>
  <c r="BF36" i="32"/>
  <c r="BG30" i="32"/>
  <c r="BI30" i="32" s="1"/>
  <c r="BJ30" i="32" s="1"/>
  <c r="BH30" i="32"/>
  <c r="BD30" i="32"/>
  <c r="BE30" i="32"/>
  <c r="BF30" i="32"/>
  <c r="BH29" i="32"/>
  <c r="BD29" i="32"/>
  <c r="BF29" i="32"/>
  <c r="BG29" i="32"/>
  <c r="BI29" i="32" s="1"/>
  <c r="BJ29" i="32" s="1"/>
  <c r="BE29" i="32"/>
  <c r="BH27" i="32"/>
  <c r="BE27" i="32"/>
  <c r="BD27" i="32"/>
  <c r="BG27" i="32"/>
  <c r="BI27" i="32" s="1"/>
  <c r="BJ27" i="32" s="1"/>
  <c r="BF27" i="32"/>
  <c r="BE26" i="32"/>
  <c r="BH26" i="32"/>
  <c r="BG26" i="32"/>
  <c r="BF26" i="32"/>
  <c r="BD26" i="32"/>
  <c r="BF21" i="32"/>
  <c r="BH21" i="32"/>
  <c r="BG21" i="32"/>
  <c r="BD21" i="32"/>
  <c r="BE21" i="32"/>
  <c r="BG20" i="32"/>
  <c r="BD20" i="32"/>
  <c r="BF20" i="32"/>
  <c r="BH20" i="32"/>
  <c r="BE20" i="32"/>
  <c r="BE18" i="32"/>
  <c r="BF18" i="32"/>
  <c r="BG18" i="32"/>
  <c r="BD18" i="32"/>
  <c r="BH18" i="32"/>
  <c r="BE17" i="32"/>
  <c r="BF17" i="32"/>
  <c r="BH17" i="32"/>
  <c r="BG17" i="32"/>
  <c r="BI17" i="32" s="1"/>
  <c r="BJ17" i="32" s="1"/>
  <c r="BD17" i="32"/>
  <c r="BD15" i="32"/>
  <c r="BH15" i="32"/>
  <c r="BE15" i="32"/>
  <c r="BF15" i="32"/>
  <c r="BG15" i="32"/>
  <c r="BI15" i="32" s="1"/>
  <c r="BJ15" i="32" s="1"/>
  <c r="BG14" i="32"/>
  <c r="BH14" i="32"/>
  <c r="BF14" i="32"/>
  <c r="BE14" i="32"/>
  <c r="BD14" i="32"/>
  <c r="BG12" i="32"/>
  <c r="BI12" i="32" s="1"/>
  <c r="BJ12" i="32" s="1"/>
  <c r="BH12" i="32"/>
  <c r="BF12" i="32"/>
  <c r="BE12" i="32"/>
  <c r="BD12" i="32"/>
  <c r="BG11" i="32"/>
  <c r="BF11" i="32"/>
  <c r="BH11" i="32"/>
  <c r="BE11" i="32"/>
  <c r="BD11" i="32"/>
  <c r="AZ10" i="32"/>
  <c r="AZ74" i="32" s="1"/>
  <c r="AX10" i="32"/>
  <c r="AX74" i="32" s="1"/>
  <c r="BA10" i="32"/>
  <c r="BA74" i="32" s="1"/>
  <c r="AY10" i="32"/>
  <c r="AV10" i="32"/>
  <c r="AV74" i="32" s="1"/>
  <c r="BI26" i="32" l="1"/>
  <c r="BJ26" i="32" s="1"/>
  <c r="BK21" i="32"/>
  <c r="BI21" i="32"/>
  <c r="BJ21" i="32" s="1"/>
  <c r="BC10" i="32"/>
  <c r="BK10" i="32" s="1"/>
  <c r="AY74" i="32"/>
  <c r="BK19" i="32"/>
  <c r="BI19" i="32"/>
  <c r="BJ19" i="32" s="1"/>
  <c r="BH10" i="32"/>
  <c r="BH74" i="32" s="1"/>
  <c r="BF10" i="32"/>
  <c r="BF74" i="32" s="1"/>
  <c r="BG10" i="32"/>
  <c r="BD10" i="32"/>
  <c r="BD74" i="32" s="1"/>
  <c r="BE10" i="32"/>
  <c r="BE74" i="32" s="1"/>
  <c r="BI10" i="32" l="1"/>
  <c r="BG74" i="32"/>
  <c r="BI74" i="32" l="1"/>
  <c r="BR10" i="32" l="1"/>
  <c r="BS10" i="32"/>
</calcChain>
</file>

<file path=xl/sharedStrings.xml><?xml version="1.0" encoding="utf-8"?>
<sst xmlns="http://schemas.openxmlformats.org/spreadsheetml/2006/main" count="480" uniqueCount="147">
  <si>
    <t>UNIDAD DE MEDIDA</t>
  </si>
  <si>
    <t>MENOR VALOR</t>
  </si>
  <si>
    <t>PROMEDIO</t>
  </si>
  <si>
    <t>MEDIANA</t>
  </si>
  <si>
    <t>MEDIA GEOMETRICA</t>
  </si>
  <si>
    <t>% DISPERSIÓN</t>
  </si>
  <si>
    <t xml:space="preserve">CRITERIO </t>
  </si>
  <si>
    <t>COTIZACION 1</t>
  </si>
  <si>
    <t xml:space="preserve">COTIZACION 2 </t>
  </si>
  <si>
    <t>DESVIACIÓN ESTADAR</t>
  </si>
  <si>
    <t>LIMITE INFERIOR</t>
  </si>
  <si>
    <t>LIMITE SUPERIOR</t>
  </si>
  <si>
    <t>CUARTIL 1 (Q1)</t>
  </si>
  <si>
    <t>CUARTIL 3 (Q3)</t>
  </si>
  <si>
    <t>RANGO INTERCUARTILICO</t>
  </si>
  <si>
    <t>CODIGO DANE</t>
  </si>
  <si>
    <t>HISTORICO ACTUALIZADO 2026</t>
  </si>
  <si>
    <t>IPC 2025 PARA ACTUALIZACION DE PRECIOS HISTORICOS</t>
  </si>
  <si>
    <t>VALOR IVA</t>
  </si>
  <si>
    <t>PRECIO UNITARIO DE REFERENCIA INCLUIDO IVA (Sí Aplica)</t>
  </si>
  <si>
    <t>UNIDAD</t>
  </si>
  <si>
    <t>PAR</t>
  </si>
  <si>
    <t>VALOR UNITARIO ANTES DE IVA (SI APLICA)</t>
  </si>
  <si>
    <t>VALOR UNITARIO INCLUIDO IVA (SI APLICA)</t>
  </si>
  <si>
    <t>CLASIFICADOR POR OBJETO</t>
  </si>
  <si>
    <t>NOMBRE DE LA CUENTA</t>
  </si>
  <si>
    <t>RUBRO 02-02-01-002-007</t>
  </si>
  <si>
    <t>ARTICULOS TEXTILES (EXCEPTO PRENDAS DE VESTIR</t>
  </si>
  <si>
    <t>ITEMS</t>
  </si>
  <si>
    <t>DESCRIPCION ELEMENTO</t>
  </si>
  <si>
    <t>CANTIDAD DE ELEMENTO X KIT</t>
  </si>
  <si>
    <t>STOCK DISPONIBLE</t>
  </si>
  <si>
    <t xml:space="preserve">CANTIDA DE KIT X UNIDAD A CONTRATAR </t>
  </si>
  <si>
    <t xml:space="preserve"> CANTIDAD DE KIT A CONTRATAR X HOMBRE</t>
  </si>
  <si>
    <t xml:space="preserve"> CANTIDAD DE KIT A CONTRATAR X MUJER</t>
  </si>
  <si>
    <t>TOTAL DE ELEMENTOS A CONTRATAR</t>
  </si>
  <si>
    <t xml:space="preserve"> CÓDIGO MATERIAL SAP (OPCIONAL) </t>
  </si>
  <si>
    <t xml:space="preserve"> CÓDIGO OTAN - NOC </t>
  </si>
  <si>
    <t>BAPOM 13 FEMENINAS</t>
  </si>
  <si>
    <t>BAPOM15 FEMENINAS</t>
  </si>
  <si>
    <t>BAS13 FEMENINAS</t>
  </si>
  <si>
    <t>BIGUP FEMENINAS</t>
  </si>
  <si>
    <t>PARCHE IDENTIFICACION PERSONAL NTMD-0356 A2</t>
  </si>
  <si>
    <t>UND</t>
  </si>
  <si>
    <t>OMITIDO</t>
  </si>
  <si>
    <t>PARCHE DE LA UNIDAD SUPERIOR(2) UNIDAD SUBALTERNA ( 02 ) NTMD-0356 A2</t>
  </si>
  <si>
    <t>BANDERAS DE IDENTIFICACION NTMD-0356 A2</t>
  </si>
  <si>
    <t>8305 - 015243756</t>
  </si>
  <si>
    <t>PARCHE IDENTIFICACION GRUPO SANGUINEO NTMD-0356 A2</t>
  </si>
  <si>
    <t>INSIGNIA DE GRADO DE SOLDADOS NTMD-0356 A2</t>
  </si>
  <si>
    <t>JUEGO</t>
  </si>
  <si>
    <t>BRASALETES TACTICOS X JUEGO DE 4 NTMD-0356 A2</t>
  </si>
  <si>
    <t>8455-80-0011302</t>
  </si>
  <si>
    <t>OJOS DE GATO NTMD-0356 A2</t>
  </si>
  <si>
    <t>LIGAS PARA BOTA MANGA PANTALON CAMUFLADO NTMD-0356 A2</t>
  </si>
  <si>
    <t>8440-80-0011394</t>
  </si>
  <si>
    <t>PAÑUELO NTMD-0356 A2</t>
  </si>
  <si>
    <t>8440-80-0011303</t>
  </si>
  <si>
    <t>BOLSO PARA UTILES DE  ASEO NTMD-0356 A2</t>
  </si>
  <si>
    <t xml:space="preserve">MALLA PARA CABELLO JEMPP-CEDE4-DIETE-ET-04937/INT-0 </t>
  </si>
  <si>
    <t xml:space="preserve">UND </t>
  </si>
  <si>
    <t>RUBRO 02-02-01-002-008</t>
  </si>
  <si>
    <t>DOTACIÓN (PRENDAS DE VESTIR Y CALZADO)</t>
  </si>
  <si>
    <t>CANTIDA DE KIT X UNIDAD A CONTRATAR</t>
  </si>
  <si>
    <t>CALCETIN COLOR BLANCO PARA DEPORTE NTMD-0356 A2</t>
  </si>
  <si>
    <t>UNIFORME DE DEPORTES (CAMISETA Y PANTOLENTA NTMD-0356 A2</t>
  </si>
  <si>
    <t>PAR DE CHANCLAS PARA BAÑO NTMD-0356 A2</t>
  </si>
  <si>
    <t>BICICLETERO NEGRO CORTO JEMPP-CEDE4-DIETE-ET-05595/INT-0</t>
  </si>
  <si>
    <t>RUBRO 02-02-01-003-002</t>
  </si>
  <si>
    <t>PASTA DE PAPEL, PAPEL Y CARTÓN</t>
  </si>
  <si>
    <t>RUBRO 02-02-01-003-002- 01</t>
  </si>
  <si>
    <t>8540-80-0011398</t>
  </si>
  <si>
    <t>PAQ</t>
  </si>
  <si>
    <t>RUBRO 02-02-01-003-002- 7</t>
  </si>
  <si>
    <t>LIBROS DE REGISTROS, LIBROS DE CONTABILIDAD, CUADERNILLOS DE NOTAS, BLOQUES PARA CARTAS, AGENDAS Y ARTÍCULOS SIMILARES, SECANTES, ENCUADERNADORES, CLASIFICADORES PARA ARCHIVOS, FORMULARIOS Y OTROS ARTÍCULOS DE ESCRITORIO, DE PAPEL O CARTÓN</t>
  </si>
  <si>
    <t>7530-80-0011305</t>
  </si>
  <si>
    <t>02-02-01-003-005-03</t>
  </si>
  <si>
    <t>JABÓN, PREPARADOS PARA LIMPIEZA, PERFUMES Y PREPARADOS DE TOCADOR</t>
  </si>
  <si>
    <t>7930 - 002052872</t>
  </si>
  <si>
    <t>8510-80-0011397</t>
  </si>
  <si>
    <t>8520-80-0011399</t>
  </si>
  <si>
    <t>8510-80-0011400</t>
  </si>
  <si>
    <t>8520-80-0011401</t>
  </si>
  <si>
    <t>7930-80-0011405</t>
  </si>
  <si>
    <t>02-02-01-003-006-04</t>
  </si>
  <si>
    <t>PRODUCTOS DE EMPAQUE Y ENVASADO, DE PLÁSTICO</t>
  </si>
  <si>
    <t xml:space="preserve">3699056
</t>
  </si>
  <si>
    <t xml:space="preserve"> PROTECTORES AUDITIVOS  NTMD-0356 A2</t>
  </si>
  <si>
    <t>6515-80-0011408</t>
  </si>
  <si>
    <t xml:space="preserve">  PORTA CEPILLO DE DIENTES NTMD-0356 A2</t>
  </si>
  <si>
    <t>4510-80-0011407</t>
  </si>
  <si>
    <t>02-02-01-003-006-09</t>
  </si>
  <si>
    <t>OTROS PRODUCTOS PLASTICOS</t>
  </si>
  <si>
    <t xml:space="preserve">  JABONERA PLASTICA NTMD-0356 A2</t>
  </si>
  <si>
    <t>8530-80-0011402</t>
  </si>
  <si>
    <t>02-02-01-003-008-09</t>
  </si>
  <si>
    <t>OTROS ARTÍCULOS MANUFACTURADOS N.C.P.</t>
  </si>
  <si>
    <t>8530-80-0011406</t>
  </si>
  <si>
    <t>8530-80-0011404</t>
  </si>
  <si>
    <t>7920-80-0011395</t>
  </si>
  <si>
    <t>7520 - 009357135</t>
  </si>
  <si>
    <t>02-02-01-004-002</t>
  </si>
  <si>
    <t>PRODUCTOS METÁLICOS ELABORADOS (EXCEPTO MAQUINARIA Y EQUIPO)</t>
  </si>
  <si>
    <t>5340-80-0011396</t>
  </si>
  <si>
    <t>PLACAS DE IDENTIFICACION X JUEGO NTMD-0356 A2</t>
  </si>
  <si>
    <t>8465-80-0011304</t>
  </si>
  <si>
    <t>8530-80-0011403</t>
  </si>
  <si>
    <t>BAACA13 MASCULINOS</t>
  </si>
  <si>
    <t>BAEEV13 MASCULINOS</t>
  </si>
  <si>
    <t>BAMAR MASCULINOS</t>
  </si>
  <si>
    <t>BAPOM13 MASCULINOS</t>
  </si>
  <si>
    <t>BAPOM15 MASCULINOS</t>
  </si>
  <si>
    <t>BAS13 MASCULINOS</t>
  </si>
  <si>
    <t>BATRA2 MASCULINOS</t>
  </si>
  <si>
    <t>BIBYA MASCULINOS</t>
  </si>
  <si>
    <t>BICOL MASCULINOS</t>
  </si>
  <si>
    <t>BIGUP MASCULINOS</t>
  </si>
  <si>
    <t>BIMAC MASCULINOS</t>
  </si>
  <si>
    <t>BISUM MASCULINOS</t>
  </si>
  <si>
    <t>BITER13 MASCULINOS</t>
  </si>
  <si>
    <t>COMOL1 MASCULINOS</t>
  </si>
  <si>
    <t>GMTEQ MASCULINOS</t>
  </si>
  <si>
    <t>PARCHE EJERCITO NTMD-0356 A2</t>
  </si>
  <si>
    <t>PAPEL HIGIENICO TRIPLE HOJA  NTMD-0356 A2</t>
  </si>
  <si>
    <t>CREMA DENTAL NTMD-0356 A2</t>
  </si>
  <si>
    <t>DESODORANTE  NTMD-0356 A2</t>
  </si>
  <si>
    <t>JABON DE BAÑO NTMD-0356 A2</t>
  </si>
  <si>
    <t>JABON PARA LAVAR LA ROPA  NTMD-0356 A2</t>
  </si>
  <si>
    <t>CAJA BETÚN NEGRO NTMD-0356 A2</t>
  </si>
  <si>
    <t>TALCOS NTMD-0356 A2</t>
  </si>
  <si>
    <t>CUADERNO SEGUN NTMD-0356 A2</t>
  </si>
  <si>
    <t>CEPILLO DENTAL NTMD-0356 A2</t>
  </si>
  <si>
    <t>PEINILLA NTMD-0356 A2</t>
  </si>
  <si>
    <t>JUEGO DE CEPILLO GRANDE Y PEQUEÑO PARA BRILLAR NTMD-0356 A2</t>
  </si>
  <si>
    <t>LAPICERO NTMD-0356 A2</t>
  </si>
  <si>
    <t>CANDADO  NTMD-0356 A2</t>
  </si>
  <si>
    <t>MAQUINA DE AFEITAR  NTMD-0356 A2</t>
  </si>
  <si>
    <t>CORTAUÑAS  NTMD-0356 A2</t>
  </si>
  <si>
    <t>UNSPSC</t>
  </si>
  <si>
    <t xml:space="preserve"> PRECIOS CONTRATO No. 082-CENACUSAQUEN-2025 </t>
  </si>
  <si>
    <t>INVERSIONES BLUCHER S.A.S                                                                                      NIT: 900.838.631-1</t>
  </si>
  <si>
    <t>SOLUCIONES HTL SAS                               NIT: 900.979.557-7</t>
  </si>
  <si>
    <t>PRECIO TOTAL DE REFERENCIA INCLUIDO IVA (Sí Aplica)</t>
  </si>
  <si>
    <t>PRECIO KIT MASCULINO</t>
  </si>
  <si>
    <t>PRECIO KIT FEMENINO</t>
  </si>
  <si>
    <t>TOALLAS HIGIENICAS NTC3604</t>
  </si>
  <si>
    <t>JUEGO DE ROPA INTERIOR (TOP CACHETERO) JEMPP-CEDE4-DIETE-ET-05573/INT-01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</si>
</sst>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$-240A]\ #,##0"/>
    <numFmt numFmtId="168" formatCode="[$$-240A]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u/>
      <sz val="10"/>
      <color indexed="12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7"/>
      <name val="Arial Narrow"/>
      <family val="2"/>
    </font>
    <font>
      <b/>
      <sz val="7"/>
      <color theme="1"/>
      <name val="Arial Narrow"/>
      <family val="2"/>
    </font>
    <font>
      <b/>
      <sz val="7"/>
      <color theme="0"/>
      <name val="Arial Narrow"/>
      <family val="2"/>
    </font>
    <font>
      <sz val="8"/>
      <color rgb="FF000000"/>
      <name val="Arial Narrow"/>
      <family val="2"/>
    </font>
    <font>
      <sz val="8"/>
      <color theme="0"/>
      <name val="Calibri"/>
      <family val="2"/>
      <scheme val="minor"/>
    </font>
    <font>
      <sz val="8"/>
      <color theme="0"/>
      <name val="Arial Narrow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1" tint="0.249977111117893"/>
        <bgColor rgb="FFD8D8D8"/>
      </patternFill>
    </fill>
    <fill>
      <patternFill patternType="solid">
        <fgColor theme="1" tint="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49" fontId="5" fillId="0" borderId="0" applyFill="0" applyBorder="0" applyProtection="0">
      <alignment horizontal="left" vertical="center"/>
    </xf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4" borderId="0" applyNumberFormat="0" applyBorder="0" applyProtection="0">
      <alignment horizontal="center" vertical="center"/>
    </xf>
    <xf numFmtId="165" fontId="7" fillId="0" borderId="0" applyFont="0" applyFill="0" applyBorder="0" applyAlignment="0" applyProtection="0"/>
    <xf numFmtId="3" fontId="5" fillId="0" borderId="0" applyFill="0" applyBorder="0" applyProtection="0">
      <alignment horizontal="right" vertical="center"/>
    </xf>
  </cellStyleXfs>
  <cellXfs count="116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167" fontId="10" fillId="0" borderId="1" xfId="0" applyNumberFormat="1" applyFont="1" applyBorder="1" applyAlignment="1">
      <alignment horizontal="center"/>
    </xf>
    <xf numFmtId="0" fontId="10" fillId="0" borderId="0" xfId="0" applyFo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9" fontId="11" fillId="3" borderId="4" xfId="0" applyNumberFormat="1" applyFont="1" applyFill="1" applyBorder="1" applyAlignment="1" applyProtection="1">
      <alignment horizontal="center"/>
      <protection hidden="1"/>
    </xf>
    <xf numFmtId="9" fontId="11" fillId="0" borderId="0" xfId="0" applyNumberFormat="1" applyFont="1" applyAlignment="1" applyProtection="1">
      <alignment horizontal="center"/>
      <protection hidden="1"/>
    </xf>
    <xf numFmtId="0" fontId="11" fillId="5" borderId="0" xfId="0" applyFont="1" applyFill="1" applyProtection="1">
      <protection hidden="1"/>
    </xf>
    <xf numFmtId="10" fontId="11" fillId="5" borderId="5" xfId="3" applyNumberFormat="1" applyFont="1" applyFill="1" applyBorder="1" applyAlignment="1" applyProtection="1">
      <alignment horizontal="center" vertical="center"/>
      <protection hidden="1"/>
    </xf>
    <xf numFmtId="0" fontId="21" fillId="10" borderId="6" xfId="0" applyFont="1" applyFill="1" applyBorder="1" applyAlignment="1" applyProtection="1">
      <alignment horizontal="center" vertical="center"/>
      <protection hidden="1"/>
    </xf>
    <xf numFmtId="0" fontId="18" fillId="11" borderId="7" xfId="0" applyFont="1" applyFill="1" applyBorder="1" applyProtection="1">
      <protection hidden="1"/>
    </xf>
    <xf numFmtId="0" fontId="21" fillId="10" borderId="1" xfId="0" applyFont="1" applyFill="1" applyBorder="1" applyAlignment="1" applyProtection="1">
      <alignment horizontal="center" vertical="center"/>
      <protection hidden="1"/>
    </xf>
    <xf numFmtId="0" fontId="18" fillId="11" borderId="1" xfId="0" applyFont="1" applyFill="1" applyBorder="1" applyProtection="1"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 wrapText="1"/>
      <protection hidden="1"/>
    </xf>
    <xf numFmtId="0" fontId="15" fillId="6" borderId="1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 wrapText="1"/>
      <protection hidden="1"/>
    </xf>
    <xf numFmtId="165" fontId="15" fillId="11" borderId="2" xfId="2" applyFont="1" applyFill="1" applyBorder="1" applyAlignment="1" applyProtection="1">
      <alignment horizontal="center" vertical="center" wrapText="1"/>
      <protection hidden="1"/>
    </xf>
    <xf numFmtId="166" fontId="15" fillId="11" borderId="2" xfId="1" applyFont="1" applyFill="1" applyBorder="1" applyAlignment="1" applyProtection="1">
      <alignment horizontal="center" vertical="center" wrapText="1"/>
      <protection hidden="1"/>
    </xf>
    <xf numFmtId="9" fontId="15" fillId="11" borderId="2" xfId="3" applyFont="1" applyFill="1" applyBorder="1" applyAlignment="1" applyProtection="1">
      <alignment horizontal="center" vertical="center" wrapText="1"/>
      <protection hidden="1"/>
    </xf>
    <xf numFmtId="0" fontId="15" fillId="11" borderId="2" xfId="0" applyFont="1" applyFill="1" applyBorder="1" applyAlignment="1" applyProtection="1">
      <alignment horizontal="center" vertical="center" wrapText="1"/>
      <protection hidden="1"/>
    </xf>
    <xf numFmtId="0" fontId="21" fillId="10" borderId="9" xfId="0" applyFont="1" applyFill="1" applyBorder="1" applyAlignment="1" applyProtection="1">
      <alignment horizontal="center" vertical="center"/>
      <protection hidden="1"/>
    </xf>
    <xf numFmtId="0" fontId="21" fillId="10" borderId="9" xfId="0" applyFont="1" applyFill="1" applyBorder="1" applyAlignment="1" applyProtection="1">
      <alignment horizontal="center" vertical="center" wrapText="1"/>
      <protection hidden="1"/>
    </xf>
    <xf numFmtId="0" fontId="21" fillId="10" borderId="19" xfId="0" applyFont="1" applyFill="1" applyBorder="1" applyAlignment="1" applyProtection="1">
      <alignment horizontal="center" vertical="center" wrapText="1"/>
      <protection hidden="1"/>
    </xf>
    <xf numFmtId="0" fontId="21" fillId="10" borderId="19" xfId="0" applyFont="1" applyFill="1" applyBorder="1" applyAlignment="1" applyProtection="1">
      <alignment horizontal="center" vertical="center" textRotation="90" wrapText="1"/>
      <protection hidden="1"/>
    </xf>
    <xf numFmtId="0" fontId="21" fillId="10" borderId="18" xfId="0" applyFont="1" applyFill="1" applyBorder="1" applyAlignment="1" applyProtection="1">
      <alignment horizontal="center" vertical="center" wrapText="1"/>
      <protection hidden="1"/>
    </xf>
    <xf numFmtId="0" fontId="21" fillId="10" borderId="15" xfId="0" applyFont="1" applyFill="1" applyBorder="1" applyAlignment="1" applyProtection="1">
      <alignment horizontal="center" vertical="center" wrapText="1"/>
      <protection hidden="1"/>
    </xf>
    <xf numFmtId="0" fontId="21" fillId="10" borderId="20" xfId="0" applyFont="1" applyFill="1" applyBorder="1" applyAlignment="1" applyProtection="1">
      <alignment horizontal="center" vertical="center" wrapText="1"/>
      <protection hidden="1"/>
    </xf>
    <xf numFmtId="0" fontId="21" fillId="10" borderId="21" xfId="0" applyFont="1" applyFill="1" applyBorder="1" applyAlignment="1" applyProtection="1">
      <alignment horizontal="center" vertical="center" wrapText="1"/>
      <protection hidden="1"/>
    </xf>
    <xf numFmtId="0" fontId="14" fillId="5" borderId="1" xfId="0" applyFont="1" applyFill="1" applyBorder="1" applyAlignment="1" applyProtection="1">
      <alignment horizontal="center" vertical="center" wrapText="1"/>
      <protection hidden="1"/>
    </xf>
    <xf numFmtId="165" fontId="15" fillId="11" borderId="22" xfId="2" applyFont="1" applyFill="1" applyBorder="1" applyAlignment="1" applyProtection="1">
      <alignment horizontal="center" vertical="center" wrapText="1"/>
      <protection hidden="1"/>
    </xf>
    <xf numFmtId="166" fontId="15" fillId="11" borderId="22" xfId="1" applyFont="1" applyFill="1" applyBorder="1" applyAlignment="1" applyProtection="1">
      <alignment horizontal="center" vertical="center" wrapText="1"/>
      <protection hidden="1"/>
    </xf>
    <xf numFmtId="9" fontId="15" fillId="11" borderId="22" xfId="3" applyFont="1" applyFill="1" applyBorder="1" applyAlignment="1" applyProtection="1">
      <alignment horizontal="center" vertical="center" wrapText="1"/>
      <protection hidden="1"/>
    </xf>
    <xf numFmtId="0" fontId="15" fillId="11" borderId="22" xfId="0" applyFont="1" applyFill="1" applyBorder="1" applyAlignment="1" applyProtection="1">
      <alignment horizontal="center" vertical="center" wrapText="1"/>
      <protection hidden="1"/>
    </xf>
    <xf numFmtId="0" fontId="18" fillId="11" borderId="10" xfId="0" applyFont="1" applyFill="1" applyBorder="1" applyAlignment="1" applyProtection="1">
      <alignment horizontal="center"/>
      <protection hidden="1"/>
    </xf>
    <xf numFmtId="0" fontId="18" fillId="11" borderId="10" xfId="0" applyFont="1" applyFill="1" applyBorder="1" applyProtection="1">
      <protection hidden="1"/>
    </xf>
    <xf numFmtId="0" fontId="21" fillId="10" borderId="10" xfId="0" applyFont="1" applyFill="1" applyBorder="1" applyAlignment="1" applyProtection="1">
      <alignment horizontal="center" vertical="center" textRotation="90" wrapText="1"/>
      <protection hidden="1"/>
    </xf>
    <xf numFmtId="0" fontId="21" fillId="10" borderId="11" xfId="0" applyFont="1" applyFill="1" applyBorder="1" applyAlignment="1" applyProtection="1">
      <alignment horizontal="center" vertical="center" textRotation="90" wrapText="1"/>
      <protection hidden="1"/>
    </xf>
    <xf numFmtId="0" fontId="11" fillId="9" borderId="11" xfId="0" applyFont="1" applyFill="1" applyBorder="1" applyAlignment="1" applyProtection="1">
      <alignment horizontal="center" vertical="center" textRotation="90" wrapText="1"/>
      <protection hidden="1"/>
    </xf>
    <xf numFmtId="0" fontId="21" fillId="11" borderId="11" xfId="0" applyFont="1" applyFill="1" applyBorder="1" applyAlignment="1" applyProtection="1">
      <alignment horizontal="center" vertical="center" textRotation="90" wrapText="1"/>
      <protection hidden="1"/>
    </xf>
    <xf numFmtId="0" fontId="21" fillId="10" borderId="10" xfId="0" applyFont="1" applyFill="1" applyBorder="1" applyAlignment="1" applyProtection="1">
      <alignment horizontal="center" vertical="center" wrapText="1"/>
      <protection hidden="1"/>
    </xf>
    <xf numFmtId="0" fontId="21" fillId="10" borderId="17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wrapText="1"/>
      <protection hidden="1"/>
    </xf>
    <xf numFmtId="165" fontId="15" fillId="11" borderId="3" xfId="2" applyFont="1" applyFill="1" applyBorder="1" applyAlignment="1" applyProtection="1">
      <alignment horizontal="center" vertical="center" wrapText="1"/>
      <protection hidden="1"/>
    </xf>
    <xf numFmtId="166" fontId="15" fillId="11" borderId="3" xfId="1" applyFont="1" applyFill="1" applyBorder="1" applyAlignment="1" applyProtection="1">
      <alignment horizontal="center" vertical="center" wrapText="1"/>
      <protection hidden="1"/>
    </xf>
    <xf numFmtId="9" fontId="15" fillId="11" borderId="3" xfId="3" applyFont="1" applyFill="1" applyBorder="1" applyAlignment="1" applyProtection="1">
      <alignment horizontal="center" vertical="center" wrapText="1"/>
      <protection hidden="1"/>
    </xf>
    <xf numFmtId="0" fontId="15" fillId="11" borderId="3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16" fillId="0" borderId="8" xfId="0" applyFont="1" applyBorder="1" applyAlignment="1" applyProtection="1">
      <alignment horizontal="left" vertical="center" wrapText="1"/>
      <protection hidden="1"/>
    </xf>
    <xf numFmtId="0" fontId="16" fillId="0" borderId="11" xfId="0" applyFont="1" applyBorder="1" applyAlignment="1" applyProtection="1">
      <alignment horizontal="center" vertical="center"/>
      <protection hidden="1"/>
    </xf>
    <xf numFmtId="3" fontId="8" fillId="0" borderId="11" xfId="0" applyNumberFormat="1" applyFont="1" applyBorder="1" applyAlignment="1" applyProtection="1">
      <alignment horizontal="center" vertical="center"/>
      <protection hidden="1"/>
    </xf>
    <xf numFmtId="0" fontId="16" fillId="0" borderId="11" xfId="0" applyFont="1" applyBorder="1" applyAlignment="1" applyProtection="1">
      <alignment horizontal="center" vertical="center" wrapText="1"/>
      <protection hidden="1"/>
    </xf>
    <xf numFmtId="167" fontId="9" fillId="0" borderId="1" xfId="1" applyNumberFormat="1" applyFont="1" applyFill="1" applyBorder="1" applyAlignment="1" applyProtection="1">
      <alignment horizontal="center" vertical="center" wrapText="1"/>
      <protection hidden="1"/>
    </xf>
    <xf numFmtId="168" fontId="9" fillId="0" borderId="1" xfId="1" applyNumberFormat="1" applyFont="1" applyFill="1" applyBorder="1" applyAlignment="1" applyProtection="1">
      <alignment horizontal="center" vertical="center"/>
      <protection hidden="1"/>
    </xf>
    <xf numFmtId="168" fontId="8" fillId="0" borderId="1" xfId="1" applyNumberFormat="1" applyFont="1" applyFill="1" applyBorder="1" applyAlignment="1" applyProtection="1">
      <alignment horizontal="center" vertical="center"/>
      <protection hidden="1"/>
    </xf>
    <xf numFmtId="167" fontId="8" fillId="0" borderId="0" xfId="1" applyNumberFormat="1" applyFont="1" applyFill="1" applyBorder="1" applyAlignment="1" applyProtection="1">
      <alignment horizontal="center" vertical="center"/>
      <protection hidden="1"/>
    </xf>
    <xf numFmtId="168" fontId="8" fillId="0" borderId="0" xfId="1" applyNumberFormat="1" applyFont="1" applyFill="1" applyBorder="1" applyAlignment="1" applyProtection="1">
      <alignment horizontal="center" vertical="center"/>
      <protection hidden="1"/>
    </xf>
    <xf numFmtId="167" fontId="8" fillId="0" borderId="1" xfId="1" applyNumberFormat="1" applyFont="1" applyFill="1" applyBorder="1" applyAlignment="1" applyProtection="1">
      <alignment horizontal="center" vertical="center"/>
      <protection hidden="1"/>
    </xf>
    <xf numFmtId="10" fontId="8" fillId="0" borderId="1" xfId="3" applyNumberFormat="1" applyFont="1" applyFill="1" applyBorder="1" applyAlignment="1" applyProtection="1">
      <alignment horizontal="center" vertical="center"/>
      <protection hidden="1"/>
    </xf>
    <xf numFmtId="167" fontId="8" fillId="2" borderId="1" xfId="1" applyNumberFormat="1" applyFont="1" applyFill="1" applyBorder="1" applyAlignment="1" applyProtection="1">
      <alignment horizontal="center" vertical="center"/>
      <protection hidden="1"/>
    </xf>
    <xf numFmtId="168" fontId="18" fillId="0" borderId="1" xfId="1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168" fontId="10" fillId="0" borderId="1" xfId="0" applyNumberFormat="1" applyFont="1" applyBorder="1" applyAlignment="1" applyProtection="1">
      <alignment horizontal="center" vertical="center"/>
      <protection hidden="1"/>
    </xf>
    <xf numFmtId="168" fontId="19" fillId="0" borderId="1" xfId="0" applyNumberFormat="1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left" vertical="center" wrapText="1"/>
      <protection hidden="1"/>
    </xf>
    <xf numFmtId="0" fontId="18" fillId="11" borderId="8" xfId="0" applyFont="1" applyFill="1" applyBorder="1" applyProtection="1">
      <protection hidden="1"/>
    </xf>
    <xf numFmtId="167" fontId="18" fillId="11" borderId="1" xfId="1" applyNumberFormat="1" applyFont="1" applyFill="1" applyBorder="1" applyAlignment="1" applyProtection="1">
      <alignment horizontal="center" vertical="center" wrapText="1"/>
      <protection hidden="1"/>
    </xf>
    <xf numFmtId="168" fontId="17" fillId="11" borderId="1" xfId="0" applyNumberFormat="1" applyFont="1" applyFill="1" applyBorder="1" applyAlignment="1" applyProtection="1">
      <alignment horizontal="center" vertical="center"/>
      <protection hidden="1"/>
    </xf>
    <xf numFmtId="168" fontId="18" fillId="11" borderId="1" xfId="1" applyNumberFormat="1" applyFont="1" applyFill="1" applyBorder="1" applyAlignment="1" applyProtection="1">
      <alignment horizontal="center" vertical="center"/>
      <protection hidden="1"/>
    </xf>
    <xf numFmtId="168" fontId="8" fillId="11" borderId="1" xfId="1" applyNumberFormat="1" applyFont="1" applyFill="1" applyBorder="1" applyAlignment="1" applyProtection="1">
      <alignment horizontal="center" vertical="center"/>
      <protection hidden="1"/>
    </xf>
    <xf numFmtId="167" fontId="8" fillId="11" borderId="1" xfId="1" applyNumberFormat="1" applyFont="1" applyFill="1" applyBorder="1" applyAlignment="1" applyProtection="1">
      <alignment horizontal="center" vertical="center"/>
      <protection hidden="1"/>
    </xf>
    <xf numFmtId="10" fontId="8" fillId="11" borderId="1" xfId="3" applyNumberFormat="1" applyFont="1" applyFill="1" applyBorder="1" applyAlignment="1" applyProtection="1">
      <alignment horizontal="center" vertical="center"/>
      <protection hidden="1"/>
    </xf>
    <xf numFmtId="0" fontId="18" fillId="11" borderId="7" xfId="0" applyFont="1" applyFill="1" applyBorder="1" applyAlignment="1" applyProtection="1">
      <alignment horizontal="center"/>
      <protection hidden="1"/>
    </xf>
    <xf numFmtId="0" fontId="18" fillId="11" borderId="8" xfId="0" applyFont="1" applyFill="1" applyBorder="1" applyAlignment="1" applyProtection="1">
      <alignment horizontal="center"/>
      <protection hidden="1"/>
    </xf>
    <xf numFmtId="0" fontId="21" fillId="10" borderId="12" xfId="0" applyFont="1" applyFill="1" applyBorder="1" applyAlignment="1" applyProtection="1">
      <alignment horizontal="center" vertical="center" wrapText="1"/>
      <protection hidden="1"/>
    </xf>
    <xf numFmtId="0" fontId="21" fillId="10" borderId="16" xfId="0" applyFont="1" applyFill="1" applyBorder="1" applyAlignment="1" applyProtection="1">
      <alignment horizontal="center" vertical="center" wrapText="1"/>
      <protection hidden="1"/>
    </xf>
    <xf numFmtId="167" fontId="9" fillId="11" borderId="1" xfId="1" applyNumberFormat="1" applyFont="1" applyFill="1" applyBorder="1" applyAlignment="1" applyProtection="1">
      <alignment horizontal="center" vertical="center" wrapText="1"/>
      <protection hidden="1"/>
    </xf>
    <xf numFmtId="168" fontId="10" fillId="11" borderId="1" xfId="0" applyNumberFormat="1" applyFont="1" applyFill="1" applyBorder="1" applyAlignment="1" applyProtection="1">
      <alignment horizontal="center" vertical="center"/>
      <protection hidden="1"/>
    </xf>
    <xf numFmtId="168" fontId="9" fillId="11" borderId="1" xfId="1" applyNumberFormat="1" applyFont="1" applyFill="1" applyBorder="1" applyAlignment="1" applyProtection="1">
      <alignment horizontal="center" vertical="center"/>
      <protection hidden="1"/>
    </xf>
    <xf numFmtId="168" fontId="19" fillId="11" borderId="1" xfId="0" applyNumberFormat="1" applyFont="1" applyFill="1" applyBorder="1" applyAlignment="1" applyProtection="1">
      <alignment horizontal="center" vertical="center"/>
      <protection hidden="1"/>
    </xf>
    <xf numFmtId="0" fontId="21" fillId="10" borderId="12" xfId="0" applyFont="1" applyFill="1" applyBorder="1" applyAlignment="1" applyProtection="1">
      <alignment horizontal="center" vertical="center" wrapText="1"/>
      <protection hidden="1"/>
    </xf>
    <xf numFmtId="0" fontId="18" fillId="11" borderId="13" xfId="0" applyFont="1" applyFill="1" applyBorder="1" applyProtection="1">
      <protection hidden="1"/>
    </xf>
    <xf numFmtId="0" fontId="18" fillId="11" borderId="14" xfId="0" applyFont="1" applyFill="1" applyBorder="1" applyProtection="1"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18" fillId="11" borderId="10" xfId="0" applyFont="1" applyFill="1" applyBorder="1" applyAlignment="1" applyProtection="1">
      <alignment horizontal="center" vertical="center" wrapText="1"/>
      <protection hidden="1"/>
    </xf>
    <xf numFmtId="0" fontId="18" fillId="11" borderId="10" xfId="0" applyFont="1" applyFill="1" applyBorder="1" applyAlignment="1" applyProtection="1">
      <alignment vertical="center"/>
      <protection hidden="1"/>
    </xf>
    <xf numFmtId="0" fontId="18" fillId="11" borderId="10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left"/>
      <protection hidden="1"/>
    </xf>
    <xf numFmtId="0" fontId="16" fillId="0" borderId="11" xfId="0" applyFont="1" applyBorder="1" applyAlignment="1" applyProtection="1">
      <alignment horizontal="left" vertical="center"/>
      <protection hidden="1"/>
    </xf>
    <xf numFmtId="168" fontId="10" fillId="0" borderId="1" xfId="0" applyNumberFormat="1" applyFont="1" applyBorder="1" applyAlignment="1" applyProtection="1">
      <alignment horizontal="left" vertical="center"/>
      <protection hidden="1"/>
    </xf>
    <xf numFmtId="168" fontId="9" fillId="0" borderId="1" xfId="1" applyNumberFormat="1" applyFont="1" applyFill="1" applyBorder="1" applyAlignment="1" applyProtection="1">
      <alignment horizontal="left" vertical="center"/>
      <protection hidden="1"/>
    </xf>
    <xf numFmtId="167" fontId="8" fillId="0" borderId="0" xfId="1" applyNumberFormat="1" applyFont="1" applyFill="1" applyBorder="1" applyAlignment="1" applyProtection="1">
      <alignment horizontal="left" vertical="center"/>
      <protection hidden="1"/>
    </xf>
    <xf numFmtId="168" fontId="18" fillId="0" borderId="1" xfId="1" applyNumberFormat="1" applyFont="1" applyFill="1" applyBorder="1" applyAlignment="1" applyProtection="1">
      <alignment horizontal="left" vertical="center"/>
      <protection hidden="1"/>
    </xf>
    <xf numFmtId="0" fontId="8" fillId="0" borderId="11" xfId="0" applyFont="1" applyBorder="1" applyAlignment="1" applyProtection="1">
      <alignment horizontal="left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/>
      <protection hidden="1"/>
    </xf>
    <xf numFmtId="168" fontId="12" fillId="0" borderId="1" xfId="0" applyNumberFormat="1" applyFont="1" applyBorder="1" applyAlignment="1" applyProtection="1">
      <alignment horizontal="center" vertical="center"/>
      <protection hidden="1"/>
    </xf>
    <xf numFmtId="167" fontId="12" fillId="0" borderId="1" xfId="0" applyNumberFormat="1" applyFont="1" applyBorder="1" applyAlignment="1" applyProtection="1">
      <alignment horizontal="center" vertical="center"/>
      <protection hidden="1"/>
    </xf>
    <xf numFmtId="168" fontId="20" fillId="0" borderId="1" xfId="0" applyNumberFormat="1" applyFont="1" applyBorder="1" applyAlignment="1" applyProtection="1">
      <alignment horizontal="center" vertical="center"/>
      <protection hidden="1"/>
    </xf>
    <xf numFmtId="0" fontId="19" fillId="0" borderId="0" xfId="0" applyFont="1" applyProtection="1">
      <protection hidden="1"/>
    </xf>
    <xf numFmtId="167" fontId="20" fillId="0" borderId="0" xfId="0" applyNumberFormat="1" applyFont="1" applyAlignment="1" applyProtection="1">
      <alignment horizontal="center"/>
      <protection hidden="1"/>
    </xf>
    <xf numFmtId="168" fontId="20" fillId="0" borderId="0" xfId="0" applyNumberFormat="1" applyFont="1" applyAlignment="1" applyProtection="1">
      <alignment horizontal="center"/>
      <protection hidden="1"/>
    </xf>
    <xf numFmtId="167" fontId="20" fillId="0" borderId="1" xfId="0" applyNumberFormat="1" applyFont="1" applyBorder="1" applyAlignment="1" applyProtection="1">
      <alignment horizontal="center"/>
      <protection hidden="1"/>
    </xf>
    <xf numFmtId="0" fontId="20" fillId="0" borderId="1" xfId="0" applyFont="1" applyBorder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</cellXfs>
  <cellStyles count="25">
    <cellStyle name="0,0_x000d__x000a_NA_x000d__x000a_" xfId="11" xr:uid="{00000000-0005-0000-0000-000000000000}"/>
    <cellStyle name="BodyStyle" xfId="19" xr:uid="{00000000-0005-0000-0000-000001000000}"/>
    <cellStyle name="Currency" xfId="23" xr:uid="{00000000-0005-0000-0000-000002000000}"/>
    <cellStyle name="Estilo 1" xfId="14" xr:uid="{00000000-0005-0000-0000-000003000000}"/>
    <cellStyle name="HeaderStyle" xfId="22" xr:uid="{00000000-0005-0000-0000-000004000000}"/>
    <cellStyle name="Hipervínculo 2" xfId="18" xr:uid="{00000000-0005-0000-0000-000005000000}"/>
    <cellStyle name="Millares" xfId="1" builtinId="3"/>
    <cellStyle name="Millares 2" xfId="13" xr:uid="{00000000-0005-0000-0000-000008000000}"/>
    <cellStyle name="Millares 2 2" xfId="6" xr:uid="{00000000-0005-0000-0000-000009000000}"/>
    <cellStyle name="Millares 2 3" xfId="8" xr:uid="{00000000-0005-0000-0000-00000A000000}"/>
    <cellStyle name="Millares 2 4" xfId="21" xr:uid="{00000000-0005-0000-0000-00000B000000}"/>
    <cellStyle name="Millares 4" xfId="15" xr:uid="{00000000-0005-0000-0000-00000C000000}"/>
    <cellStyle name="Moneda" xfId="2" builtinId="4"/>
    <cellStyle name="Moneda 2" xfId="4" xr:uid="{00000000-0005-0000-0000-00000E000000}"/>
    <cellStyle name="Moneda 3" xfId="7" xr:uid="{00000000-0005-0000-0000-00000F000000}"/>
    <cellStyle name="Moneda 4" xfId="20" xr:uid="{00000000-0005-0000-0000-000010000000}"/>
    <cellStyle name="Normal" xfId="0" builtinId="0"/>
    <cellStyle name="Normal 10 2" xfId="17" xr:uid="{00000000-0005-0000-0000-000012000000}"/>
    <cellStyle name="Normal 2" xfId="5" xr:uid="{00000000-0005-0000-0000-000013000000}"/>
    <cellStyle name="Normal 2 2" xfId="9" xr:uid="{00000000-0005-0000-0000-000014000000}"/>
    <cellStyle name="Normal 2 3" xfId="12" xr:uid="{00000000-0005-0000-0000-000015000000}"/>
    <cellStyle name="Normal 2 3 3" xfId="16" xr:uid="{00000000-0005-0000-0000-000016000000}"/>
    <cellStyle name="Normal 3" xfId="10" xr:uid="{00000000-0005-0000-0000-000017000000}"/>
    <cellStyle name="Numeric" xfId="24" xr:uid="{00000000-0005-0000-0000-000018000000}"/>
    <cellStyle name="Porcentaje" xfId="3" builtinId="5"/>
  </cellStyles>
  <dxfs count="0"/>
  <tableStyles count="0" defaultTableStyle="TableStyleMedium2" defaultPivotStyle="PivotStyleLight16"/>
  <colors>
    <mruColors>
      <color rgb="FFFFCCCC"/>
      <color rgb="FF8CE4E6"/>
      <color rgb="FFEEFB9F"/>
      <color rgb="FFF4A8FA"/>
      <color rgb="FFFF99CC"/>
      <color rgb="FFC6E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DAC33454-C611-4083-9A04-4E84CDDA03AD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A551BB29-8B3C-422F-8A7F-F3DCFD2FD7BA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BC26490A-0E05-4375-A3A5-39F856A17A8D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308C73DA-0034-4426-B5FD-3360DCE56D55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D2D31DBD-BD40-47B9-AC6B-DAAE294CB585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CBDF7765-5547-4580-BB1A-858A6C1885AE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9FA68E36-207D-4EA9-9C7E-E109EB1D80AB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5062ABF6-CD59-4391-9EB7-4D81C5FD92D4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E2F4D5A7-7F3F-4E06-A075-FEA6C9CC1E9A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1C26AE4D-3685-4275-8459-DC759E37E83B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C93D2B03-0C26-4497-A49A-A5FD92B20F9C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2D99045-E481-467E-8FC9-3471F1B840BF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5617233E-F1B0-453D-A02A-C21F32CA1EA1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0</xdr:colOff>
      <xdr:row>15</xdr:row>
      <xdr:rowOff>27267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3AA150B8-8975-41CD-8E51-9287194D8751}"/>
            </a:ext>
          </a:extLst>
        </xdr:cNvPr>
        <xdr:cNvSpPr txBox="1">
          <a:spLocks noChangeArrowheads="1"/>
        </xdr:cNvSpPr>
      </xdr:nvSpPr>
      <xdr:spPr bwMode="auto">
        <a:xfrm>
          <a:off x="18735675" y="3771900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FB08E-E1BD-48A1-B3DB-ED6B3C59E7E7}">
  <dimension ref="B1:BS74"/>
  <sheetViews>
    <sheetView tabSelected="1" topLeftCell="E1" zoomScale="90" zoomScaleNormal="90" zoomScaleSheetLayoutView="80" workbookViewId="0">
      <selection activeCell="BF11" sqref="BF11"/>
    </sheetView>
  </sheetViews>
  <sheetFormatPr baseColWidth="10" defaultRowHeight="11.25" x14ac:dyDescent="0.2"/>
  <cols>
    <col min="1" max="1" width="4.7109375" style="1" customWidth="1"/>
    <col min="2" max="2" width="4" style="7" customWidth="1"/>
    <col min="3" max="3" width="4.7109375" style="7" hidden="1" customWidth="1"/>
    <col min="4" max="4" width="2.140625" style="7" hidden="1" customWidth="1"/>
    <col min="5" max="5" width="7.5703125" style="8" customWidth="1"/>
    <col min="6" max="6" width="9.140625" style="8" customWidth="1"/>
    <col min="7" max="7" width="41.7109375" style="8" customWidth="1"/>
    <col min="8" max="8" width="10.140625" style="8" customWidth="1"/>
    <col min="9" max="9" width="8.5703125" style="8" customWidth="1"/>
    <col min="10" max="10" width="13.140625" style="8" customWidth="1"/>
    <col min="11" max="29" width="4.7109375" style="8" customWidth="1"/>
    <col min="30" max="31" width="14.140625" style="8" customWidth="1"/>
    <col min="32" max="32" width="14" style="8" customWidth="1"/>
    <col min="33" max="34" width="10.140625" style="8" customWidth="1"/>
    <col min="35" max="35" width="15.140625" style="8" customWidth="1"/>
    <col min="36" max="36" width="15.5703125" style="9" customWidth="1"/>
    <col min="37" max="37" width="16.42578125" style="9" customWidth="1"/>
    <col min="38" max="38" width="13.5703125" style="7" customWidth="1"/>
    <col min="39" max="39" width="7.85546875" style="7" hidden="1" customWidth="1"/>
    <col min="40" max="40" width="8.140625" style="7" hidden="1" customWidth="1"/>
    <col min="41" max="41" width="16.85546875" style="7" customWidth="1"/>
    <col min="42" max="42" width="15" style="7" hidden="1" customWidth="1"/>
    <col min="43" max="43" width="13.7109375" style="7" hidden="1" customWidth="1"/>
    <col min="44" max="44" width="15.85546875" style="7" customWidth="1"/>
    <col min="45" max="45" width="2.140625" style="7" customWidth="1"/>
    <col min="46" max="47" width="11.7109375" style="7" hidden="1" customWidth="1"/>
    <col min="48" max="48" width="11" style="7" hidden="1" customWidth="1"/>
    <col min="49" max="49" width="1.5703125" style="7" customWidth="1"/>
    <col min="50" max="50" width="13.7109375" style="9" customWidth="1"/>
    <col min="51" max="52" width="12.5703125" style="9" customWidth="1"/>
    <col min="53" max="53" width="13" style="9" customWidth="1"/>
    <col min="54" max="54" width="11.28515625" style="9" customWidth="1"/>
    <col min="55" max="55" width="10.85546875" style="9" customWidth="1"/>
    <col min="56" max="56" width="11.5703125" style="9" customWidth="1"/>
    <col min="57" max="57" width="12" style="9" customWidth="1"/>
    <col min="58" max="59" width="11.5703125" style="9" customWidth="1"/>
    <col min="60" max="60" width="15.140625" style="9" customWidth="1"/>
    <col min="61" max="61" width="14.7109375" style="9" customWidth="1"/>
    <col min="62" max="62" width="14.7109375" style="9" hidden="1" customWidth="1"/>
    <col min="63" max="63" width="13" style="9" customWidth="1"/>
    <col min="64" max="69" width="11.42578125" style="1" customWidth="1"/>
    <col min="70" max="71" width="0" style="1" hidden="1" customWidth="1"/>
    <col min="72" max="72" width="5.42578125" style="1" customWidth="1"/>
    <col min="73" max="16384" width="11.42578125" style="1"/>
  </cols>
  <sheetData>
    <row r="1" spans="2:71" ht="21.75" customHeight="1" x14ac:dyDescent="0.2"/>
    <row r="2" spans="2:71" ht="13.5" hidden="1" thickBot="1" x14ac:dyDescent="0.3">
      <c r="AJ2" s="10"/>
      <c r="AK2" s="11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3">
        <v>0.6</v>
      </c>
    </row>
    <row r="3" spans="2:71" ht="12.75" x14ac:dyDescent="0.25">
      <c r="AJ3" s="10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4"/>
    </row>
    <row r="4" spans="2:71" ht="12.75" x14ac:dyDescent="0.25">
      <c r="AJ4" s="10"/>
      <c r="AK4" s="11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4"/>
    </row>
    <row r="5" spans="2:71" ht="15" hidden="1" customHeight="1" x14ac:dyDescent="0.25">
      <c r="AH5" s="15" t="s">
        <v>17</v>
      </c>
      <c r="AI5" s="15"/>
      <c r="AJ5" s="15"/>
      <c r="AK5" s="10"/>
      <c r="AL5" s="16">
        <v>5.0999999999999997E-2</v>
      </c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spans="2:71" ht="12" customHeight="1" x14ac:dyDescent="0.25">
      <c r="E6" s="17" t="s">
        <v>24</v>
      </c>
      <c r="F6" s="18"/>
      <c r="G6" s="18"/>
      <c r="H6" s="19" t="s">
        <v>25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10"/>
      <c r="AL6" s="12"/>
      <c r="AM6" s="21"/>
      <c r="AN6" s="21"/>
      <c r="AO6" s="21"/>
      <c r="AP6" s="21"/>
      <c r="AQ6" s="21"/>
      <c r="AR6" s="21"/>
      <c r="AS6" s="22"/>
      <c r="AT6" s="22"/>
      <c r="AU6" s="22"/>
      <c r="AV6" s="22"/>
      <c r="AW6" s="22"/>
    </row>
    <row r="7" spans="2:71" ht="11.25" customHeight="1" x14ac:dyDescent="0.25">
      <c r="E7" s="17" t="s">
        <v>26</v>
      </c>
      <c r="F7" s="18"/>
      <c r="G7" s="18"/>
      <c r="H7" s="19" t="s">
        <v>27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3"/>
      <c r="AL7" s="23"/>
      <c r="AM7" s="24" t="s">
        <v>7</v>
      </c>
      <c r="AN7" s="24"/>
      <c r="AO7" s="24"/>
      <c r="AP7" s="24" t="s">
        <v>8</v>
      </c>
      <c r="AQ7" s="24"/>
      <c r="AR7" s="24"/>
      <c r="AS7" s="25"/>
      <c r="AT7" s="25"/>
      <c r="AU7" s="25"/>
      <c r="AV7" s="25"/>
      <c r="AW7" s="25"/>
      <c r="AX7" s="26" t="s">
        <v>1</v>
      </c>
      <c r="AY7" s="26" t="s">
        <v>2</v>
      </c>
      <c r="AZ7" s="26" t="s">
        <v>3</v>
      </c>
      <c r="BA7" s="26" t="s">
        <v>4</v>
      </c>
      <c r="BB7" s="27" t="s">
        <v>9</v>
      </c>
      <c r="BC7" s="28" t="s">
        <v>5</v>
      </c>
      <c r="BD7" s="27" t="s">
        <v>10</v>
      </c>
      <c r="BE7" s="27" t="s">
        <v>11</v>
      </c>
      <c r="BF7" s="27" t="s">
        <v>12</v>
      </c>
      <c r="BG7" s="27" t="s">
        <v>13</v>
      </c>
      <c r="BH7" s="27" t="s">
        <v>14</v>
      </c>
      <c r="BI7" s="26" t="s">
        <v>19</v>
      </c>
      <c r="BJ7" s="26" t="s">
        <v>142</v>
      </c>
      <c r="BK7" s="29" t="s">
        <v>6</v>
      </c>
    </row>
    <row r="8" spans="2:71" s="2" customFormat="1" ht="31.5" customHeight="1" x14ac:dyDescent="0.25">
      <c r="B8" s="8"/>
      <c r="C8" s="8"/>
      <c r="D8" s="8"/>
      <c r="E8" s="30" t="s">
        <v>28</v>
      </c>
      <c r="F8" s="31" t="s">
        <v>15</v>
      </c>
      <c r="G8" s="31" t="s">
        <v>29</v>
      </c>
      <c r="H8" s="32" t="s">
        <v>20</v>
      </c>
      <c r="I8" s="33" t="s">
        <v>30</v>
      </c>
      <c r="J8" s="32" t="s">
        <v>31</v>
      </c>
      <c r="K8" s="34" t="s">
        <v>32</v>
      </c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6"/>
      <c r="AD8" s="32" t="s">
        <v>33</v>
      </c>
      <c r="AE8" s="32" t="s">
        <v>34</v>
      </c>
      <c r="AF8" s="32" t="s">
        <v>35</v>
      </c>
      <c r="AG8" s="32" t="s">
        <v>0</v>
      </c>
      <c r="AH8" s="32" t="s">
        <v>138</v>
      </c>
      <c r="AI8" s="32" t="s">
        <v>36</v>
      </c>
      <c r="AJ8" s="37" t="s">
        <v>37</v>
      </c>
      <c r="AK8" s="38" t="s">
        <v>139</v>
      </c>
      <c r="AL8" s="38" t="s">
        <v>16</v>
      </c>
      <c r="AM8" s="24" t="s">
        <v>140</v>
      </c>
      <c r="AN8" s="24"/>
      <c r="AO8" s="24"/>
      <c r="AP8" s="24" t="s">
        <v>141</v>
      </c>
      <c r="AQ8" s="24"/>
      <c r="AR8" s="24"/>
      <c r="AS8" s="22"/>
      <c r="AT8" s="22"/>
      <c r="AU8" s="22"/>
      <c r="AV8" s="22"/>
      <c r="AW8" s="22"/>
      <c r="AX8" s="39"/>
      <c r="AY8" s="39"/>
      <c r="AZ8" s="39"/>
      <c r="BA8" s="39"/>
      <c r="BB8" s="40"/>
      <c r="BC8" s="41"/>
      <c r="BD8" s="40"/>
      <c r="BE8" s="40"/>
      <c r="BF8" s="40"/>
      <c r="BG8" s="40"/>
      <c r="BH8" s="40"/>
      <c r="BI8" s="39"/>
      <c r="BJ8" s="39"/>
      <c r="BK8" s="42"/>
    </row>
    <row r="9" spans="2:71" s="2" customFormat="1" ht="80.25" customHeight="1" x14ac:dyDescent="0.25">
      <c r="B9" s="8"/>
      <c r="C9" s="8"/>
      <c r="D9" s="8"/>
      <c r="E9" s="43"/>
      <c r="F9" s="44"/>
      <c r="G9" s="44"/>
      <c r="H9" s="43"/>
      <c r="I9" s="45"/>
      <c r="J9" s="43"/>
      <c r="K9" s="46" t="s">
        <v>107</v>
      </c>
      <c r="L9" s="46" t="s">
        <v>108</v>
      </c>
      <c r="M9" s="46" t="s">
        <v>109</v>
      </c>
      <c r="N9" s="46" t="s">
        <v>110</v>
      </c>
      <c r="O9" s="47" t="s">
        <v>38</v>
      </c>
      <c r="P9" s="48" t="s">
        <v>111</v>
      </c>
      <c r="Q9" s="47" t="s">
        <v>39</v>
      </c>
      <c r="R9" s="48" t="s">
        <v>112</v>
      </c>
      <c r="S9" s="47" t="s">
        <v>40</v>
      </c>
      <c r="T9" s="48" t="s">
        <v>113</v>
      </c>
      <c r="U9" s="48" t="s">
        <v>114</v>
      </c>
      <c r="V9" s="48" t="s">
        <v>115</v>
      </c>
      <c r="W9" s="48" t="s">
        <v>116</v>
      </c>
      <c r="X9" s="47" t="s">
        <v>41</v>
      </c>
      <c r="Y9" s="46" t="s">
        <v>117</v>
      </c>
      <c r="Z9" s="46" t="s">
        <v>118</v>
      </c>
      <c r="AA9" s="46" t="s">
        <v>119</v>
      </c>
      <c r="AB9" s="48" t="s">
        <v>120</v>
      </c>
      <c r="AC9" s="46" t="s">
        <v>121</v>
      </c>
      <c r="AD9" s="43"/>
      <c r="AE9" s="44"/>
      <c r="AF9" s="43"/>
      <c r="AG9" s="43"/>
      <c r="AH9" s="43"/>
      <c r="AI9" s="49"/>
      <c r="AJ9" s="50"/>
      <c r="AK9" s="38"/>
      <c r="AL9" s="38"/>
      <c r="AM9" s="51" t="s">
        <v>22</v>
      </c>
      <c r="AN9" s="51" t="s">
        <v>18</v>
      </c>
      <c r="AO9" s="51" t="s">
        <v>23</v>
      </c>
      <c r="AP9" s="52" t="s">
        <v>22</v>
      </c>
      <c r="AQ9" s="52" t="s">
        <v>18</v>
      </c>
      <c r="AR9" s="52" t="s">
        <v>23</v>
      </c>
      <c r="AS9" s="22"/>
      <c r="AT9" s="22"/>
      <c r="AU9" s="22"/>
      <c r="AV9" s="22"/>
      <c r="AW9" s="22"/>
      <c r="AX9" s="53"/>
      <c r="AY9" s="53"/>
      <c r="AZ9" s="53"/>
      <c r="BA9" s="53"/>
      <c r="BB9" s="54"/>
      <c r="BC9" s="55"/>
      <c r="BD9" s="54"/>
      <c r="BE9" s="54"/>
      <c r="BF9" s="54"/>
      <c r="BG9" s="54"/>
      <c r="BH9" s="54"/>
      <c r="BI9" s="53"/>
      <c r="BJ9" s="53"/>
      <c r="BK9" s="56"/>
      <c r="BR9" s="4" t="s">
        <v>143</v>
      </c>
      <c r="BS9" s="4" t="s">
        <v>144</v>
      </c>
    </row>
    <row r="10" spans="2:71" ht="36" customHeight="1" x14ac:dyDescent="0.2">
      <c r="E10" s="57">
        <v>1</v>
      </c>
      <c r="F10" s="57">
        <v>2791106</v>
      </c>
      <c r="G10" s="58" t="s">
        <v>42</v>
      </c>
      <c r="H10" s="59" t="s">
        <v>43</v>
      </c>
      <c r="I10" s="59">
        <v>4</v>
      </c>
      <c r="J10" s="59">
        <v>0</v>
      </c>
      <c r="K10" s="59">
        <v>310</v>
      </c>
      <c r="L10" s="59">
        <v>279</v>
      </c>
      <c r="M10" s="59">
        <v>248</v>
      </c>
      <c r="N10" s="59">
        <v>217</v>
      </c>
      <c r="O10" s="59">
        <v>154</v>
      </c>
      <c r="P10" s="59">
        <v>372</v>
      </c>
      <c r="Q10" s="59">
        <v>64</v>
      </c>
      <c r="R10" s="59">
        <v>63</v>
      </c>
      <c r="S10" s="59">
        <v>154</v>
      </c>
      <c r="T10" s="59">
        <v>6</v>
      </c>
      <c r="U10" s="59">
        <v>217</v>
      </c>
      <c r="V10" s="59">
        <v>310</v>
      </c>
      <c r="W10" s="59">
        <v>651</v>
      </c>
      <c r="X10" s="59">
        <v>93</v>
      </c>
      <c r="Y10" s="59">
        <v>248</v>
      </c>
      <c r="Z10" s="59">
        <v>279</v>
      </c>
      <c r="AA10" s="59">
        <v>46</v>
      </c>
      <c r="AB10" s="59">
        <v>22</v>
      </c>
      <c r="AC10" s="59">
        <v>155</v>
      </c>
      <c r="AD10" s="57">
        <f>SUM(K10,L10,M10,N10,P10,R10,T10,U10,V10,W10,Y10,Z10,AA10,AB10,AC10)</f>
        <v>3423</v>
      </c>
      <c r="AE10" s="57">
        <f>O10+Q10+S10+X10</f>
        <v>465</v>
      </c>
      <c r="AF10" s="60">
        <f>I10*(AD10+AE10)</f>
        <v>15552</v>
      </c>
      <c r="AG10" s="59" t="s">
        <v>43</v>
      </c>
      <c r="AH10" s="61">
        <v>11151703</v>
      </c>
      <c r="AI10" s="61" t="s">
        <v>44</v>
      </c>
      <c r="AJ10" s="61" t="s">
        <v>44</v>
      </c>
      <c r="AK10" s="62">
        <v>1532.71</v>
      </c>
      <c r="AL10" s="62">
        <f t="shared" ref="AL10:AL21" si="0">+ROUND(AK10*($AL$5+1),0)</f>
        <v>1611</v>
      </c>
      <c r="AM10" s="63"/>
      <c r="AN10" s="63"/>
      <c r="AO10" s="64">
        <v>3032</v>
      </c>
      <c r="AP10" s="64">
        <v>5997</v>
      </c>
      <c r="AQ10" s="64">
        <f>+AP10*19%</f>
        <v>1139.43</v>
      </c>
      <c r="AR10" s="64">
        <f>+AP10+AQ10</f>
        <v>7136.43</v>
      </c>
      <c r="AS10" s="65"/>
      <c r="AT10" s="65">
        <f>+AL10</f>
        <v>1611</v>
      </c>
      <c r="AU10" s="66">
        <f>+AO10</f>
        <v>3032</v>
      </c>
      <c r="AV10" s="65">
        <f>+AR10</f>
        <v>7136.43</v>
      </c>
      <c r="AW10" s="65"/>
      <c r="AX10" s="67">
        <f t="shared" ref="AX10:AX21" si="1">MIN(AL10,AO10,AR10)</f>
        <v>1611</v>
      </c>
      <c r="AY10" s="67">
        <f t="shared" ref="AY10:AY21" si="2">AVERAGE(AL10,AO10,AR10)</f>
        <v>3926.4766666666669</v>
      </c>
      <c r="AZ10" s="67">
        <f t="shared" ref="AZ10:AZ21" si="3">MEDIAN(AL10,AO10,AR10)</f>
        <v>3032</v>
      </c>
      <c r="BA10" s="67">
        <f t="shared" ref="BA10:BA21" si="4">GEOMEAN(AL10,AO10,AR10)</f>
        <v>3266.6448152001217</v>
      </c>
      <c r="BB10" s="67">
        <f>_xlfn.STDEV.P(AL10,AO10,AR10)</f>
        <v>2342.7420617207426</v>
      </c>
      <c r="BC10" s="68">
        <f>BB10/AY10</f>
        <v>0.59665248532078607</v>
      </c>
      <c r="BD10" s="67">
        <f t="shared" ref="BD10:BD21" si="5">+SMALL(AT10:AV10,1)</f>
        <v>1611</v>
      </c>
      <c r="BE10" s="67">
        <f t="shared" ref="BE10:BE21" si="6">LARGE(AT10:AV10,1)</f>
        <v>7136.43</v>
      </c>
      <c r="BF10" s="67">
        <f t="shared" ref="BF10:BF21" si="7">QUARTILE(AT10:AV10,1)</f>
        <v>2321.5</v>
      </c>
      <c r="BG10" s="67">
        <f t="shared" ref="BG10:BG21" si="8">QUARTILE(AT10:AV10,3)</f>
        <v>5084.2150000000001</v>
      </c>
      <c r="BH10" s="67">
        <f>_xlfn.QUARTILE.EXC(AT10:AV10,3)-_xlfn.QUARTILE.EXC(AT10:AV10,1)</f>
        <v>5525.43</v>
      </c>
      <c r="BI10" s="67">
        <f>ROUND(IF(BC10&lt;=$AX$2,BG10,AY10),0)</f>
        <v>5084</v>
      </c>
      <c r="BJ10" s="67">
        <f>+BI10*I10</f>
        <v>20336</v>
      </c>
      <c r="BK10" s="69" t="str">
        <f t="shared" ref="BK10:BK21" si="9">IF(BC10&lt;=$AX$2,"QUARTIL (Q3)","PROMEDIO")</f>
        <v>QUARTIL (Q3)</v>
      </c>
      <c r="BR10" s="6">
        <f>+BJ10+BJ11+BJ12+BJ13+BJ14+BJ15+BJ16+BJ17+BJ18+BJ19+BJ20+BJ26+BJ27+BJ28+BJ36+BJ39+BJ44+BJ45+BJ46+BJ47+BJ48+BJ49+BJ54+BJ55+BJ57+BJ62+BJ63+BJ64+BJ65+BJ70+BJ71+BJ72+BJ73</f>
        <v>464773</v>
      </c>
      <c r="BS10" s="6">
        <f>+BJ10+BJ11+BJ12+BJ13+BJ14+BJ15+BJ16+BJ17+BJ18+BJ19+BJ20+BJ21+BJ26+BJ27+BJ28+BJ29+BJ30+BJ36+BJ37+BJ39+BJ44+BJ45+BJ46+BJ47+BJ48+BJ49+BJ54+BJ55+BJ57+BJ62+BJ63+BJ64+BJ65+BJ70+BJ71+BJ72+BJ73</f>
        <v>586753</v>
      </c>
    </row>
    <row r="11" spans="2:71" ht="12.75" x14ac:dyDescent="0.2">
      <c r="E11" s="57">
        <f t="shared" ref="E11:E21" si="10">E10+1</f>
        <v>2</v>
      </c>
      <c r="F11" s="57">
        <v>2791106</v>
      </c>
      <c r="G11" s="58" t="s">
        <v>122</v>
      </c>
      <c r="H11" s="59" t="s">
        <v>43</v>
      </c>
      <c r="I11" s="59">
        <v>2</v>
      </c>
      <c r="J11" s="59">
        <v>0</v>
      </c>
      <c r="K11" s="59">
        <v>310</v>
      </c>
      <c r="L11" s="59">
        <v>279</v>
      </c>
      <c r="M11" s="59">
        <v>248</v>
      </c>
      <c r="N11" s="59">
        <v>217</v>
      </c>
      <c r="O11" s="59">
        <v>154</v>
      </c>
      <c r="P11" s="59">
        <v>372</v>
      </c>
      <c r="Q11" s="59">
        <v>64</v>
      </c>
      <c r="R11" s="59">
        <v>63</v>
      </c>
      <c r="S11" s="59">
        <v>154</v>
      </c>
      <c r="T11" s="59">
        <v>6</v>
      </c>
      <c r="U11" s="59">
        <v>217</v>
      </c>
      <c r="V11" s="59">
        <v>310</v>
      </c>
      <c r="W11" s="59">
        <v>651</v>
      </c>
      <c r="X11" s="59">
        <v>93</v>
      </c>
      <c r="Y11" s="59">
        <v>248</v>
      </c>
      <c r="Z11" s="59">
        <v>279</v>
      </c>
      <c r="AA11" s="59">
        <v>46</v>
      </c>
      <c r="AB11" s="59">
        <v>22</v>
      </c>
      <c r="AC11" s="59">
        <v>155</v>
      </c>
      <c r="AD11" s="57">
        <f t="shared" ref="AD11:AD20" si="11">SUM(K11,L11,M11,N11,P11,R11,T11,U11,V11,W11,Y11,Z11,AA11,AB11,AC11)</f>
        <v>3423</v>
      </c>
      <c r="AE11" s="57">
        <f t="shared" ref="AE11:AE19" si="12">O11+Q11+S11+X11</f>
        <v>465</v>
      </c>
      <c r="AF11" s="60">
        <f>I11*(AD11+AE11)</f>
        <v>7776</v>
      </c>
      <c r="AG11" s="59" t="s">
        <v>43</v>
      </c>
      <c r="AH11" s="61">
        <v>11151703</v>
      </c>
      <c r="AI11" s="61" t="s">
        <v>44</v>
      </c>
      <c r="AJ11" s="61" t="s">
        <v>44</v>
      </c>
      <c r="AK11" s="62">
        <v>1431.1</v>
      </c>
      <c r="AL11" s="62">
        <f t="shared" si="0"/>
        <v>1504</v>
      </c>
      <c r="AM11" s="63"/>
      <c r="AN11" s="63"/>
      <c r="AO11" s="64">
        <v>3416</v>
      </c>
      <c r="AP11" s="64">
        <v>7654</v>
      </c>
      <c r="AQ11" s="64">
        <f t="shared" ref="AQ11:AQ73" si="13">+AP11*19%</f>
        <v>1454.26</v>
      </c>
      <c r="AR11" s="64">
        <f t="shared" ref="AR11:AR73" si="14">+AP11+AQ11</f>
        <v>9108.26</v>
      </c>
      <c r="AS11" s="65"/>
      <c r="AT11" s="65">
        <f t="shared" ref="AT11:AT73" si="15">+AL11</f>
        <v>1504</v>
      </c>
      <c r="AU11" s="66">
        <f t="shared" ref="AU11:AU73" si="16">+AO11</f>
        <v>3416</v>
      </c>
      <c r="AV11" s="65">
        <f t="shared" ref="AV11:AV73" si="17">+AR11</f>
        <v>9108.26</v>
      </c>
      <c r="AW11" s="65"/>
      <c r="AX11" s="67">
        <f t="shared" si="1"/>
        <v>1504</v>
      </c>
      <c r="AY11" s="67">
        <f t="shared" si="2"/>
        <v>4676.086666666667</v>
      </c>
      <c r="AZ11" s="67">
        <f t="shared" si="3"/>
        <v>3416</v>
      </c>
      <c r="BA11" s="67">
        <f t="shared" si="4"/>
        <v>3603.5761661032243</v>
      </c>
      <c r="BB11" s="67">
        <f t="shared" ref="BB11:BB21" si="18">_xlfn.STDEV.P(AL11,AO11,AR11)</f>
        <v>3229.7632877692795</v>
      </c>
      <c r="BC11" s="68">
        <f t="shared" ref="BC11:BC21" si="19">BB11/AY11</f>
        <v>0.69069791002646352</v>
      </c>
      <c r="BD11" s="67">
        <f t="shared" si="5"/>
        <v>1504</v>
      </c>
      <c r="BE11" s="67">
        <f t="shared" si="6"/>
        <v>9108.26</v>
      </c>
      <c r="BF11" s="67">
        <f t="shared" si="7"/>
        <v>2460</v>
      </c>
      <c r="BG11" s="67">
        <f t="shared" si="8"/>
        <v>6262.13</v>
      </c>
      <c r="BH11" s="67">
        <f t="shared" ref="BH11:BH21" si="20">_xlfn.QUARTILE.EXC(AT11:AV11,3)-_xlfn.QUARTILE.EXC(AT11:AV11,1)</f>
        <v>7604.26</v>
      </c>
      <c r="BI11" s="67">
        <f t="shared" ref="BI11:BI73" si="21">ROUND(IF(BC11&lt;=$AX$2,BG11,AY11),0)</f>
        <v>4676</v>
      </c>
      <c r="BJ11" s="67">
        <f t="shared" ref="BJ11:BJ21" si="22">+BI11*I11</f>
        <v>9352</v>
      </c>
      <c r="BK11" s="69" t="str">
        <f t="shared" si="9"/>
        <v>PROMEDIO</v>
      </c>
    </row>
    <row r="12" spans="2:71" ht="30.75" customHeight="1" x14ac:dyDescent="0.2">
      <c r="E12" s="57">
        <f t="shared" si="10"/>
        <v>3</v>
      </c>
      <c r="F12" s="57">
        <v>2791106</v>
      </c>
      <c r="G12" s="58" t="s">
        <v>45</v>
      </c>
      <c r="H12" s="59" t="s">
        <v>43</v>
      </c>
      <c r="I12" s="59">
        <v>4</v>
      </c>
      <c r="J12" s="59">
        <v>0</v>
      </c>
      <c r="K12" s="59">
        <v>310</v>
      </c>
      <c r="L12" s="59">
        <v>279</v>
      </c>
      <c r="M12" s="59">
        <v>248</v>
      </c>
      <c r="N12" s="59">
        <v>217</v>
      </c>
      <c r="O12" s="59">
        <v>154</v>
      </c>
      <c r="P12" s="59">
        <v>372</v>
      </c>
      <c r="Q12" s="59">
        <v>64</v>
      </c>
      <c r="R12" s="59">
        <v>63</v>
      </c>
      <c r="S12" s="59">
        <v>154</v>
      </c>
      <c r="T12" s="59">
        <v>6</v>
      </c>
      <c r="U12" s="59">
        <v>217</v>
      </c>
      <c r="V12" s="59">
        <v>310</v>
      </c>
      <c r="W12" s="59">
        <v>651</v>
      </c>
      <c r="X12" s="59">
        <v>93</v>
      </c>
      <c r="Y12" s="59">
        <v>248</v>
      </c>
      <c r="Z12" s="59">
        <v>279</v>
      </c>
      <c r="AA12" s="59">
        <v>46</v>
      </c>
      <c r="AB12" s="59">
        <v>22</v>
      </c>
      <c r="AC12" s="59">
        <v>155</v>
      </c>
      <c r="AD12" s="57">
        <f t="shared" si="11"/>
        <v>3423</v>
      </c>
      <c r="AE12" s="57">
        <f t="shared" si="12"/>
        <v>465</v>
      </c>
      <c r="AF12" s="60">
        <f t="shared" ref="AF12:AF20" si="23">I12*(AD12+AE12)</f>
        <v>15552</v>
      </c>
      <c r="AG12" s="59" t="s">
        <v>43</v>
      </c>
      <c r="AH12" s="61">
        <v>11151703</v>
      </c>
      <c r="AI12" s="61" t="s">
        <v>44</v>
      </c>
      <c r="AJ12" s="61" t="s">
        <v>44</v>
      </c>
      <c r="AK12" s="62">
        <v>2980.76</v>
      </c>
      <c r="AL12" s="62">
        <f t="shared" si="0"/>
        <v>3133</v>
      </c>
      <c r="AM12" s="63"/>
      <c r="AN12" s="63"/>
      <c r="AO12" s="64">
        <v>6380</v>
      </c>
      <c r="AP12" s="64">
        <v>11352</v>
      </c>
      <c r="AQ12" s="64">
        <f t="shared" si="13"/>
        <v>2156.88</v>
      </c>
      <c r="AR12" s="64">
        <f t="shared" si="14"/>
        <v>13508.880000000001</v>
      </c>
      <c r="AS12" s="65"/>
      <c r="AT12" s="65">
        <f t="shared" si="15"/>
        <v>3133</v>
      </c>
      <c r="AU12" s="66">
        <f t="shared" si="16"/>
        <v>6380</v>
      </c>
      <c r="AV12" s="65">
        <f t="shared" si="17"/>
        <v>13508.880000000001</v>
      </c>
      <c r="AW12" s="65"/>
      <c r="AX12" s="67">
        <f t="shared" si="1"/>
        <v>3133</v>
      </c>
      <c r="AY12" s="67">
        <f t="shared" si="2"/>
        <v>7673.96</v>
      </c>
      <c r="AZ12" s="67">
        <f t="shared" si="3"/>
        <v>6380</v>
      </c>
      <c r="BA12" s="67">
        <f t="shared" si="4"/>
        <v>6463.4859011447716</v>
      </c>
      <c r="BB12" s="67">
        <f t="shared" si="18"/>
        <v>4333.6259494638753</v>
      </c>
      <c r="BC12" s="68">
        <f t="shared" si="19"/>
        <v>0.56471833961395101</v>
      </c>
      <c r="BD12" s="67">
        <f t="shared" si="5"/>
        <v>3133</v>
      </c>
      <c r="BE12" s="67">
        <f t="shared" si="6"/>
        <v>13508.880000000001</v>
      </c>
      <c r="BF12" s="67">
        <f t="shared" si="7"/>
        <v>4756.5</v>
      </c>
      <c r="BG12" s="67">
        <f t="shared" si="8"/>
        <v>9944.44</v>
      </c>
      <c r="BH12" s="67">
        <f t="shared" si="20"/>
        <v>10375.880000000001</v>
      </c>
      <c r="BI12" s="67">
        <f t="shared" si="21"/>
        <v>9944</v>
      </c>
      <c r="BJ12" s="67">
        <f t="shared" si="22"/>
        <v>39776</v>
      </c>
      <c r="BK12" s="69" t="str">
        <f t="shared" si="9"/>
        <v>QUARTIL (Q3)</v>
      </c>
    </row>
    <row r="13" spans="2:71" ht="25.5" customHeight="1" x14ac:dyDescent="0.2">
      <c r="E13" s="57">
        <f t="shared" si="10"/>
        <v>4</v>
      </c>
      <c r="F13" s="57">
        <v>2791106</v>
      </c>
      <c r="G13" s="58" t="s">
        <v>46</v>
      </c>
      <c r="H13" s="59" t="s">
        <v>43</v>
      </c>
      <c r="I13" s="59">
        <v>2</v>
      </c>
      <c r="J13" s="59">
        <v>0</v>
      </c>
      <c r="K13" s="59">
        <v>310</v>
      </c>
      <c r="L13" s="59">
        <v>279</v>
      </c>
      <c r="M13" s="59">
        <v>248</v>
      </c>
      <c r="N13" s="59">
        <v>217</v>
      </c>
      <c r="O13" s="59">
        <v>154</v>
      </c>
      <c r="P13" s="59">
        <v>372</v>
      </c>
      <c r="Q13" s="59">
        <v>64</v>
      </c>
      <c r="R13" s="59">
        <v>63</v>
      </c>
      <c r="S13" s="59">
        <v>154</v>
      </c>
      <c r="T13" s="59">
        <v>6</v>
      </c>
      <c r="U13" s="59">
        <v>217</v>
      </c>
      <c r="V13" s="59">
        <v>310</v>
      </c>
      <c r="W13" s="59">
        <v>651</v>
      </c>
      <c r="X13" s="59">
        <v>93</v>
      </c>
      <c r="Y13" s="59">
        <v>248</v>
      </c>
      <c r="Z13" s="59">
        <v>279</v>
      </c>
      <c r="AA13" s="59">
        <v>46</v>
      </c>
      <c r="AB13" s="59">
        <v>22</v>
      </c>
      <c r="AC13" s="59">
        <v>155</v>
      </c>
      <c r="AD13" s="57">
        <f t="shared" si="11"/>
        <v>3423</v>
      </c>
      <c r="AE13" s="57">
        <f t="shared" si="12"/>
        <v>465</v>
      </c>
      <c r="AF13" s="60">
        <f t="shared" si="23"/>
        <v>7776</v>
      </c>
      <c r="AG13" s="59" t="s">
        <v>43</v>
      </c>
      <c r="AH13" s="61">
        <v>11151703</v>
      </c>
      <c r="AI13" s="61" t="s">
        <v>44</v>
      </c>
      <c r="AJ13" s="61" t="s">
        <v>47</v>
      </c>
      <c r="AK13" s="62">
        <v>1939.19</v>
      </c>
      <c r="AL13" s="62">
        <f t="shared" si="0"/>
        <v>2038</v>
      </c>
      <c r="AM13" s="70"/>
      <c r="AN13" s="70"/>
      <c r="AO13" s="64">
        <v>5366</v>
      </c>
      <c r="AP13" s="64">
        <v>11478</v>
      </c>
      <c r="AQ13" s="64">
        <f t="shared" si="13"/>
        <v>2180.8200000000002</v>
      </c>
      <c r="AR13" s="64">
        <f t="shared" si="14"/>
        <v>13658.82</v>
      </c>
      <c r="AS13" s="65"/>
      <c r="AT13" s="65">
        <f t="shared" si="15"/>
        <v>2038</v>
      </c>
      <c r="AU13" s="66">
        <f t="shared" si="16"/>
        <v>5366</v>
      </c>
      <c r="AV13" s="65">
        <f t="shared" si="17"/>
        <v>13658.82</v>
      </c>
      <c r="AW13" s="65"/>
      <c r="AX13" s="67">
        <f t="shared" si="1"/>
        <v>2038</v>
      </c>
      <c r="AY13" s="67">
        <f t="shared" si="2"/>
        <v>7020.94</v>
      </c>
      <c r="AZ13" s="67">
        <f t="shared" si="3"/>
        <v>5366</v>
      </c>
      <c r="BA13" s="67">
        <f t="shared" si="4"/>
        <v>5305.862729306863</v>
      </c>
      <c r="BB13" s="67">
        <f t="shared" si="18"/>
        <v>4886.3745367978772</v>
      </c>
      <c r="BC13" s="68">
        <f t="shared" si="19"/>
        <v>0.69597155605914274</v>
      </c>
      <c r="BD13" s="67">
        <f t="shared" si="5"/>
        <v>2038</v>
      </c>
      <c r="BE13" s="67">
        <f t="shared" si="6"/>
        <v>13658.82</v>
      </c>
      <c r="BF13" s="67">
        <f t="shared" si="7"/>
        <v>3702</v>
      </c>
      <c r="BG13" s="67">
        <f t="shared" si="8"/>
        <v>9512.41</v>
      </c>
      <c r="BH13" s="67">
        <f t="shared" si="20"/>
        <v>11620.82</v>
      </c>
      <c r="BI13" s="67">
        <f t="shared" si="21"/>
        <v>7021</v>
      </c>
      <c r="BJ13" s="67">
        <f t="shared" si="22"/>
        <v>14042</v>
      </c>
      <c r="BK13" s="69" t="str">
        <f t="shared" si="9"/>
        <v>PROMEDIO</v>
      </c>
    </row>
    <row r="14" spans="2:71" ht="25.5" x14ac:dyDescent="0.2">
      <c r="E14" s="57">
        <f t="shared" si="10"/>
        <v>5</v>
      </c>
      <c r="F14" s="57">
        <v>2791106</v>
      </c>
      <c r="G14" s="58" t="s">
        <v>48</v>
      </c>
      <c r="H14" s="59" t="s">
        <v>43</v>
      </c>
      <c r="I14" s="59">
        <v>2</v>
      </c>
      <c r="J14" s="59">
        <v>0</v>
      </c>
      <c r="K14" s="59">
        <v>310</v>
      </c>
      <c r="L14" s="59">
        <v>279</v>
      </c>
      <c r="M14" s="59">
        <v>248</v>
      </c>
      <c r="N14" s="59">
        <v>217</v>
      </c>
      <c r="O14" s="59">
        <v>154</v>
      </c>
      <c r="P14" s="59">
        <v>372</v>
      </c>
      <c r="Q14" s="59">
        <v>64</v>
      </c>
      <c r="R14" s="59">
        <v>63</v>
      </c>
      <c r="S14" s="59">
        <v>154</v>
      </c>
      <c r="T14" s="59">
        <v>6</v>
      </c>
      <c r="U14" s="59">
        <v>217</v>
      </c>
      <c r="V14" s="59">
        <v>310</v>
      </c>
      <c r="W14" s="59">
        <v>651</v>
      </c>
      <c r="X14" s="59">
        <v>93</v>
      </c>
      <c r="Y14" s="59">
        <v>248</v>
      </c>
      <c r="Z14" s="59">
        <v>279</v>
      </c>
      <c r="AA14" s="59">
        <v>46</v>
      </c>
      <c r="AB14" s="59">
        <v>22</v>
      </c>
      <c r="AC14" s="59">
        <v>155</v>
      </c>
      <c r="AD14" s="57">
        <f t="shared" si="11"/>
        <v>3423</v>
      </c>
      <c r="AE14" s="57">
        <f t="shared" si="12"/>
        <v>465</v>
      </c>
      <c r="AF14" s="60">
        <f t="shared" si="23"/>
        <v>7776</v>
      </c>
      <c r="AG14" s="59" t="s">
        <v>43</v>
      </c>
      <c r="AH14" s="61">
        <v>11151703</v>
      </c>
      <c r="AI14" s="61" t="s">
        <v>44</v>
      </c>
      <c r="AJ14" s="61" t="s">
        <v>44</v>
      </c>
      <c r="AK14" s="62">
        <v>1456.5</v>
      </c>
      <c r="AL14" s="62">
        <f t="shared" si="0"/>
        <v>1531</v>
      </c>
      <c r="AM14" s="63"/>
      <c r="AN14" s="63"/>
      <c r="AO14" s="64">
        <v>2912</v>
      </c>
      <c r="AP14" s="64">
        <v>6784</v>
      </c>
      <c r="AQ14" s="64">
        <f t="shared" si="13"/>
        <v>1288.96</v>
      </c>
      <c r="AR14" s="64">
        <f t="shared" si="14"/>
        <v>8072.96</v>
      </c>
      <c r="AS14" s="65"/>
      <c r="AT14" s="65">
        <f t="shared" si="15"/>
        <v>1531</v>
      </c>
      <c r="AU14" s="66">
        <f t="shared" si="16"/>
        <v>2912</v>
      </c>
      <c r="AV14" s="65">
        <f t="shared" si="17"/>
        <v>8072.96</v>
      </c>
      <c r="AW14" s="65"/>
      <c r="AX14" s="67">
        <f t="shared" si="1"/>
        <v>1531</v>
      </c>
      <c r="AY14" s="67">
        <f>AVERAGE(AL14,AO14,AR14)</f>
        <v>4171.9866666666667</v>
      </c>
      <c r="AZ14" s="67">
        <f t="shared" si="3"/>
        <v>2912</v>
      </c>
      <c r="BA14" s="67">
        <f t="shared" si="4"/>
        <v>3301.6658722591424</v>
      </c>
      <c r="BB14" s="67">
        <f t="shared" si="18"/>
        <v>2815.4318745719202</v>
      </c>
      <c r="BC14" s="68">
        <f t="shared" si="19"/>
        <v>0.67484201161682844</v>
      </c>
      <c r="BD14" s="67">
        <f t="shared" si="5"/>
        <v>1531</v>
      </c>
      <c r="BE14" s="67">
        <f t="shared" si="6"/>
        <v>8072.96</v>
      </c>
      <c r="BF14" s="67">
        <f t="shared" si="7"/>
        <v>2221.5</v>
      </c>
      <c r="BG14" s="67">
        <f t="shared" si="8"/>
        <v>5492.48</v>
      </c>
      <c r="BH14" s="67">
        <f t="shared" si="20"/>
        <v>6541.96</v>
      </c>
      <c r="BI14" s="67">
        <f t="shared" si="21"/>
        <v>4172</v>
      </c>
      <c r="BJ14" s="67">
        <f t="shared" si="22"/>
        <v>8344</v>
      </c>
      <c r="BK14" s="69" t="str">
        <f t="shared" si="9"/>
        <v>PROMEDIO</v>
      </c>
    </row>
    <row r="15" spans="2:71" s="3" customFormat="1" ht="12.75" x14ac:dyDescent="0.2">
      <c r="B15" s="71"/>
      <c r="C15" s="71"/>
      <c r="D15" s="71"/>
      <c r="E15" s="57">
        <f t="shared" si="10"/>
        <v>6</v>
      </c>
      <c r="F15" s="57">
        <v>2791106</v>
      </c>
      <c r="G15" s="58" t="s">
        <v>49</v>
      </c>
      <c r="H15" s="59" t="s">
        <v>50</v>
      </c>
      <c r="I15" s="59">
        <v>2</v>
      </c>
      <c r="J15" s="59">
        <v>0</v>
      </c>
      <c r="K15" s="59">
        <v>310</v>
      </c>
      <c r="L15" s="59">
        <v>279</v>
      </c>
      <c r="M15" s="59">
        <v>248</v>
      </c>
      <c r="N15" s="59">
        <v>217</v>
      </c>
      <c r="O15" s="59">
        <v>154</v>
      </c>
      <c r="P15" s="59">
        <v>372</v>
      </c>
      <c r="Q15" s="59">
        <v>64</v>
      </c>
      <c r="R15" s="59">
        <v>63</v>
      </c>
      <c r="S15" s="59">
        <v>154</v>
      </c>
      <c r="T15" s="59">
        <v>6</v>
      </c>
      <c r="U15" s="59">
        <v>217</v>
      </c>
      <c r="V15" s="59">
        <v>310</v>
      </c>
      <c r="W15" s="59">
        <v>651</v>
      </c>
      <c r="X15" s="59">
        <v>93</v>
      </c>
      <c r="Y15" s="59">
        <v>248</v>
      </c>
      <c r="Z15" s="59">
        <v>279</v>
      </c>
      <c r="AA15" s="59">
        <v>46</v>
      </c>
      <c r="AB15" s="59">
        <v>22</v>
      </c>
      <c r="AC15" s="59">
        <v>155</v>
      </c>
      <c r="AD15" s="57">
        <f>SUM(K15,L15,M15,N15,P15,R15,T15,U15,V15,W15,Y15,Z15,AA15,AB15,AC15)</f>
        <v>3423</v>
      </c>
      <c r="AE15" s="57">
        <f t="shared" si="12"/>
        <v>465</v>
      </c>
      <c r="AF15" s="60">
        <f t="shared" si="23"/>
        <v>7776</v>
      </c>
      <c r="AG15" s="59" t="s">
        <v>50</v>
      </c>
      <c r="AH15" s="61">
        <v>11151703</v>
      </c>
      <c r="AI15" s="61" t="s">
        <v>44</v>
      </c>
      <c r="AJ15" s="61" t="s">
        <v>44</v>
      </c>
      <c r="AK15" s="62">
        <v>2625.11</v>
      </c>
      <c r="AL15" s="62">
        <f t="shared" si="0"/>
        <v>2759</v>
      </c>
      <c r="AM15" s="63"/>
      <c r="AN15" s="63"/>
      <c r="AO15" s="64">
        <v>15392</v>
      </c>
      <c r="AP15" s="64">
        <v>8956</v>
      </c>
      <c r="AQ15" s="64">
        <f t="shared" si="13"/>
        <v>1701.64</v>
      </c>
      <c r="AR15" s="64">
        <f t="shared" si="14"/>
        <v>10657.64</v>
      </c>
      <c r="AS15" s="65"/>
      <c r="AT15" s="65">
        <f t="shared" si="15"/>
        <v>2759</v>
      </c>
      <c r="AU15" s="66">
        <f t="shared" si="16"/>
        <v>15392</v>
      </c>
      <c r="AV15" s="65">
        <f t="shared" si="17"/>
        <v>10657.64</v>
      </c>
      <c r="AW15" s="65"/>
      <c r="AX15" s="67">
        <f t="shared" si="1"/>
        <v>2759</v>
      </c>
      <c r="AY15" s="67">
        <f t="shared" si="2"/>
        <v>9602.8799999999992</v>
      </c>
      <c r="AZ15" s="67">
        <f t="shared" si="3"/>
        <v>10657.64</v>
      </c>
      <c r="BA15" s="67">
        <f t="shared" si="4"/>
        <v>7677.7847766032119</v>
      </c>
      <c r="BB15" s="67">
        <f t="shared" si="18"/>
        <v>5211.0498777885441</v>
      </c>
      <c r="BC15" s="68">
        <f t="shared" si="19"/>
        <v>0.54265489913323339</v>
      </c>
      <c r="BD15" s="67">
        <f t="shared" si="5"/>
        <v>2759</v>
      </c>
      <c r="BE15" s="67">
        <f t="shared" si="6"/>
        <v>15392</v>
      </c>
      <c r="BF15" s="67">
        <f t="shared" si="7"/>
        <v>6708.32</v>
      </c>
      <c r="BG15" s="67">
        <f t="shared" si="8"/>
        <v>13024.82</v>
      </c>
      <c r="BH15" s="67">
        <f t="shared" si="20"/>
        <v>12633</v>
      </c>
      <c r="BI15" s="67">
        <f t="shared" si="21"/>
        <v>13025</v>
      </c>
      <c r="BJ15" s="67">
        <f t="shared" si="22"/>
        <v>26050</v>
      </c>
      <c r="BK15" s="69" t="str">
        <f t="shared" si="9"/>
        <v>QUARTIL (Q3)</v>
      </c>
    </row>
    <row r="16" spans="2:71" s="3" customFormat="1" ht="12.75" x14ac:dyDescent="0.2">
      <c r="B16" s="71"/>
      <c r="C16" s="71"/>
      <c r="D16" s="71"/>
      <c r="E16" s="57">
        <f t="shared" si="10"/>
        <v>7</v>
      </c>
      <c r="F16" s="57">
        <v>2719002</v>
      </c>
      <c r="G16" s="58" t="s">
        <v>51</v>
      </c>
      <c r="H16" s="59" t="s">
        <v>43</v>
      </c>
      <c r="I16" s="59">
        <v>1</v>
      </c>
      <c r="J16" s="59">
        <v>0</v>
      </c>
      <c r="K16" s="59">
        <v>310</v>
      </c>
      <c r="L16" s="59">
        <v>279</v>
      </c>
      <c r="M16" s="59">
        <v>248</v>
      </c>
      <c r="N16" s="59">
        <v>217</v>
      </c>
      <c r="O16" s="59">
        <v>154</v>
      </c>
      <c r="P16" s="59">
        <v>372</v>
      </c>
      <c r="Q16" s="59">
        <v>64</v>
      </c>
      <c r="R16" s="59">
        <v>63</v>
      </c>
      <c r="S16" s="59">
        <v>154</v>
      </c>
      <c r="T16" s="59">
        <v>6</v>
      </c>
      <c r="U16" s="59">
        <v>217</v>
      </c>
      <c r="V16" s="59">
        <v>310</v>
      </c>
      <c r="W16" s="59">
        <v>651</v>
      </c>
      <c r="X16" s="59">
        <v>93</v>
      </c>
      <c r="Y16" s="59">
        <v>248</v>
      </c>
      <c r="Z16" s="59">
        <v>279</v>
      </c>
      <c r="AA16" s="59">
        <v>46</v>
      </c>
      <c r="AB16" s="59">
        <v>22</v>
      </c>
      <c r="AC16" s="59">
        <v>155</v>
      </c>
      <c r="AD16" s="57">
        <f t="shared" si="11"/>
        <v>3423</v>
      </c>
      <c r="AE16" s="57">
        <f t="shared" si="12"/>
        <v>465</v>
      </c>
      <c r="AF16" s="60">
        <f>I16*(AD16+AE16)</f>
        <v>3888</v>
      </c>
      <c r="AG16" s="59" t="s">
        <v>43</v>
      </c>
      <c r="AH16" s="61">
        <v>11151703</v>
      </c>
      <c r="AI16" s="61" t="s">
        <v>44</v>
      </c>
      <c r="AJ16" s="61" t="s">
        <v>52</v>
      </c>
      <c r="AK16" s="62">
        <v>3861.4500000000003</v>
      </c>
      <c r="AL16" s="62">
        <f t="shared" si="0"/>
        <v>4058</v>
      </c>
      <c r="AM16" s="63"/>
      <c r="AN16" s="63"/>
      <c r="AO16" s="64">
        <v>6803</v>
      </c>
      <c r="AP16" s="64">
        <v>10687</v>
      </c>
      <c r="AQ16" s="64">
        <f t="shared" si="13"/>
        <v>2030.53</v>
      </c>
      <c r="AR16" s="64">
        <f t="shared" si="14"/>
        <v>12717.53</v>
      </c>
      <c r="AS16" s="65"/>
      <c r="AT16" s="65">
        <f t="shared" si="15"/>
        <v>4058</v>
      </c>
      <c r="AU16" s="66">
        <f t="shared" si="16"/>
        <v>6803</v>
      </c>
      <c r="AV16" s="65">
        <f t="shared" si="17"/>
        <v>12717.53</v>
      </c>
      <c r="AW16" s="65"/>
      <c r="AX16" s="67">
        <f t="shared" si="1"/>
        <v>4058</v>
      </c>
      <c r="AY16" s="67">
        <f t="shared" si="2"/>
        <v>7859.5099999999993</v>
      </c>
      <c r="AZ16" s="67">
        <f t="shared" si="3"/>
        <v>6803</v>
      </c>
      <c r="BA16" s="67">
        <f t="shared" si="4"/>
        <v>7054.5897249207901</v>
      </c>
      <c r="BB16" s="67">
        <f t="shared" si="18"/>
        <v>3613.3110383967796</v>
      </c>
      <c r="BC16" s="68">
        <f t="shared" si="19"/>
        <v>0.45973744398782873</v>
      </c>
      <c r="BD16" s="67">
        <f t="shared" si="5"/>
        <v>4058</v>
      </c>
      <c r="BE16" s="67">
        <f t="shared" si="6"/>
        <v>12717.53</v>
      </c>
      <c r="BF16" s="67">
        <f t="shared" si="7"/>
        <v>5430.5</v>
      </c>
      <c r="BG16" s="67">
        <f t="shared" si="8"/>
        <v>9760.2649999999994</v>
      </c>
      <c r="BH16" s="67">
        <f t="shared" si="20"/>
        <v>8659.5300000000007</v>
      </c>
      <c r="BI16" s="67">
        <f t="shared" si="21"/>
        <v>9760</v>
      </c>
      <c r="BJ16" s="67">
        <f t="shared" si="22"/>
        <v>9760</v>
      </c>
      <c r="BK16" s="69" t="str">
        <f t="shared" si="9"/>
        <v>QUARTIL (Q3)</v>
      </c>
    </row>
    <row r="17" spans="5:63" ht="12.75" x14ac:dyDescent="0.2">
      <c r="E17" s="57">
        <f t="shared" si="10"/>
        <v>8</v>
      </c>
      <c r="F17" s="57">
        <v>2791301</v>
      </c>
      <c r="G17" s="58" t="s">
        <v>53</v>
      </c>
      <c r="H17" s="59" t="s">
        <v>43</v>
      </c>
      <c r="I17" s="59">
        <v>2</v>
      </c>
      <c r="J17" s="59">
        <v>0</v>
      </c>
      <c r="K17" s="59">
        <v>310</v>
      </c>
      <c r="L17" s="59">
        <v>279</v>
      </c>
      <c r="M17" s="59">
        <v>248</v>
      </c>
      <c r="N17" s="59">
        <v>217</v>
      </c>
      <c r="O17" s="59">
        <v>154</v>
      </c>
      <c r="P17" s="59">
        <v>372</v>
      </c>
      <c r="Q17" s="59">
        <v>64</v>
      </c>
      <c r="R17" s="59">
        <v>63</v>
      </c>
      <c r="S17" s="59">
        <v>154</v>
      </c>
      <c r="T17" s="59">
        <v>6</v>
      </c>
      <c r="U17" s="59">
        <v>217</v>
      </c>
      <c r="V17" s="59">
        <v>310</v>
      </c>
      <c r="W17" s="59">
        <v>651</v>
      </c>
      <c r="X17" s="59">
        <v>93</v>
      </c>
      <c r="Y17" s="59">
        <v>248</v>
      </c>
      <c r="Z17" s="59">
        <v>279</v>
      </c>
      <c r="AA17" s="59">
        <v>46</v>
      </c>
      <c r="AB17" s="59">
        <v>22</v>
      </c>
      <c r="AC17" s="59">
        <v>155</v>
      </c>
      <c r="AD17" s="57">
        <f t="shared" si="11"/>
        <v>3423</v>
      </c>
      <c r="AE17" s="57">
        <f t="shared" si="12"/>
        <v>465</v>
      </c>
      <c r="AF17" s="60">
        <f t="shared" si="23"/>
        <v>7776</v>
      </c>
      <c r="AG17" s="59" t="s">
        <v>43</v>
      </c>
      <c r="AH17" s="61">
        <v>11151703</v>
      </c>
      <c r="AI17" s="61" t="s">
        <v>44</v>
      </c>
      <c r="AJ17" s="61" t="s">
        <v>44</v>
      </c>
      <c r="AK17" s="62">
        <v>1414.1700000000003</v>
      </c>
      <c r="AL17" s="62">
        <f t="shared" si="0"/>
        <v>1486</v>
      </c>
      <c r="AM17" s="72"/>
      <c r="AN17" s="63"/>
      <c r="AO17" s="64">
        <v>4362</v>
      </c>
      <c r="AP17" s="73">
        <v>6784</v>
      </c>
      <c r="AQ17" s="64">
        <f t="shared" si="13"/>
        <v>1288.96</v>
      </c>
      <c r="AR17" s="64">
        <f t="shared" si="14"/>
        <v>8072.96</v>
      </c>
      <c r="AS17" s="65"/>
      <c r="AT17" s="65">
        <f t="shared" si="15"/>
        <v>1486</v>
      </c>
      <c r="AU17" s="66">
        <f t="shared" si="16"/>
        <v>4362</v>
      </c>
      <c r="AV17" s="65">
        <f t="shared" si="17"/>
        <v>8072.96</v>
      </c>
      <c r="AW17" s="65"/>
      <c r="AX17" s="67">
        <f t="shared" si="1"/>
        <v>1486</v>
      </c>
      <c r="AY17" s="67">
        <f t="shared" si="2"/>
        <v>4640.32</v>
      </c>
      <c r="AZ17" s="67">
        <f t="shared" si="3"/>
        <v>4362</v>
      </c>
      <c r="BA17" s="67">
        <f t="shared" si="4"/>
        <v>3740.3515583316689</v>
      </c>
      <c r="BB17" s="67">
        <f t="shared" si="18"/>
        <v>2696.3069839071859</v>
      </c>
      <c r="BC17" s="68">
        <f t="shared" si="19"/>
        <v>0.58106056994069077</v>
      </c>
      <c r="BD17" s="67">
        <f t="shared" si="5"/>
        <v>1486</v>
      </c>
      <c r="BE17" s="67">
        <f t="shared" si="6"/>
        <v>8072.96</v>
      </c>
      <c r="BF17" s="67">
        <f t="shared" si="7"/>
        <v>2924</v>
      </c>
      <c r="BG17" s="67">
        <f t="shared" si="8"/>
        <v>6217.48</v>
      </c>
      <c r="BH17" s="67">
        <f t="shared" si="20"/>
        <v>6586.96</v>
      </c>
      <c r="BI17" s="67">
        <f t="shared" si="21"/>
        <v>6217</v>
      </c>
      <c r="BJ17" s="67">
        <f t="shared" si="22"/>
        <v>12434</v>
      </c>
      <c r="BK17" s="69" t="str">
        <f t="shared" si="9"/>
        <v>QUARTIL (Q3)</v>
      </c>
    </row>
    <row r="18" spans="5:63" ht="25.5" x14ac:dyDescent="0.2">
      <c r="E18" s="57">
        <f t="shared" si="10"/>
        <v>9</v>
      </c>
      <c r="F18" s="57">
        <v>2799203</v>
      </c>
      <c r="G18" s="58" t="s">
        <v>54</v>
      </c>
      <c r="H18" s="59" t="s">
        <v>21</v>
      </c>
      <c r="I18" s="59">
        <v>1</v>
      </c>
      <c r="J18" s="59">
        <v>0</v>
      </c>
      <c r="K18" s="59">
        <v>310</v>
      </c>
      <c r="L18" s="59">
        <v>279</v>
      </c>
      <c r="M18" s="59">
        <v>248</v>
      </c>
      <c r="N18" s="59">
        <v>217</v>
      </c>
      <c r="O18" s="59">
        <v>154</v>
      </c>
      <c r="P18" s="59">
        <v>372</v>
      </c>
      <c r="Q18" s="59">
        <v>64</v>
      </c>
      <c r="R18" s="59">
        <v>63</v>
      </c>
      <c r="S18" s="59">
        <v>154</v>
      </c>
      <c r="T18" s="59">
        <v>6</v>
      </c>
      <c r="U18" s="59">
        <v>217</v>
      </c>
      <c r="V18" s="59">
        <v>310</v>
      </c>
      <c r="W18" s="59">
        <v>651</v>
      </c>
      <c r="X18" s="59">
        <v>93</v>
      </c>
      <c r="Y18" s="59">
        <v>248</v>
      </c>
      <c r="Z18" s="59">
        <v>279</v>
      </c>
      <c r="AA18" s="59">
        <v>46</v>
      </c>
      <c r="AB18" s="59">
        <v>22</v>
      </c>
      <c r="AC18" s="59">
        <v>155</v>
      </c>
      <c r="AD18" s="57">
        <f t="shared" si="11"/>
        <v>3423</v>
      </c>
      <c r="AE18" s="57">
        <f t="shared" si="12"/>
        <v>465</v>
      </c>
      <c r="AF18" s="60">
        <f t="shared" si="23"/>
        <v>3888</v>
      </c>
      <c r="AG18" s="59" t="s">
        <v>21</v>
      </c>
      <c r="AH18" s="61">
        <v>53102509</v>
      </c>
      <c r="AI18" s="61" t="s">
        <v>44</v>
      </c>
      <c r="AJ18" s="61" t="s">
        <v>55</v>
      </c>
      <c r="AK18" s="62">
        <v>2489.61</v>
      </c>
      <c r="AL18" s="62">
        <f t="shared" si="0"/>
        <v>2617</v>
      </c>
      <c r="AM18" s="72"/>
      <c r="AN18" s="63"/>
      <c r="AO18" s="64">
        <v>5946</v>
      </c>
      <c r="AP18" s="73">
        <v>13150</v>
      </c>
      <c r="AQ18" s="64">
        <f t="shared" si="13"/>
        <v>2498.5</v>
      </c>
      <c r="AR18" s="64">
        <f t="shared" si="14"/>
        <v>15648.5</v>
      </c>
      <c r="AS18" s="65"/>
      <c r="AT18" s="65">
        <f t="shared" si="15"/>
        <v>2617</v>
      </c>
      <c r="AU18" s="66">
        <f t="shared" si="16"/>
        <v>5946</v>
      </c>
      <c r="AV18" s="65">
        <f t="shared" si="17"/>
        <v>15648.5</v>
      </c>
      <c r="AW18" s="65"/>
      <c r="AX18" s="67">
        <f t="shared" si="1"/>
        <v>2617</v>
      </c>
      <c r="AY18" s="67">
        <f t="shared" si="2"/>
        <v>8070.5</v>
      </c>
      <c r="AZ18" s="67">
        <f t="shared" si="3"/>
        <v>5946</v>
      </c>
      <c r="BA18" s="67">
        <f t="shared" si="4"/>
        <v>6244.5399335139346</v>
      </c>
      <c r="BB18" s="67">
        <f t="shared" si="18"/>
        <v>5528.1174161432809</v>
      </c>
      <c r="BC18" s="68">
        <f t="shared" si="19"/>
        <v>0.68497830569893825</v>
      </c>
      <c r="BD18" s="67">
        <f t="shared" si="5"/>
        <v>2617</v>
      </c>
      <c r="BE18" s="67">
        <f t="shared" si="6"/>
        <v>15648.5</v>
      </c>
      <c r="BF18" s="67">
        <f t="shared" si="7"/>
        <v>4281.5</v>
      </c>
      <c r="BG18" s="67">
        <f t="shared" si="8"/>
        <v>10797.25</v>
      </c>
      <c r="BH18" s="67">
        <f t="shared" si="20"/>
        <v>13031.5</v>
      </c>
      <c r="BI18" s="67">
        <f t="shared" si="21"/>
        <v>8071</v>
      </c>
      <c r="BJ18" s="67">
        <f t="shared" si="22"/>
        <v>8071</v>
      </c>
      <c r="BK18" s="69" t="str">
        <f t="shared" si="9"/>
        <v>PROMEDIO</v>
      </c>
    </row>
    <row r="19" spans="5:63" ht="12.75" x14ac:dyDescent="0.2">
      <c r="E19" s="57">
        <f t="shared" si="10"/>
        <v>10</v>
      </c>
      <c r="F19" s="57">
        <v>2719097</v>
      </c>
      <c r="G19" s="58" t="s">
        <v>56</v>
      </c>
      <c r="H19" s="59" t="s">
        <v>43</v>
      </c>
      <c r="I19" s="59">
        <v>2</v>
      </c>
      <c r="J19" s="59">
        <v>0</v>
      </c>
      <c r="K19" s="59">
        <v>310</v>
      </c>
      <c r="L19" s="59">
        <v>279</v>
      </c>
      <c r="M19" s="59">
        <v>248</v>
      </c>
      <c r="N19" s="59">
        <v>217</v>
      </c>
      <c r="O19" s="59">
        <v>154</v>
      </c>
      <c r="P19" s="59">
        <v>372</v>
      </c>
      <c r="Q19" s="59">
        <v>64</v>
      </c>
      <c r="R19" s="59">
        <v>63</v>
      </c>
      <c r="S19" s="59">
        <v>154</v>
      </c>
      <c r="T19" s="59">
        <v>6</v>
      </c>
      <c r="U19" s="59">
        <v>217</v>
      </c>
      <c r="V19" s="59">
        <v>310</v>
      </c>
      <c r="W19" s="59">
        <v>651</v>
      </c>
      <c r="X19" s="59">
        <v>93</v>
      </c>
      <c r="Y19" s="59">
        <v>248</v>
      </c>
      <c r="Z19" s="59">
        <v>279</v>
      </c>
      <c r="AA19" s="59">
        <v>46</v>
      </c>
      <c r="AB19" s="59">
        <v>22</v>
      </c>
      <c r="AC19" s="59">
        <v>155</v>
      </c>
      <c r="AD19" s="57">
        <f t="shared" si="11"/>
        <v>3423</v>
      </c>
      <c r="AE19" s="57">
        <f t="shared" si="12"/>
        <v>465</v>
      </c>
      <c r="AF19" s="60">
        <f t="shared" si="23"/>
        <v>7776</v>
      </c>
      <c r="AG19" s="59" t="s">
        <v>43</v>
      </c>
      <c r="AH19" s="61">
        <v>53102512</v>
      </c>
      <c r="AI19" s="61" t="s">
        <v>44</v>
      </c>
      <c r="AJ19" s="61" t="s">
        <v>57</v>
      </c>
      <c r="AK19" s="62">
        <v>2108.5500000000002</v>
      </c>
      <c r="AL19" s="62">
        <f t="shared" si="0"/>
        <v>2216</v>
      </c>
      <c r="AM19" s="70"/>
      <c r="AN19" s="70"/>
      <c r="AO19" s="64">
        <v>4097</v>
      </c>
      <c r="AP19" s="64">
        <v>7950</v>
      </c>
      <c r="AQ19" s="64">
        <f t="shared" si="13"/>
        <v>1510.5</v>
      </c>
      <c r="AR19" s="64">
        <f t="shared" si="14"/>
        <v>9460.5</v>
      </c>
      <c r="AS19" s="65"/>
      <c r="AT19" s="65">
        <f t="shared" si="15"/>
        <v>2216</v>
      </c>
      <c r="AU19" s="66">
        <f t="shared" si="16"/>
        <v>4097</v>
      </c>
      <c r="AV19" s="65">
        <f t="shared" si="17"/>
        <v>9460.5</v>
      </c>
      <c r="AW19" s="65"/>
      <c r="AX19" s="67">
        <f t="shared" si="1"/>
        <v>2216</v>
      </c>
      <c r="AY19" s="67">
        <f t="shared" si="2"/>
        <v>5257.833333333333</v>
      </c>
      <c r="AZ19" s="67">
        <f t="shared" si="3"/>
        <v>4097</v>
      </c>
      <c r="BA19" s="67">
        <f t="shared" si="4"/>
        <v>4412.1466265290037</v>
      </c>
      <c r="BB19" s="67">
        <f>_xlfn.STDEV.P(AL19,AO19,AR19)</f>
        <v>3069.3479854124648</v>
      </c>
      <c r="BC19" s="68">
        <f t="shared" si="19"/>
        <v>0.58376669453433894</v>
      </c>
      <c r="BD19" s="67">
        <f t="shared" si="5"/>
        <v>2216</v>
      </c>
      <c r="BE19" s="67">
        <f t="shared" si="6"/>
        <v>9460.5</v>
      </c>
      <c r="BF19" s="67">
        <f t="shared" si="7"/>
        <v>3156.5</v>
      </c>
      <c r="BG19" s="67">
        <f t="shared" si="8"/>
        <v>6778.75</v>
      </c>
      <c r="BH19" s="67">
        <f t="shared" si="20"/>
        <v>7244.5</v>
      </c>
      <c r="BI19" s="67">
        <f t="shared" si="21"/>
        <v>6779</v>
      </c>
      <c r="BJ19" s="67">
        <f t="shared" si="22"/>
        <v>13558</v>
      </c>
      <c r="BK19" s="69" t="str">
        <f t="shared" si="9"/>
        <v>QUARTIL (Q3)</v>
      </c>
    </row>
    <row r="20" spans="5:63" ht="12.75" x14ac:dyDescent="0.2">
      <c r="E20" s="57">
        <f t="shared" si="10"/>
        <v>11</v>
      </c>
      <c r="F20" s="57">
        <v>2719099</v>
      </c>
      <c r="G20" s="74" t="s">
        <v>58</v>
      </c>
      <c r="H20" s="59" t="s">
        <v>43</v>
      </c>
      <c r="I20" s="59">
        <v>1</v>
      </c>
      <c r="J20" s="59">
        <v>0</v>
      </c>
      <c r="K20" s="59">
        <v>310</v>
      </c>
      <c r="L20" s="59">
        <v>279</v>
      </c>
      <c r="M20" s="59">
        <v>248</v>
      </c>
      <c r="N20" s="59">
        <v>217</v>
      </c>
      <c r="O20" s="59">
        <v>154</v>
      </c>
      <c r="P20" s="59">
        <v>372</v>
      </c>
      <c r="Q20" s="59">
        <v>64</v>
      </c>
      <c r="R20" s="59">
        <v>63</v>
      </c>
      <c r="S20" s="59">
        <v>154</v>
      </c>
      <c r="T20" s="59">
        <v>6</v>
      </c>
      <c r="U20" s="59">
        <v>217</v>
      </c>
      <c r="V20" s="59">
        <v>310</v>
      </c>
      <c r="W20" s="59">
        <v>651</v>
      </c>
      <c r="X20" s="59">
        <v>93</v>
      </c>
      <c r="Y20" s="59">
        <v>248</v>
      </c>
      <c r="Z20" s="59">
        <v>279</v>
      </c>
      <c r="AA20" s="59">
        <v>46</v>
      </c>
      <c r="AB20" s="59">
        <v>22</v>
      </c>
      <c r="AC20" s="59">
        <v>155</v>
      </c>
      <c r="AD20" s="57">
        <f t="shared" si="11"/>
        <v>3423</v>
      </c>
      <c r="AE20" s="57">
        <f>O20+Q20+S20+X20</f>
        <v>465</v>
      </c>
      <c r="AF20" s="60">
        <f t="shared" si="23"/>
        <v>3888</v>
      </c>
      <c r="AG20" s="59" t="s">
        <v>43</v>
      </c>
      <c r="AH20" s="57">
        <v>53121601</v>
      </c>
      <c r="AI20" s="61" t="s">
        <v>44</v>
      </c>
      <c r="AJ20" s="61" t="s">
        <v>44</v>
      </c>
      <c r="AK20" s="62">
        <v>4208.6400000000012</v>
      </c>
      <c r="AL20" s="62">
        <f t="shared" si="0"/>
        <v>4423</v>
      </c>
      <c r="AM20" s="72"/>
      <c r="AN20" s="63"/>
      <c r="AO20" s="64">
        <v>7843</v>
      </c>
      <c r="AP20" s="73">
        <v>19845</v>
      </c>
      <c r="AQ20" s="64">
        <f t="shared" si="13"/>
        <v>3770.55</v>
      </c>
      <c r="AR20" s="64">
        <f t="shared" si="14"/>
        <v>23615.55</v>
      </c>
      <c r="AS20" s="65"/>
      <c r="AT20" s="65">
        <f t="shared" si="15"/>
        <v>4423</v>
      </c>
      <c r="AU20" s="66">
        <f t="shared" si="16"/>
        <v>7843</v>
      </c>
      <c r="AV20" s="65">
        <f t="shared" si="17"/>
        <v>23615.55</v>
      </c>
      <c r="AW20" s="65"/>
      <c r="AX20" s="67">
        <f t="shared" si="1"/>
        <v>4423</v>
      </c>
      <c r="AY20" s="67">
        <f t="shared" si="2"/>
        <v>11960.516666666668</v>
      </c>
      <c r="AZ20" s="67">
        <f t="shared" si="3"/>
        <v>7843</v>
      </c>
      <c r="BA20" s="67">
        <f t="shared" si="4"/>
        <v>9356.9090117076357</v>
      </c>
      <c r="BB20" s="67">
        <f t="shared" si="18"/>
        <v>8358.7858568428201</v>
      </c>
      <c r="BC20" s="68">
        <f t="shared" si="19"/>
        <v>0.69886494787790543</v>
      </c>
      <c r="BD20" s="67">
        <f t="shared" si="5"/>
        <v>4423</v>
      </c>
      <c r="BE20" s="67">
        <f t="shared" si="6"/>
        <v>23615.55</v>
      </c>
      <c r="BF20" s="67">
        <f t="shared" si="7"/>
        <v>6133</v>
      </c>
      <c r="BG20" s="67">
        <f t="shared" si="8"/>
        <v>15729.275</v>
      </c>
      <c r="BH20" s="67">
        <f t="shared" si="20"/>
        <v>19192.55</v>
      </c>
      <c r="BI20" s="67">
        <f t="shared" si="21"/>
        <v>11961</v>
      </c>
      <c r="BJ20" s="67">
        <f t="shared" si="22"/>
        <v>11961</v>
      </c>
      <c r="BK20" s="69" t="str">
        <f t="shared" si="9"/>
        <v>PROMEDIO</v>
      </c>
    </row>
    <row r="21" spans="5:63" ht="28.5" customHeight="1" x14ac:dyDescent="0.2">
      <c r="E21" s="57">
        <f t="shared" si="10"/>
        <v>12</v>
      </c>
      <c r="F21" s="57">
        <v>2732099</v>
      </c>
      <c r="G21" s="58" t="s">
        <v>59</v>
      </c>
      <c r="H21" s="61" t="s">
        <v>60</v>
      </c>
      <c r="I21" s="61">
        <v>1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154</v>
      </c>
      <c r="P21" s="59">
        <v>0</v>
      </c>
      <c r="Q21" s="59">
        <v>64</v>
      </c>
      <c r="R21" s="59">
        <v>0</v>
      </c>
      <c r="S21" s="59">
        <v>154</v>
      </c>
      <c r="T21" s="59">
        <v>0</v>
      </c>
      <c r="U21" s="59">
        <v>0</v>
      </c>
      <c r="V21" s="59">
        <v>0</v>
      </c>
      <c r="W21" s="59">
        <v>0</v>
      </c>
      <c r="X21" s="59">
        <v>93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7">
        <v>0</v>
      </c>
      <c r="AE21" s="57">
        <f>O21+Q21+S21+X21</f>
        <v>465</v>
      </c>
      <c r="AF21" s="60">
        <f>I21*(AD21+AE21)</f>
        <v>465</v>
      </c>
      <c r="AG21" s="61" t="s">
        <v>60</v>
      </c>
      <c r="AH21" s="61">
        <v>53102513</v>
      </c>
      <c r="AI21" s="61" t="s">
        <v>44</v>
      </c>
      <c r="AJ21" s="61" t="s">
        <v>44</v>
      </c>
      <c r="AK21" s="62">
        <v>3302.55</v>
      </c>
      <c r="AL21" s="62">
        <f t="shared" si="0"/>
        <v>3471</v>
      </c>
      <c r="AM21" s="72"/>
      <c r="AN21" s="63"/>
      <c r="AO21" s="64">
        <v>5017</v>
      </c>
      <c r="AP21" s="73">
        <v>15420</v>
      </c>
      <c r="AQ21" s="64">
        <f t="shared" si="13"/>
        <v>2929.8</v>
      </c>
      <c r="AR21" s="64">
        <f t="shared" si="14"/>
        <v>18349.8</v>
      </c>
      <c r="AS21" s="65"/>
      <c r="AT21" s="65">
        <f t="shared" si="15"/>
        <v>3471</v>
      </c>
      <c r="AU21" s="66">
        <f t="shared" si="16"/>
        <v>5017</v>
      </c>
      <c r="AV21" s="65">
        <f t="shared" si="17"/>
        <v>18349.8</v>
      </c>
      <c r="AW21" s="65"/>
      <c r="AX21" s="67">
        <f t="shared" si="1"/>
        <v>3471</v>
      </c>
      <c r="AY21" s="67">
        <f t="shared" si="2"/>
        <v>8945.9333333333325</v>
      </c>
      <c r="AZ21" s="67">
        <f t="shared" si="3"/>
        <v>5017</v>
      </c>
      <c r="BA21" s="67">
        <f t="shared" si="4"/>
        <v>6836.6500476431765</v>
      </c>
      <c r="BB21" s="67">
        <f t="shared" si="18"/>
        <v>6679.4241375203055</v>
      </c>
      <c r="BC21" s="68">
        <f t="shared" si="19"/>
        <v>0.74664362997566558</v>
      </c>
      <c r="BD21" s="67">
        <f t="shared" si="5"/>
        <v>3471</v>
      </c>
      <c r="BE21" s="67">
        <f t="shared" si="6"/>
        <v>18349.8</v>
      </c>
      <c r="BF21" s="67">
        <f t="shared" si="7"/>
        <v>4244</v>
      </c>
      <c r="BG21" s="67">
        <f t="shared" si="8"/>
        <v>11683.4</v>
      </c>
      <c r="BH21" s="67">
        <f t="shared" si="20"/>
        <v>14878.8</v>
      </c>
      <c r="BI21" s="67">
        <f t="shared" si="21"/>
        <v>8946</v>
      </c>
      <c r="BJ21" s="67">
        <f t="shared" si="22"/>
        <v>8946</v>
      </c>
      <c r="BK21" s="67" t="str">
        <f t="shared" si="9"/>
        <v>PROMEDIO</v>
      </c>
    </row>
    <row r="22" spans="5:63" ht="23.25" customHeight="1" x14ac:dyDescent="0.25">
      <c r="E22" s="17" t="s">
        <v>24</v>
      </c>
      <c r="F22" s="18"/>
      <c r="G22" s="75"/>
      <c r="H22" s="17" t="s">
        <v>25</v>
      </c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75"/>
      <c r="AK22" s="76"/>
      <c r="AL22" s="76"/>
      <c r="AM22" s="77"/>
      <c r="AN22" s="78"/>
      <c r="AO22" s="78"/>
      <c r="AP22" s="77"/>
      <c r="AQ22" s="64"/>
      <c r="AR22" s="79"/>
      <c r="AS22" s="65"/>
      <c r="AT22" s="65"/>
      <c r="AU22" s="66"/>
      <c r="AV22" s="65"/>
      <c r="AW22" s="65"/>
      <c r="AX22" s="80"/>
      <c r="AY22" s="80"/>
      <c r="AZ22" s="80"/>
      <c r="BA22" s="80"/>
      <c r="BB22" s="80"/>
      <c r="BC22" s="81"/>
      <c r="BD22" s="80"/>
      <c r="BE22" s="80"/>
      <c r="BF22" s="80"/>
      <c r="BG22" s="80"/>
      <c r="BH22" s="80"/>
      <c r="BI22" s="80"/>
      <c r="BJ22" s="80"/>
      <c r="BK22" s="80"/>
    </row>
    <row r="23" spans="5:63" ht="12.75" x14ac:dyDescent="0.25">
      <c r="E23" s="17" t="s">
        <v>61</v>
      </c>
      <c r="F23" s="18"/>
      <c r="G23" s="75"/>
      <c r="H23" s="17" t="s">
        <v>62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75"/>
      <c r="AK23" s="76"/>
      <c r="AL23" s="76"/>
      <c r="AM23" s="78"/>
      <c r="AN23" s="78"/>
      <c r="AO23" s="78"/>
      <c r="AP23" s="78"/>
      <c r="AQ23" s="64"/>
      <c r="AR23" s="79"/>
      <c r="AS23" s="65"/>
      <c r="AT23" s="65"/>
      <c r="AU23" s="66"/>
      <c r="AV23" s="65"/>
      <c r="AW23" s="65"/>
      <c r="AX23" s="80"/>
      <c r="AY23" s="80"/>
      <c r="AZ23" s="80"/>
      <c r="BA23" s="80"/>
      <c r="BB23" s="80"/>
      <c r="BC23" s="81"/>
      <c r="BD23" s="80"/>
      <c r="BE23" s="80"/>
      <c r="BF23" s="80"/>
      <c r="BG23" s="80"/>
      <c r="BH23" s="80"/>
      <c r="BI23" s="80"/>
      <c r="BJ23" s="80"/>
      <c r="BK23" s="80"/>
    </row>
    <row r="24" spans="5:63" ht="12.75" customHeight="1" x14ac:dyDescent="0.25">
      <c r="E24" s="30" t="s">
        <v>28</v>
      </c>
      <c r="F24" s="31" t="s">
        <v>15</v>
      </c>
      <c r="G24" s="31" t="s">
        <v>29</v>
      </c>
      <c r="H24" s="31" t="s">
        <v>20</v>
      </c>
      <c r="I24" s="33" t="s">
        <v>30</v>
      </c>
      <c r="J24" s="31" t="s">
        <v>31</v>
      </c>
      <c r="K24" s="17" t="s">
        <v>63</v>
      </c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3"/>
      <c r="AC24" s="84"/>
      <c r="AD24" s="31" t="s">
        <v>33</v>
      </c>
      <c r="AE24" s="31" t="s">
        <v>34</v>
      </c>
      <c r="AF24" s="31" t="s">
        <v>35</v>
      </c>
      <c r="AG24" s="31" t="s">
        <v>0</v>
      </c>
      <c r="AH24" s="31" t="s">
        <v>138</v>
      </c>
      <c r="AI24" s="31" t="s">
        <v>36</v>
      </c>
      <c r="AJ24" s="85" t="s">
        <v>37</v>
      </c>
      <c r="AK24" s="76"/>
      <c r="AL24" s="76"/>
      <c r="AM24" s="77"/>
      <c r="AN24" s="78"/>
      <c r="AO24" s="78"/>
      <c r="AP24" s="77"/>
      <c r="AQ24" s="64"/>
      <c r="AR24" s="79"/>
      <c r="AS24" s="65"/>
      <c r="AT24" s="65"/>
      <c r="AU24" s="66"/>
      <c r="AV24" s="65"/>
      <c r="AW24" s="65"/>
      <c r="AX24" s="80"/>
      <c r="AY24" s="80"/>
      <c r="AZ24" s="80"/>
      <c r="BA24" s="80"/>
      <c r="BB24" s="80"/>
      <c r="BC24" s="81"/>
      <c r="BD24" s="80"/>
      <c r="BE24" s="80"/>
      <c r="BF24" s="80"/>
      <c r="BG24" s="80"/>
      <c r="BH24" s="80"/>
      <c r="BI24" s="80"/>
      <c r="BJ24" s="80"/>
      <c r="BK24" s="80"/>
    </row>
    <row r="25" spans="5:63" ht="79.5" customHeight="1" x14ac:dyDescent="0.2">
      <c r="E25" s="43"/>
      <c r="F25" s="44"/>
      <c r="G25" s="44"/>
      <c r="H25" s="43"/>
      <c r="I25" s="45"/>
      <c r="J25" s="43"/>
      <c r="K25" s="46" t="s">
        <v>107</v>
      </c>
      <c r="L25" s="46" t="s">
        <v>108</v>
      </c>
      <c r="M25" s="46" t="s">
        <v>109</v>
      </c>
      <c r="N25" s="46" t="s">
        <v>110</v>
      </c>
      <c r="O25" s="47" t="s">
        <v>38</v>
      </c>
      <c r="P25" s="48" t="s">
        <v>111</v>
      </c>
      <c r="Q25" s="47" t="s">
        <v>39</v>
      </c>
      <c r="R25" s="48" t="s">
        <v>112</v>
      </c>
      <c r="S25" s="47" t="s">
        <v>40</v>
      </c>
      <c r="T25" s="48" t="s">
        <v>113</v>
      </c>
      <c r="U25" s="48" t="s">
        <v>114</v>
      </c>
      <c r="V25" s="48" t="s">
        <v>115</v>
      </c>
      <c r="W25" s="48" t="s">
        <v>116</v>
      </c>
      <c r="X25" s="47" t="s">
        <v>41</v>
      </c>
      <c r="Y25" s="46" t="s">
        <v>117</v>
      </c>
      <c r="Z25" s="46" t="s">
        <v>118</v>
      </c>
      <c r="AA25" s="46" t="s">
        <v>119</v>
      </c>
      <c r="AB25" s="48" t="s">
        <v>120</v>
      </c>
      <c r="AC25" s="46" t="s">
        <v>121</v>
      </c>
      <c r="AD25" s="43"/>
      <c r="AE25" s="44"/>
      <c r="AF25" s="43"/>
      <c r="AG25" s="43"/>
      <c r="AH25" s="43"/>
      <c r="AI25" s="49"/>
      <c r="AJ25" s="50"/>
      <c r="AK25" s="76"/>
      <c r="AL25" s="76"/>
      <c r="AM25" s="77"/>
      <c r="AN25" s="78"/>
      <c r="AO25" s="78"/>
      <c r="AP25" s="77"/>
      <c r="AQ25" s="64"/>
      <c r="AR25" s="79"/>
      <c r="AS25" s="65"/>
      <c r="AT25" s="65"/>
      <c r="AU25" s="66"/>
      <c r="AV25" s="65"/>
      <c r="AW25" s="65"/>
      <c r="AX25" s="80"/>
      <c r="AY25" s="80"/>
      <c r="AZ25" s="80"/>
      <c r="BA25" s="80"/>
      <c r="BB25" s="80"/>
      <c r="BC25" s="81"/>
      <c r="BD25" s="80"/>
      <c r="BE25" s="80"/>
      <c r="BF25" s="80"/>
      <c r="BG25" s="80"/>
      <c r="BH25" s="80"/>
      <c r="BI25" s="80"/>
      <c r="BJ25" s="80"/>
      <c r="BK25" s="80"/>
    </row>
    <row r="26" spans="5:63" ht="31.5" customHeight="1" x14ac:dyDescent="0.2">
      <c r="E26" s="57">
        <f>E21+1</f>
        <v>13</v>
      </c>
      <c r="F26" s="57">
        <v>2821001</v>
      </c>
      <c r="G26" s="58" t="s">
        <v>64</v>
      </c>
      <c r="H26" s="57" t="s">
        <v>21</v>
      </c>
      <c r="I26" s="57">
        <v>1</v>
      </c>
      <c r="J26" s="59">
        <v>0</v>
      </c>
      <c r="K26" s="59">
        <v>310</v>
      </c>
      <c r="L26" s="59">
        <v>279</v>
      </c>
      <c r="M26" s="59">
        <v>248</v>
      </c>
      <c r="N26" s="59">
        <v>217</v>
      </c>
      <c r="O26" s="59">
        <v>154</v>
      </c>
      <c r="P26" s="59">
        <v>372</v>
      </c>
      <c r="Q26" s="59">
        <v>64</v>
      </c>
      <c r="R26" s="59">
        <v>63</v>
      </c>
      <c r="S26" s="59">
        <v>154</v>
      </c>
      <c r="T26" s="59">
        <v>6</v>
      </c>
      <c r="U26" s="59">
        <v>217</v>
      </c>
      <c r="V26" s="59">
        <v>310</v>
      </c>
      <c r="W26" s="59">
        <v>651</v>
      </c>
      <c r="X26" s="59">
        <v>93</v>
      </c>
      <c r="Y26" s="59">
        <v>248</v>
      </c>
      <c r="Z26" s="59">
        <v>279</v>
      </c>
      <c r="AA26" s="59">
        <v>46</v>
      </c>
      <c r="AB26" s="59">
        <v>22</v>
      </c>
      <c r="AC26" s="59">
        <v>155</v>
      </c>
      <c r="AD26" s="57">
        <f t="shared" ref="AD26:AD30" si="24">SUM(K26,L26,M26,N26,P26,R26,T26,U26,V26,W26,Y26,Z26,AA26,AB26,AC26)</f>
        <v>3423</v>
      </c>
      <c r="AE26" s="57">
        <f t="shared" ref="AE26:AE30" si="25">O26+Q26+S26+X26</f>
        <v>465</v>
      </c>
      <c r="AF26" s="60">
        <f>I26*(AD26+AE26)</f>
        <v>3888</v>
      </c>
      <c r="AG26" s="57" t="s">
        <v>21</v>
      </c>
      <c r="AH26" s="61">
        <v>53102402</v>
      </c>
      <c r="AI26" s="61" t="s">
        <v>44</v>
      </c>
      <c r="AJ26" s="61" t="s">
        <v>44</v>
      </c>
      <c r="AK26" s="62">
        <v>4471.1499999999996</v>
      </c>
      <c r="AL26" s="62">
        <f>+ROUND(AK26*($AL$5+1),0)</f>
        <v>4699</v>
      </c>
      <c r="AM26" s="72"/>
      <c r="AN26" s="63"/>
      <c r="AO26" s="64">
        <v>6642</v>
      </c>
      <c r="AP26" s="73">
        <v>11985</v>
      </c>
      <c r="AQ26" s="64">
        <f t="shared" si="13"/>
        <v>2277.15</v>
      </c>
      <c r="AR26" s="64">
        <f t="shared" si="14"/>
        <v>14262.15</v>
      </c>
      <c r="AS26" s="65"/>
      <c r="AT26" s="65">
        <f t="shared" si="15"/>
        <v>4699</v>
      </c>
      <c r="AU26" s="66">
        <f t="shared" si="16"/>
        <v>6642</v>
      </c>
      <c r="AV26" s="65">
        <f t="shared" si="17"/>
        <v>14262.15</v>
      </c>
      <c r="AW26" s="65"/>
      <c r="AX26" s="67">
        <f>MIN(AL26,AO26,AR26)</f>
        <v>4699</v>
      </c>
      <c r="AY26" s="67">
        <f>AVERAGE(AL26,AO26,AR26)</f>
        <v>8534.3833333333332</v>
      </c>
      <c r="AZ26" s="67">
        <f>MEDIAN(AL26,AO26,AR26)</f>
        <v>6642</v>
      </c>
      <c r="BA26" s="67">
        <f>GEOMEAN(AL26,AO26,AR26)</f>
        <v>7635.3644579748288</v>
      </c>
      <c r="BB26" s="67">
        <f>_xlfn.STDEV.P(AL26,AO26,AR26)</f>
        <v>4127.089005649811</v>
      </c>
      <c r="BC26" s="68">
        <f>BB26/AY26</f>
        <v>0.4835837393816555</v>
      </c>
      <c r="BD26" s="67">
        <f>+SMALL(AT26:AV26,1)</f>
        <v>4699</v>
      </c>
      <c r="BE26" s="67">
        <f>LARGE(AT26:AV26,1)</f>
        <v>14262.15</v>
      </c>
      <c r="BF26" s="67">
        <f>QUARTILE(AT26:AV26,1)</f>
        <v>5670.5</v>
      </c>
      <c r="BG26" s="67">
        <f>QUARTILE(AT26:AV26,3)</f>
        <v>10452.075000000001</v>
      </c>
      <c r="BH26" s="67">
        <f>_xlfn.QUARTILE.EXC(AT26:AV26,3)-_xlfn.QUARTILE.EXC(AT26:AV26,1)</f>
        <v>9563.15</v>
      </c>
      <c r="BI26" s="67">
        <f t="shared" si="21"/>
        <v>10452</v>
      </c>
      <c r="BJ26" s="67">
        <f>+BI26*I26</f>
        <v>10452</v>
      </c>
      <c r="BK26" s="69" t="str">
        <f>IF(BC26&lt;=$AX$2,"QUARTIL (Q3)","PROMEDIO")</f>
        <v>QUARTIL (Q3)</v>
      </c>
    </row>
    <row r="27" spans="5:63" ht="25.5" x14ac:dyDescent="0.2">
      <c r="E27" s="57">
        <f t="shared" ref="E27:E30" si="26">E26+1</f>
        <v>14</v>
      </c>
      <c r="F27" s="57">
        <v>2822806</v>
      </c>
      <c r="G27" s="58" t="s">
        <v>65</v>
      </c>
      <c r="H27" s="57" t="s">
        <v>60</v>
      </c>
      <c r="I27" s="57">
        <v>1</v>
      </c>
      <c r="J27" s="59">
        <v>0</v>
      </c>
      <c r="K27" s="59">
        <v>310</v>
      </c>
      <c r="L27" s="59">
        <v>279</v>
      </c>
      <c r="M27" s="59">
        <v>248</v>
      </c>
      <c r="N27" s="59">
        <v>217</v>
      </c>
      <c r="O27" s="59">
        <v>154</v>
      </c>
      <c r="P27" s="59">
        <v>372</v>
      </c>
      <c r="Q27" s="59">
        <v>64</v>
      </c>
      <c r="R27" s="59">
        <v>63</v>
      </c>
      <c r="S27" s="59">
        <v>154</v>
      </c>
      <c r="T27" s="59">
        <v>6</v>
      </c>
      <c r="U27" s="59">
        <v>217</v>
      </c>
      <c r="V27" s="59">
        <v>310</v>
      </c>
      <c r="W27" s="59">
        <v>651</v>
      </c>
      <c r="X27" s="59">
        <v>93</v>
      </c>
      <c r="Y27" s="59">
        <v>248</v>
      </c>
      <c r="Z27" s="59">
        <v>279</v>
      </c>
      <c r="AA27" s="59">
        <v>46</v>
      </c>
      <c r="AB27" s="59">
        <v>22</v>
      </c>
      <c r="AC27" s="59">
        <v>155</v>
      </c>
      <c r="AD27" s="57">
        <f t="shared" si="24"/>
        <v>3423</v>
      </c>
      <c r="AE27" s="57">
        <f t="shared" si="25"/>
        <v>465</v>
      </c>
      <c r="AF27" s="60">
        <f>I27*(AD27+AE27)</f>
        <v>3888</v>
      </c>
      <c r="AG27" s="57" t="s">
        <v>60</v>
      </c>
      <c r="AH27" s="61">
        <v>53102701</v>
      </c>
      <c r="AI27" s="61" t="s">
        <v>44</v>
      </c>
      <c r="AJ27" s="61" t="s">
        <v>44</v>
      </c>
      <c r="AK27" s="62">
        <v>25065.57</v>
      </c>
      <c r="AL27" s="62">
        <f>+ROUND(AK27*($AL$5+1),0)</f>
        <v>26344</v>
      </c>
      <c r="AM27" s="72"/>
      <c r="AN27" s="63"/>
      <c r="AO27" s="64">
        <v>63800</v>
      </c>
      <c r="AP27" s="73">
        <v>59874</v>
      </c>
      <c r="AQ27" s="64">
        <f t="shared" si="13"/>
        <v>11376.06</v>
      </c>
      <c r="AR27" s="64">
        <f t="shared" si="14"/>
        <v>71250.06</v>
      </c>
      <c r="AS27" s="65"/>
      <c r="AT27" s="65">
        <f t="shared" si="15"/>
        <v>26344</v>
      </c>
      <c r="AU27" s="66">
        <f t="shared" si="16"/>
        <v>63800</v>
      </c>
      <c r="AV27" s="65">
        <f t="shared" si="17"/>
        <v>71250.06</v>
      </c>
      <c r="AW27" s="65"/>
      <c r="AX27" s="67">
        <f>MIN(AL27,AO27,AR27)</f>
        <v>26344</v>
      </c>
      <c r="AY27" s="67">
        <f>AVERAGE(AL27,AO27,AR27)</f>
        <v>53798.02</v>
      </c>
      <c r="AZ27" s="67">
        <f>MEDIAN(AL27,AO27,AR27)</f>
        <v>63800</v>
      </c>
      <c r="BA27" s="67">
        <f>GEOMEAN(AL27,AO27,AR27)</f>
        <v>49290.42282008582</v>
      </c>
      <c r="BB27" s="67">
        <f>_xlfn.STDEV.P(AL27,AO27,AR27)</f>
        <v>19649.737218280225</v>
      </c>
      <c r="BC27" s="68">
        <f t="shared" ref="BC27:BC73" si="27">BB27/AY27</f>
        <v>0.3652501935625182</v>
      </c>
      <c r="BD27" s="67">
        <f>+SMALL(AT27:AV27,1)</f>
        <v>26344</v>
      </c>
      <c r="BE27" s="67">
        <f>LARGE(AT27:AV27,1)</f>
        <v>71250.06</v>
      </c>
      <c r="BF27" s="67">
        <f>QUARTILE(AT27:AV27,1)</f>
        <v>45072</v>
      </c>
      <c r="BG27" s="67">
        <f>QUARTILE(AT27:AV27,3)</f>
        <v>67525.03</v>
      </c>
      <c r="BH27" s="67">
        <f>_xlfn.QUARTILE.EXC(AT27:AV27,3)-_xlfn.QUARTILE.EXC(AT27:AV27,1)</f>
        <v>44906.06</v>
      </c>
      <c r="BI27" s="67">
        <f t="shared" si="21"/>
        <v>67525</v>
      </c>
      <c r="BJ27" s="67">
        <f>+BI27*I27</f>
        <v>67525</v>
      </c>
      <c r="BK27" s="69" t="str">
        <f>IF(BC27&lt;=$AX$2,"QUARTIL (Q3)","PROMEDIO")</f>
        <v>QUARTIL (Q3)</v>
      </c>
    </row>
    <row r="28" spans="5:63" ht="12.75" x14ac:dyDescent="0.2">
      <c r="E28" s="57">
        <f t="shared" si="26"/>
        <v>15</v>
      </c>
      <c r="F28" s="57">
        <v>2824302</v>
      </c>
      <c r="G28" s="58" t="s">
        <v>66</v>
      </c>
      <c r="H28" s="57" t="s">
        <v>21</v>
      </c>
      <c r="I28" s="57">
        <v>1</v>
      </c>
      <c r="J28" s="59">
        <v>0</v>
      </c>
      <c r="K28" s="59">
        <v>310</v>
      </c>
      <c r="L28" s="59">
        <v>279</v>
      </c>
      <c r="M28" s="59">
        <v>248</v>
      </c>
      <c r="N28" s="59">
        <v>217</v>
      </c>
      <c r="O28" s="59">
        <v>154</v>
      </c>
      <c r="P28" s="59">
        <v>372</v>
      </c>
      <c r="Q28" s="59">
        <v>64</v>
      </c>
      <c r="R28" s="59">
        <v>63</v>
      </c>
      <c r="S28" s="59">
        <v>154</v>
      </c>
      <c r="T28" s="59">
        <v>6</v>
      </c>
      <c r="U28" s="59">
        <v>217</v>
      </c>
      <c r="V28" s="59">
        <v>310</v>
      </c>
      <c r="W28" s="59">
        <v>651</v>
      </c>
      <c r="X28" s="59">
        <v>93</v>
      </c>
      <c r="Y28" s="59">
        <v>248</v>
      </c>
      <c r="Z28" s="59">
        <v>279</v>
      </c>
      <c r="AA28" s="59">
        <v>46</v>
      </c>
      <c r="AB28" s="59">
        <v>22</v>
      </c>
      <c r="AC28" s="59">
        <v>155</v>
      </c>
      <c r="AD28" s="57">
        <f t="shared" si="24"/>
        <v>3423</v>
      </c>
      <c r="AE28" s="57">
        <f t="shared" si="25"/>
        <v>465</v>
      </c>
      <c r="AF28" s="60">
        <f>I28*(AD28+AE28)</f>
        <v>3888</v>
      </c>
      <c r="AG28" s="57" t="s">
        <v>21</v>
      </c>
      <c r="AH28" s="61">
        <v>53111801</v>
      </c>
      <c r="AI28" s="61" t="s">
        <v>44</v>
      </c>
      <c r="AJ28" s="61" t="s">
        <v>44</v>
      </c>
      <c r="AK28" s="62">
        <v>6850.6900000000005</v>
      </c>
      <c r="AL28" s="62">
        <f>+ROUND(AK28*($AL$5+1),0)</f>
        <v>7200</v>
      </c>
      <c r="AM28" s="70"/>
      <c r="AN28" s="70"/>
      <c r="AO28" s="64">
        <v>9994</v>
      </c>
      <c r="AP28" s="64">
        <v>17450</v>
      </c>
      <c r="AQ28" s="64">
        <f t="shared" si="13"/>
        <v>3315.5</v>
      </c>
      <c r="AR28" s="64">
        <f t="shared" si="14"/>
        <v>20765.5</v>
      </c>
      <c r="AS28" s="65"/>
      <c r="AT28" s="65">
        <f t="shared" si="15"/>
        <v>7200</v>
      </c>
      <c r="AU28" s="66">
        <f t="shared" si="16"/>
        <v>9994</v>
      </c>
      <c r="AV28" s="65">
        <f t="shared" si="17"/>
        <v>20765.5</v>
      </c>
      <c r="AW28" s="65"/>
      <c r="AX28" s="67">
        <f>MIN(AL28,AO28,AR28)</f>
        <v>7200</v>
      </c>
      <c r="AY28" s="67">
        <f>AVERAGE(AL28,AO28,AR28)</f>
        <v>12653.166666666666</v>
      </c>
      <c r="AZ28" s="67">
        <f>MEDIAN(AL28,AO28,AR28)</f>
        <v>9994</v>
      </c>
      <c r="BA28" s="67">
        <f>GEOMEAN(AL28,AO28,AR28)</f>
        <v>11432.417553168409</v>
      </c>
      <c r="BB28" s="67">
        <f>_xlfn.STDEV.P(AL28,AO28,AR28)</f>
        <v>5848.593738859131</v>
      </c>
      <c r="BC28" s="68">
        <f t="shared" si="27"/>
        <v>0.46222371781971294</v>
      </c>
      <c r="BD28" s="67">
        <f>+SMALL(AT28:AV28,1)</f>
        <v>7200</v>
      </c>
      <c r="BE28" s="67">
        <f>LARGE(AT28:AV28,1)</f>
        <v>20765.5</v>
      </c>
      <c r="BF28" s="67">
        <f>QUARTILE(AT28:AV28,1)</f>
        <v>8597</v>
      </c>
      <c r="BG28" s="67">
        <f>QUARTILE(AT28:AV28,3)</f>
        <v>15379.75</v>
      </c>
      <c r="BH28" s="67">
        <f>_xlfn.QUARTILE.EXC(AT28:AV28,3)-_xlfn.QUARTILE.EXC(AT28:AV28,1)</f>
        <v>13565.5</v>
      </c>
      <c r="BI28" s="67">
        <f t="shared" si="21"/>
        <v>15380</v>
      </c>
      <c r="BJ28" s="67">
        <f>+BI28*I28</f>
        <v>15380</v>
      </c>
      <c r="BK28" s="69" t="str">
        <f>IF(BC28&lt;=$AX$2,"QUARTIL (Q3)","PROMEDIO")</f>
        <v>QUARTIL (Q3)</v>
      </c>
    </row>
    <row r="29" spans="5:63" ht="25.5" x14ac:dyDescent="0.2">
      <c r="E29" s="57">
        <f t="shared" si="26"/>
        <v>16</v>
      </c>
      <c r="F29" s="57">
        <v>2822401</v>
      </c>
      <c r="G29" s="74" t="s">
        <v>146</v>
      </c>
      <c r="H29" s="57" t="s">
        <v>60</v>
      </c>
      <c r="I29" s="57">
        <v>1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154</v>
      </c>
      <c r="P29" s="59">
        <v>0</v>
      </c>
      <c r="Q29" s="59">
        <v>64</v>
      </c>
      <c r="R29" s="59">
        <v>0</v>
      </c>
      <c r="S29" s="59">
        <v>154</v>
      </c>
      <c r="T29" s="59">
        <v>0</v>
      </c>
      <c r="U29" s="59">
        <v>0</v>
      </c>
      <c r="V29" s="59">
        <v>0</v>
      </c>
      <c r="W29" s="59">
        <v>0</v>
      </c>
      <c r="X29" s="59">
        <v>93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7">
        <f t="shared" si="24"/>
        <v>0</v>
      </c>
      <c r="AE29" s="57">
        <f t="shared" si="25"/>
        <v>465</v>
      </c>
      <c r="AF29" s="60">
        <f>I29*(AD29+AE29)</f>
        <v>465</v>
      </c>
      <c r="AG29" s="57" t="s">
        <v>60</v>
      </c>
      <c r="AH29" s="57">
        <v>53102302</v>
      </c>
      <c r="AI29" s="61" t="s">
        <v>44</v>
      </c>
      <c r="AJ29" s="61" t="s">
        <v>44</v>
      </c>
      <c r="AK29" s="62">
        <v>25184.12</v>
      </c>
      <c r="AL29" s="62">
        <f>+ROUND(AK29*($AL$5+1),0)</f>
        <v>26469</v>
      </c>
      <c r="AM29" s="72"/>
      <c r="AN29" s="63"/>
      <c r="AO29" s="64">
        <v>54434</v>
      </c>
      <c r="AP29" s="73">
        <v>32580</v>
      </c>
      <c r="AQ29" s="64">
        <f t="shared" si="13"/>
        <v>6190.2</v>
      </c>
      <c r="AR29" s="64">
        <f t="shared" si="14"/>
        <v>38770.199999999997</v>
      </c>
      <c r="AS29" s="65"/>
      <c r="AT29" s="65">
        <f t="shared" si="15"/>
        <v>26469</v>
      </c>
      <c r="AU29" s="66">
        <f t="shared" si="16"/>
        <v>54434</v>
      </c>
      <c r="AV29" s="65">
        <f t="shared" si="17"/>
        <v>38770.199999999997</v>
      </c>
      <c r="AW29" s="65"/>
      <c r="AX29" s="67">
        <f>MIN(AL29,AO29,AR29)</f>
        <v>26469</v>
      </c>
      <c r="AY29" s="67">
        <f>AVERAGE(AL29,AO29,AR29)</f>
        <v>39891.066666666666</v>
      </c>
      <c r="AZ29" s="67">
        <f>MEDIAN(AL29,AO29,AR29)</f>
        <v>38770.199999999997</v>
      </c>
      <c r="BA29" s="67">
        <f>GEOMEAN(AL29,AO29,AR29)</f>
        <v>38226.858422237361</v>
      </c>
      <c r="BB29" s="67">
        <f>_xlfn.STDEV.P(AL29,AO29,AR29)</f>
        <v>11444.141523455955</v>
      </c>
      <c r="BC29" s="68">
        <f t="shared" si="27"/>
        <v>0.2868848210824802</v>
      </c>
      <c r="BD29" s="67">
        <f>+SMALL(AT29:AV29,1)</f>
        <v>26469</v>
      </c>
      <c r="BE29" s="67">
        <f>LARGE(AT29:AV29,1)</f>
        <v>54434</v>
      </c>
      <c r="BF29" s="67">
        <f>QUARTILE(AT29:AV29,1)</f>
        <v>32619.599999999999</v>
      </c>
      <c r="BG29" s="67">
        <f>QUARTILE(AT29:AV29,3)</f>
        <v>46602.1</v>
      </c>
      <c r="BH29" s="67">
        <f>_xlfn.QUARTILE.EXC(AT29:AV29,3)-_xlfn.QUARTILE.EXC(AT29:AV29,1)</f>
        <v>27965</v>
      </c>
      <c r="BI29" s="67">
        <f t="shared" si="21"/>
        <v>46602</v>
      </c>
      <c r="BJ29" s="67">
        <f>+BI29*I29</f>
        <v>46602</v>
      </c>
      <c r="BK29" s="67" t="str">
        <f>IF(BC29&lt;=$AX$2,"QUARTIL (Q3)","PROMEDIO")</f>
        <v>QUARTIL (Q3)</v>
      </c>
    </row>
    <row r="30" spans="5:63" ht="25.5" x14ac:dyDescent="0.2">
      <c r="E30" s="57">
        <f t="shared" si="26"/>
        <v>17</v>
      </c>
      <c r="F30" s="57">
        <v>2823328</v>
      </c>
      <c r="G30" s="74" t="s">
        <v>67</v>
      </c>
      <c r="H30" s="57" t="s">
        <v>60</v>
      </c>
      <c r="I30" s="57">
        <v>1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154</v>
      </c>
      <c r="P30" s="59">
        <v>0</v>
      </c>
      <c r="Q30" s="59">
        <v>64</v>
      </c>
      <c r="R30" s="59">
        <v>0</v>
      </c>
      <c r="S30" s="59">
        <v>154</v>
      </c>
      <c r="T30" s="59">
        <v>0</v>
      </c>
      <c r="U30" s="59">
        <v>0</v>
      </c>
      <c r="V30" s="59">
        <v>0</v>
      </c>
      <c r="W30" s="59">
        <v>0</v>
      </c>
      <c r="X30" s="59">
        <v>93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7">
        <f t="shared" si="24"/>
        <v>0</v>
      </c>
      <c r="AE30" s="57">
        <f t="shared" si="25"/>
        <v>465</v>
      </c>
      <c r="AF30" s="60">
        <f>I30*(AD30+AE30)</f>
        <v>465</v>
      </c>
      <c r="AG30" s="57" t="s">
        <v>60</v>
      </c>
      <c r="AH30" s="57">
        <v>53102901</v>
      </c>
      <c r="AI30" s="61" t="s">
        <v>44</v>
      </c>
      <c r="AJ30" s="61" t="s">
        <v>44</v>
      </c>
      <c r="AK30" s="62">
        <v>18121.73</v>
      </c>
      <c r="AL30" s="62">
        <f>+ROUND(AK30*($AL$5+1),0)</f>
        <v>19046</v>
      </c>
      <c r="AM30" s="72"/>
      <c r="AN30" s="63"/>
      <c r="AO30" s="64">
        <v>65911</v>
      </c>
      <c r="AP30" s="73">
        <v>27480</v>
      </c>
      <c r="AQ30" s="64">
        <f t="shared" si="13"/>
        <v>5221.2</v>
      </c>
      <c r="AR30" s="64">
        <f t="shared" si="14"/>
        <v>32701.200000000001</v>
      </c>
      <c r="AS30" s="65"/>
      <c r="AT30" s="65">
        <f t="shared" si="15"/>
        <v>19046</v>
      </c>
      <c r="AU30" s="66">
        <f t="shared" si="16"/>
        <v>65911</v>
      </c>
      <c r="AV30" s="65">
        <f t="shared" si="17"/>
        <v>32701.200000000001</v>
      </c>
      <c r="AW30" s="65"/>
      <c r="AX30" s="67">
        <f>MIN(AL30,AO30,AR30)</f>
        <v>19046</v>
      </c>
      <c r="AY30" s="67">
        <f>AVERAGE(AL30,AO30,AR30)</f>
        <v>39219.4</v>
      </c>
      <c r="AZ30" s="67">
        <f>MEDIAN(AL30,AO30,AR30)</f>
        <v>32701.200000000001</v>
      </c>
      <c r="BA30" s="67">
        <f>GEOMEAN(AL30,AO30,AR30)</f>
        <v>34496.50711268017</v>
      </c>
      <c r="BB30" s="67">
        <f>_xlfn.STDEV.P(AL30,AO30,AR30)</f>
        <v>19679.892524774281</v>
      </c>
      <c r="BC30" s="68">
        <f t="shared" si="27"/>
        <v>0.50178973989337627</v>
      </c>
      <c r="BD30" s="67">
        <f>+SMALL(AT30:AV30,1)</f>
        <v>19046</v>
      </c>
      <c r="BE30" s="67">
        <f>LARGE(AT30:AV30,1)</f>
        <v>65911</v>
      </c>
      <c r="BF30" s="67">
        <f>QUARTILE(AT30:AV30,1)</f>
        <v>25873.599999999999</v>
      </c>
      <c r="BG30" s="67">
        <f>QUARTILE(AT30:AV30,3)</f>
        <v>49306.100000000006</v>
      </c>
      <c r="BH30" s="67">
        <f>_xlfn.QUARTILE.EXC(AT30:AV30,3)-_xlfn.QUARTILE.EXC(AT30:AV30,1)</f>
        <v>46865</v>
      </c>
      <c r="BI30" s="67">
        <f t="shared" si="21"/>
        <v>49306</v>
      </c>
      <c r="BJ30" s="67">
        <f>+BI30*I30</f>
        <v>49306</v>
      </c>
      <c r="BK30" s="67" t="str">
        <f>IF(BC30&lt;=$AX$2,"QUARTIL (Q3)","PROMEDIO")</f>
        <v>QUARTIL (Q3)</v>
      </c>
    </row>
    <row r="31" spans="5:63" ht="12.75" x14ac:dyDescent="0.25">
      <c r="E31" s="17" t="s">
        <v>24</v>
      </c>
      <c r="F31" s="18"/>
      <c r="G31" s="75"/>
      <c r="H31" s="17" t="s">
        <v>25</v>
      </c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75"/>
      <c r="AK31" s="86"/>
      <c r="AL31" s="86"/>
      <c r="AM31" s="87"/>
      <c r="AN31" s="88"/>
      <c r="AO31" s="79"/>
      <c r="AP31" s="89"/>
      <c r="AQ31" s="79"/>
      <c r="AR31" s="79"/>
      <c r="AS31" s="65"/>
      <c r="AT31" s="65"/>
      <c r="AU31" s="66"/>
      <c r="AV31" s="65"/>
      <c r="AW31" s="65"/>
      <c r="AX31" s="80"/>
      <c r="AY31" s="80"/>
      <c r="AZ31" s="80"/>
      <c r="BA31" s="80"/>
      <c r="BB31" s="80"/>
      <c r="BC31" s="81"/>
      <c r="BD31" s="80"/>
      <c r="BE31" s="80"/>
      <c r="BF31" s="80"/>
      <c r="BG31" s="80"/>
      <c r="BH31" s="80"/>
      <c r="BI31" s="80"/>
      <c r="BJ31" s="80"/>
      <c r="BK31" s="80"/>
    </row>
    <row r="32" spans="5:63" ht="13.5" customHeight="1" x14ac:dyDescent="0.25">
      <c r="E32" s="17" t="s">
        <v>68</v>
      </c>
      <c r="F32" s="18"/>
      <c r="G32" s="75"/>
      <c r="H32" s="17" t="s">
        <v>69</v>
      </c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75"/>
      <c r="AK32" s="86"/>
      <c r="AL32" s="86"/>
      <c r="AM32" s="87"/>
      <c r="AN32" s="88"/>
      <c r="AO32" s="79"/>
      <c r="AP32" s="89"/>
      <c r="AQ32" s="79"/>
      <c r="AR32" s="79"/>
      <c r="AS32" s="65"/>
      <c r="AT32" s="65"/>
      <c r="AU32" s="66"/>
      <c r="AV32" s="65"/>
      <c r="AW32" s="65"/>
      <c r="AX32" s="80"/>
      <c r="AY32" s="80"/>
      <c r="AZ32" s="80"/>
      <c r="BA32" s="80"/>
      <c r="BB32" s="80"/>
      <c r="BC32" s="81"/>
      <c r="BD32" s="80"/>
      <c r="BE32" s="80"/>
      <c r="BF32" s="80"/>
      <c r="BG32" s="80"/>
      <c r="BH32" s="80"/>
      <c r="BI32" s="80"/>
      <c r="BJ32" s="80"/>
      <c r="BK32" s="80"/>
    </row>
    <row r="33" spans="5:63" ht="12.75" customHeight="1" x14ac:dyDescent="0.25">
      <c r="E33" s="30" t="s">
        <v>28</v>
      </c>
      <c r="F33" s="31" t="s">
        <v>15</v>
      </c>
      <c r="G33" s="31" t="s">
        <v>29</v>
      </c>
      <c r="H33" s="31" t="s">
        <v>20</v>
      </c>
      <c r="I33" s="33" t="s">
        <v>30</v>
      </c>
      <c r="J33" s="31" t="s">
        <v>31</v>
      </c>
      <c r="K33" s="17" t="s">
        <v>63</v>
      </c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3"/>
      <c r="AC33" s="84"/>
      <c r="AD33" s="31" t="s">
        <v>33</v>
      </c>
      <c r="AE33" s="31" t="s">
        <v>34</v>
      </c>
      <c r="AF33" s="31" t="s">
        <v>35</v>
      </c>
      <c r="AG33" s="31" t="s">
        <v>0</v>
      </c>
      <c r="AH33" s="31" t="s">
        <v>138</v>
      </c>
      <c r="AI33" s="31" t="s">
        <v>36</v>
      </c>
      <c r="AJ33" s="85" t="s">
        <v>37</v>
      </c>
      <c r="AK33" s="86"/>
      <c r="AL33" s="86"/>
      <c r="AM33" s="87"/>
      <c r="AN33" s="88"/>
      <c r="AO33" s="79"/>
      <c r="AP33" s="89"/>
      <c r="AQ33" s="79"/>
      <c r="AR33" s="79"/>
      <c r="AS33" s="65"/>
      <c r="AT33" s="65"/>
      <c r="AU33" s="66"/>
      <c r="AV33" s="65"/>
      <c r="AW33" s="65"/>
      <c r="AX33" s="80"/>
      <c r="AY33" s="80"/>
      <c r="AZ33" s="80"/>
      <c r="BA33" s="80"/>
      <c r="BB33" s="80"/>
      <c r="BC33" s="81"/>
      <c r="BD33" s="80"/>
      <c r="BE33" s="80"/>
      <c r="BF33" s="80"/>
      <c r="BG33" s="80"/>
      <c r="BH33" s="80"/>
      <c r="BI33" s="80"/>
      <c r="BJ33" s="80"/>
      <c r="BK33" s="80"/>
    </row>
    <row r="34" spans="5:63" ht="72.75" customHeight="1" x14ac:dyDescent="0.2">
      <c r="E34" s="43"/>
      <c r="F34" s="44"/>
      <c r="G34" s="44"/>
      <c r="H34" s="43"/>
      <c r="I34" s="45"/>
      <c r="J34" s="43"/>
      <c r="K34" s="46" t="s">
        <v>107</v>
      </c>
      <c r="L34" s="46" t="s">
        <v>108</v>
      </c>
      <c r="M34" s="46" t="s">
        <v>109</v>
      </c>
      <c r="N34" s="46" t="s">
        <v>110</v>
      </c>
      <c r="O34" s="47" t="s">
        <v>38</v>
      </c>
      <c r="P34" s="48" t="s">
        <v>111</v>
      </c>
      <c r="Q34" s="47" t="s">
        <v>39</v>
      </c>
      <c r="R34" s="48" t="s">
        <v>112</v>
      </c>
      <c r="S34" s="47" t="s">
        <v>40</v>
      </c>
      <c r="T34" s="48" t="s">
        <v>113</v>
      </c>
      <c r="U34" s="48" t="s">
        <v>114</v>
      </c>
      <c r="V34" s="48" t="s">
        <v>115</v>
      </c>
      <c r="W34" s="48" t="s">
        <v>116</v>
      </c>
      <c r="X34" s="47" t="s">
        <v>41</v>
      </c>
      <c r="Y34" s="46" t="s">
        <v>117</v>
      </c>
      <c r="Z34" s="46" t="s">
        <v>118</v>
      </c>
      <c r="AA34" s="46" t="s">
        <v>119</v>
      </c>
      <c r="AB34" s="48" t="s">
        <v>120</v>
      </c>
      <c r="AC34" s="46" t="s">
        <v>121</v>
      </c>
      <c r="AD34" s="43"/>
      <c r="AE34" s="44"/>
      <c r="AF34" s="43"/>
      <c r="AG34" s="43"/>
      <c r="AH34" s="43"/>
      <c r="AI34" s="49"/>
      <c r="AJ34" s="50"/>
      <c r="AK34" s="86"/>
      <c r="AL34" s="86"/>
      <c r="AM34" s="87"/>
      <c r="AN34" s="88"/>
      <c r="AO34" s="79"/>
      <c r="AP34" s="89"/>
      <c r="AQ34" s="79"/>
      <c r="AR34" s="79"/>
      <c r="AS34" s="65"/>
      <c r="AT34" s="65"/>
      <c r="AU34" s="66"/>
      <c r="AV34" s="65"/>
      <c r="AW34" s="65"/>
      <c r="AX34" s="80"/>
      <c r="AY34" s="80"/>
      <c r="AZ34" s="80"/>
      <c r="BA34" s="80"/>
      <c r="BB34" s="80"/>
      <c r="BC34" s="81"/>
      <c r="BD34" s="80"/>
      <c r="BE34" s="80"/>
      <c r="BF34" s="80"/>
      <c r="BG34" s="80"/>
      <c r="BH34" s="80"/>
      <c r="BI34" s="80"/>
      <c r="BJ34" s="80"/>
      <c r="BK34" s="80"/>
    </row>
    <row r="35" spans="5:63" ht="15" customHeight="1" x14ac:dyDescent="0.25">
      <c r="E35" s="17" t="s">
        <v>70</v>
      </c>
      <c r="F35" s="18"/>
      <c r="G35" s="75"/>
      <c r="H35" s="90" t="s">
        <v>69</v>
      </c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2"/>
      <c r="AK35" s="86"/>
      <c r="AL35" s="86"/>
      <c r="AM35" s="87"/>
      <c r="AN35" s="88"/>
      <c r="AO35" s="79"/>
      <c r="AP35" s="89"/>
      <c r="AQ35" s="79"/>
      <c r="AR35" s="79"/>
      <c r="AS35" s="65"/>
      <c r="AT35" s="65"/>
      <c r="AU35" s="66"/>
      <c r="AV35" s="65"/>
      <c r="AW35" s="65"/>
      <c r="AX35" s="80"/>
      <c r="AY35" s="80"/>
      <c r="AZ35" s="80"/>
      <c r="BA35" s="80"/>
      <c r="BB35" s="80"/>
      <c r="BC35" s="81"/>
      <c r="BD35" s="80"/>
      <c r="BE35" s="80"/>
      <c r="BF35" s="80"/>
      <c r="BG35" s="80"/>
      <c r="BH35" s="80"/>
      <c r="BI35" s="80"/>
      <c r="BJ35" s="80"/>
      <c r="BK35" s="80"/>
    </row>
    <row r="36" spans="5:63" ht="12.75" x14ac:dyDescent="0.2">
      <c r="E36" s="57">
        <v>18</v>
      </c>
      <c r="F36" s="57">
        <v>3219302</v>
      </c>
      <c r="G36" s="58" t="s">
        <v>123</v>
      </c>
      <c r="H36" s="57" t="s">
        <v>43</v>
      </c>
      <c r="I36" s="57">
        <v>2</v>
      </c>
      <c r="J36" s="59">
        <v>0</v>
      </c>
      <c r="K36" s="59">
        <v>310</v>
      </c>
      <c r="L36" s="59">
        <v>279</v>
      </c>
      <c r="M36" s="59">
        <v>248</v>
      </c>
      <c r="N36" s="59">
        <v>217</v>
      </c>
      <c r="O36" s="59">
        <v>154</v>
      </c>
      <c r="P36" s="59">
        <v>372</v>
      </c>
      <c r="Q36" s="59">
        <v>64</v>
      </c>
      <c r="R36" s="59">
        <v>63</v>
      </c>
      <c r="S36" s="59">
        <v>154</v>
      </c>
      <c r="T36" s="59">
        <v>6</v>
      </c>
      <c r="U36" s="59">
        <v>217</v>
      </c>
      <c r="V36" s="59">
        <v>310</v>
      </c>
      <c r="W36" s="59">
        <v>651</v>
      </c>
      <c r="X36" s="59">
        <v>93</v>
      </c>
      <c r="Y36" s="59">
        <v>248</v>
      </c>
      <c r="Z36" s="59">
        <v>279</v>
      </c>
      <c r="AA36" s="59">
        <v>46</v>
      </c>
      <c r="AB36" s="59">
        <v>22</v>
      </c>
      <c r="AC36" s="59">
        <v>155</v>
      </c>
      <c r="AD36" s="57">
        <f>SUM(K36,L36,M36,N36,P36,R36,T36,U36,V36,W36,Y36,Z36,AA36,AB36,AC36)</f>
        <v>3423</v>
      </c>
      <c r="AE36" s="57">
        <f t="shared" ref="AE36:AE37" si="28">O36+Q36+S36+X36</f>
        <v>465</v>
      </c>
      <c r="AF36" s="60">
        <f>I36*(AD36+AE36)</f>
        <v>7776</v>
      </c>
      <c r="AG36" s="57" t="s">
        <v>43</v>
      </c>
      <c r="AH36" s="61">
        <v>14111704</v>
      </c>
      <c r="AI36" s="61" t="s">
        <v>44</v>
      </c>
      <c r="AJ36" s="61" t="s">
        <v>71</v>
      </c>
      <c r="AK36" s="62">
        <v>2599.6999999999998</v>
      </c>
      <c r="AL36" s="62">
        <f>+ROUND(AK36*($AL$5+1),0)</f>
        <v>2732</v>
      </c>
      <c r="AM36" s="72"/>
      <c r="AN36" s="63"/>
      <c r="AO36" s="64">
        <v>3410</v>
      </c>
      <c r="AP36" s="73">
        <v>3999</v>
      </c>
      <c r="AQ36" s="64">
        <f t="shared" si="13"/>
        <v>759.81000000000006</v>
      </c>
      <c r="AR36" s="64">
        <f t="shared" si="14"/>
        <v>4758.8100000000004</v>
      </c>
      <c r="AS36" s="65"/>
      <c r="AT36" s="65">
        <f t="shared" si="15"/>
        <v>2732</v>
      </c>
      <c r="AU36" s="66">
        <f t="shared" si="16"/>
        <v>3410</v>
      </c>
      <c r="AV36" s="65">
        <f t="shared" si="17"/>
        <v>4758.8100000000004</v>
      </c>
      <c r="AW36" s="65"/>
      <c r="AX36" s="67">
        <f>MIN(AL36,AO36,AR36)</f>
        <v>2732</v>
      </c>
      <c r="AY36" s="67">
        <f>AVERAGE(AL36,AO36,AR36)</f>
        <v>3633.6033333333339</v>
      </c>
      <c r="AZ36" s="67">
        <f>MEDIAN(AL36,AO36,AR36)</f>
        <v>3410</v>
      </c>
      <c r="BA36" s="67">
        <f>GEOMEAN(AL36,AO36,AR36)</f>
        <v>3539.2492321181267</v>
      </c>
      <c r="BB36" s="67">
        <f>_xlfn.STDEV.P(AL36,AO36,AR36)</f>
        <v>842.41261941850757</v>
      </c>
      <c r="BC36" s="68">
        <f t="shared" si="27"/>
        <v>0.23183945580700172</v>
      </c>
      <c r="BD36" s="67">
        <f>+SMALL(AT36:AV36,1)</f>
        <v>2732</v>
      </c>
      <c r="BE36" s="67">
        <f>LARGE(AT36:AV36,1)</f>
        <v>4758.8100000000004</v>
      </c>
      <c r="BF36" s="67">
        <f>QUARTILE(AT36:AV36,1)</f>
        <v>3071</v>
      </c>
      <c r="BG36" s="67">
        <f>QUARTILE(AT36:AV36,3)</f>
        <v>4084.4050000000002</v>
      </c>
      <c r="BH36" s="67">
        <f>_xlfn.QUARTILE.EXC(AT36:AV36,3)-_xlfn.QUARTILE.EXC(AT36:AV36,1)</f>
        <v>2026.8100000000004</v>
      </c>
      <c r="BI36" s="67">
        <f t="shared" si="21"/>
        <v>4084</v>
      </c>
      <c r="BJ36" s="67">
        <f>+BI36*I36</f>
        <v>8168</v>
      </c>
      <c r="BK36" s="69" t="str">
        <f>IF(BC36&lt;=$AX$2,"QUARTIL (Q3)","PROMEDIO")</f>
        <v>QUARTIL (Q3)</v>
      </c>
    </row>
    <row r="37" spans="5:63" ht="12.75" x14ac:dyDescent="0.2">
      <c r="E37" s="57">
        <f>E36+1</f>
        <v>19</v>
      </c>
      <c r="F37" s="57">
        <v>3219308</v>
      </c>
      <c r="G37" s="74" t="s">
        <v>145</v>
      </c>
      <c r="H37" s="57" t="s">
        <v>72</v>
      </c>
      <c r="I37" s="57">
        <v>1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154</v>
      </c>
      <c r="P37" s="59">
        <v>0</v>
      </c>
      <c r="Q37" s="59">
        <v>64</v>
      </c>
      <c r="R37" s="59">
        <v>0</v>
      </c>
      <c r="S37" s="59">
        <v>154</v>
      </c>
      <c r="T37" s="59">
        <v>0</v>
      </c>
      <c r="U37" s="59">
        <v>0</v>
      </c>
      <c r="V37" s="59">
        <v>0</v>
      </c>
      <c r="W37" s="59">
        <v>0</v>
      </c>
      <c r="X37" s="59">
        <v>93</v>
      </c>
      <c r="Y37" s="59">
        <v>0</v>
      </c>
      <c r="Z37" s="59">
        <v>0</v>
      </c>
      <c r="AA37" s="59">
        <v>0</v>
      </c>
      <c r="AB37" s="59">
        <v>0</v>
      </c>
      <c r="AC37" s="59">
        <v>0</v>
      </c>
      <c r="AD37" s="57">
        <f>SUM(K37,L37,M37,N37,P37,R37,T37,U37,V37,W37,Y37,Z37,AA37,AB37,AC37)</f>
        <v>0</v>
      </c>
      <c r="AE37" s="57">
        <f t="shared" si="28"/>
        <v>465</v>
      </c>
      <c r="AF37" s="60">
        <f>I37*(AD37+AE37)</f>
        <v>465</v>
      </c>
      <c r="AG37" s="57" t="s">
        <v>72</v>
      </c>
      <c r="AH37" s="61">
        <v>53131615</v>
      </c>
      <c r="AI37" s="61" t="s">
        <v>44</v>
      </c>
      <c r="AJ37" s="61" t="s">
        <v>44</v>
      </c>
      <c r="AK37" s="62">
        <v>4344.12</v>
      </c>
      <c r="AL37" s="62">
        <f>+ROUND(AK37*($AL$5+1),0)</f>
        <v>4566</v>
      </c>
      <c r="AM37" s="72"/>
      <c r="AN37" s="63"/>
      <c r="AO37" s="64">
        <v>15235</v>
      </c>
      <c r="AP37" s="73">
        <v>15980</v>
      </c>
      <c r="AQ37" s="64">
        <f t="shared" si="13"/>
        <v>3036.2</v>
      </c>
      <c r="AR37" s="64">
        <f t="shared" si="14"/>
        <v>19016.2</v>
      </c>
      <c r="AS37" s="65"/>
      <c r="AT37" s="65">
        <f t="shared" si="15"/>
        <v>4566</v>
      </c>
      <c r="AU37" s="66">
        <f t="shared" si="16"/>
        <v>15235</v>
      </c>
      <c r="AV37" s="65">
        <f t="shared" si="17"/>
        <v>19016.2</v>
      </c>
      <c r="AW37" s="65"/>
      <c r="AX37" s="67">
        <f>MIN(AL37,AO37,AR37)</f>
        <v>4566</v>
      </c>
      <c r="AY37" s="67">
        <f>AVERAGE(AL37,AO37,AR37)</f>
        <v>12939.066666666666</v>
      </c>
      <c r="AZ37" s="67">
        <f>MEDIAN(AL37,AO37,AR37)</f>
        <v>15235</v>
      </c>
      <c r="BA37" s="67">
        <f>GEOMEAN(AL37,AO37,AR37)</f>
        <v>10977.430613804279</v>
      </c>
      <c r="BB37" s="67">
        <f>_xlfn.STDEV.P(AL37,AO37,AR37)</f>
        <v>6118.5811216508582</v>
      </c>
      <c r="BC37" s="68">
        <f t="shared" si="27"/>
        <v>0.47287654351556979</v>
      </c>
      <c r="BD37" s="67">
        <f>+SMALL(AT37:AV37,1)</f>
        <v>4566</v>
      </c>
      <c r="BE37" s="67">
        <f>LARGE(AT37:AV37,1)</f>
        <v>19016.2</v>
      </c>
      <c r="BF37" s="67">
        <f>QUARTILE(AT37:AV37,1)</f>
        <v>9900.5</v>
      </c>
      <c r="BG37" s="67">
        <f>QUARTILE(AT37:AV37,3)</f>
        <v>17125.599999999999</v>
      </c>
      <c r="BH37" s="67">
        <f>_xlfn.QUARTILE.EXC(AT37:AV37,3)-_xlfn.QUARTILE.EXC(AT37:AV37,1)</f>
        <v>14450.2</v>
      </c>
      <c r="BI37" s="67">
        <f t="shared" si="21"/>
        <v>17126</v>
      </c>
      <c r="BJ37" s="67">
        <f>+BI37*I37</f>
        <v>17126</v>
      </c>
      <c r="BK37" s="67" t="str">
        <f>IF(BC37&lt;=$AX$2,"QUARTIL (Q3)","PROMEDIO")</f>
        <v>QUARTIL (Q3)</v>
      </c>
    </row>
    <row r="38" spans="5:63" ht="12.75" x14ac:dyDescent="0.25">
      <c r="E38" s="17" t="s">
        <v>73</v>
      </c>
      <c r="F38" s="18"/>
      <c r="G38" s="75"/>
      <c r="H38" s="90" t="s">
        <v>74</v>
      </c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2"/>
      <c r="AK38" s="86"/>
      <c r="AL38" s="86"/>
      <c r="AM38" s="87"/>
      <c r="AN38" s="88"/>
      <c r="AO38" s="79"/>
      <c r="AP38" s="89"/>
      <c r="AQ38" s="79"/>
      <c r="AR38" s="79"/>
      <c r="AS38" s="65"/>
      <c r="AT38" s="65"/>
      <c r="AU38" s="66"/>
      <c r="AV38" s="65"/>
      <c r="AW38" s="65"/>
      <c r="AX38" s="80"/>
      <c r="AY38" s="80"/>
      <c r="AZ38" s="80"/>
      <c r="BA38" s="80"/>
      <c r="BB38" s="80"/>
      <c r="BC38" s="81"/>
      <c r="BD38" s="80"/>
      <c r="BE38" s="80"/>
      <c r="BF38" s="80"/>
      <c r="BG38" s="80"/>
      <c r="BH38" s="80"/>
      <c r="BI38" s="80"/>
      <c r="BJ38" s="80"/>
      <c r="BK38" s="80"/>
    </row>
    <row r="39" spans="5:63" ht="20.25" customHeight="1" x14ac:dyDescent="0.2">
      <c r="E39" s="57">
        <v>20</v>
      </c>
      <c r="F39" s="57">
        <v>3270109</v>
      </c>
      <c r="G39" s="58" t="s">
        <v>130</v>
      </c>
      <c r="H39" s="57" t="s">
        <v>43</v>
      </c>
      <c r="I39" s="57">
        <v>1</v>
      </c>
      <c r="J39" s="59">
        <v>0</v>
      </c>
      <c r="K39" s="59">
        <v>310</v>
      </c>
      <c r="L39" s="59">
        <v>279</v>
      </c>
      <c r="M39" s="59">
        <v>248</v>
      </c>
      <c r="N39" s="59">
        <v>217</v>
      </c>
      <c r="O39" s="59">
        <v>154</v>
      </c>
      <c r="P39" s="59">
        <v>372</v>
      </c>
      <c r="Q39" s="59">
        <v>64</v>
      </c>
      <c r="R39" s="59">
        <v>63</v>
      </c>
      <c r="S39" s="59">
        <v>154</v>
      </c>
      <c r="T39" s="59">
        <v>6</v>
      </c>
      <c r="U39" s="59">
        <v>217</v>
      </c>
      <c r="V39" s="59">
        <v>310</v>
      </c>
      <c r="W39" s="59">
        <v>651</v>
      </c>
      <c r="X39" s="59">
        <v>93</v>
      </c>
      <c r="Y39" s="59">
        <v>248</v>
      </c>
      <c r="Z39" s="59">
        <v>279</v>
      </c>
      <c r="AA39" s="59">
        <v>46</v>
      </c>
      <c r="AB39" s="59">
        <v>22</v>
      </c>
      <c r="AC39" s="59">
        <v>155</v>
      </c>
      <c r="AD39" s="57">
        <f>SUM(K39,L39,M39,N39,P39,R39,T39,U39,V39,W39,Y39,Z39,AA39,AB39,AC39)</f>
        <v>3423</v>
      </c>
      <c r="AE39" s="57">
        <f t="shared" ref="AE39" si="29">O39+Q39+S39+X39</f>
        <v>465</v>
      </c>
      <c r="AF39" s="60">
        <f>I39*(AD39+AE39)</f>
        <v>3888</v>
      </c>
      <c r="AG39" s="57" t="s">
        <v>43</v>
      </c>
      <c r="AH39" s="57">
        <v>14111514</v>
      </c>
      <c r="AI39" s="61" t="s">
        <v>44</v>
      </c>
      <c r="AJ39" s="61" t="s">
        <v>75</v>
      </c>
      <c r="AK39" s="62">
        <v>1608.93</v>
      </c>
      <c r="AL39" s="62">
        <f>+ROUND(AK39*($AL$5+1),0)</f>
        <v>1691</v>
      </c>
      <c r="AM39" s="72"/>
      <c r="AN39" s="63"/>
      <c r="AO39" s="64">
        <v>4815</v>
      </c>
      <c r="AP39" s="73">
        <v>30400</v>
      </c>
      <c r="AQ39" s="64"/>
      <c r="AR39" s="64">
        <f t="shared" si="14"/>
        <v>30400</v>
      </c>
      <c r="AS39" s="65"/>
      <c r="AT39" s="65">
        <f t="shared" si="15"/>
        <v>1691</v>
      </c>
      <c r="AU39" s="66">
        <f t="shared" si="16"/>
        <v>4815</v>
      </c>
      <c r="AV39" s="65">
        <f t="shared" si="17"/>
        <v>30400</v>
      </c>
      <c r="AW39" s="65"/>
      <c r="AX39" s="67">
        <f>MIN(AL39,AO39,AR39)</f>
        <v>1691</v>
      </c>
      <c r="AY39" s="67">
        <f>AVERAGE(AL39,AO39,AR39)</f>
        <v>12302</v>
      </c>
      <c r="AZ39" s="67">
        <f>MEDIAN(AL39,AO39,AR39)</f>
        <v>4815</v>
      </c>
      <c r="BA39" s="67">
        <f>GEOMEAN(AL39,AO39,AR39)</f>
        <v>6278.7206476079527</v>
      </c>
      <c r="BB39" s="67">
        <f>_xlfn.STDEV.P(AL39,AO39,AR39)</f>
        <v>12860.612919556621</v>
      </c>
      <c r="BC39" s="68">
        <f t="shared" si="27"/>
        <v>1.0454083010532125</v>
      </c>
      <c r="BD39" s="67">
        <f>+SMALL(AT39:AV39,1)</f>
        <v>1691</v>
      </c>
      <c r="BE39" s="67">
        <f>LARGE(AT39:AV39,1)</f>
        <v>30400</v>
      </c>
      <c r="BF39" s="67">
        <f>QUARTILE(AT39:AV39,1)</f>
        <v>3253</v>
      </c>
      <c r="BG39" s="67">
        <f>QUARTILE(AT39:AV39,3)</f>
        <v>17607.5</v>
      </c>
      <c r="BH39" s="67">
        <f>_xlfn.QUARTILE.EXC(AT39:AV39,3)-_xlfn.QUARTILE.EXC(AT39:AV39,1)</f>
        <v>28709</v>
      </c>
      <c r="BI39" s="67">
        <f t="shared" si="21"/>
        <v>12302</v>
      </c>
      <c r="BJ39" s="67">
        <f>+BI39*I39</f>
        <v>12302</v>
      </c>
      <c r="BK39" s="69" t="str">
        <f>IF(BC39&lt;=$AX$2,"QUARTIL (Q3)","PROMEDIO")</f>
        <v>PROMEDIO</v>
      </c>
    </row>
    <row r="40" spans="5:63" ht="12.75" x14ac:dyDescent="0.25">
      <c r="E40" s="17" t="s">
        <v>24</v>
      </c>
      <c r="F40" s="18"/>
      <c r="G40" s="75"/>
      <c r="H40" s="17" t="s">
        <v>25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75"/>
      <c r="AK40" s="86"/>
      <c r="AL40" s="86"/>
      <c r="AM40" s="87"/>
      <c r="AN40" s="88"/>
      <c r="AO40" s="79"/>
      <c r="AP40" s="89"/>
      <c r="AQ40" s="79"/>
      <c r="AR40" s="79"/>
      <c r="AS40" s="65"/>
      <c r="AT40" s="65"/>
      <c r="AU40" s="66"/>
      <c r="AV40" s="65"/>
      <c r="AW40" s="65"/>
      <c r="AX40" s="80"/>
      <c r="AY40" s="80"/>
      <c r="AZ40" s="80"/>
      <c r="BA40" s="80"/>
      <c r="BB40" s="80"/>
      <c r="BC40" s="81"/>
      <c r="BD40" s="80"/>
      <c r="BE40" s="80"/>
      <c r="BF40" s="80"/>
      <c r="BG40" s="80"/>
      <c r="BH40" s="80"/>
      <c r="BI40" s="80"/>
      <c r="BJ40" s="80"/>
      <c r="BK40" s="80"/>
    </row>
    <row r="41" spans="5:63" ht="12.75" x14ac:dyDescent="0.25">
      <c r="E41" s="17" t="s">
        <v>76</v>
      </c>
      <c r="F41" s="18"/>
      <c r="G41" s="75"/>
      <c r="H41" s="17" t="s">
        <v>77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75"/>
      <c r="AK41" s="86"/>
      <c r="AL41" s="86"/>
      <c r="AM41" s="87"/>
      <c r="AN41" s="88"/>
      <c r="AO41" s="79"/>
      <c r="AP41" s="89"/>
      <c r="AQ41" s="79"/>
      <c r="AR41" s="79"/>
      <c r="AS41" s="65"/>
      <c r="AT41" s="65"/>
      <c r="AU41" s="66"/>
      <c r="AV41" s="65"/>
      <c r="AW41" s="65"/>
      <c r="AX41" s="80"/>
      <c r="AY41" s="80"/>
      <c r="AZ41" s="80"/>
      <c r="BA41" s="80"/>
      <c r="BB41" s="80"/>
      <c r="BC41" s="81"/>
      <c r="BD41" s="80"/>
      <c r="BE41" s="80"/>
      <c r="BF41" s="80"/>
      <c r="BG41" s="80"/>
      <c r="BH41" s="80"/>
      <c r="BI41" s="80"/>
      <c r="BJ41" s="80"/>
      <c r="BK41" s="80"/>
    </row>
    <row r="42" spans="5:63" ht="12.75" customHeight="1" x14ac:dyDescent="0.25">
      <c r="E42" s="30" t="s">
        <v>28</v>
      </c>
      <c r="F42" s="31" t="s">
        <v>15</v>
      </c>
      <c r="G42" s="31" t="s">
        <v>29</v>
      </c>
      <c r="H42" s="31" t="s">
        <v>20</v>
      </c>
      <c r="I42" s="33" t="s">
        <v>30</v>
      </c>
      <c r="J42" s="31" t="s">
        <v>31</v>
      </c>
      <c r="K42" s="17" t="s">
        <v>63</v>
      </c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3"/>
      <c r="AC42" s="84"/>
      <c r="AD42" s="31" t="s">
        <v>33</v>
      </c>
      <c r="AE42" s="31" t="s">
        <v>34</v>
      </c>
      <c r="AF42" s="31" t="s">
        <v>35</v>
      </c>
      <c r="AG42" s="31" t="s">
        <v>0</v>
      </c>
      <c r="AH42" s="31" t="s">
        <v>138</v>
      </c>
      <c r="AI42" s="31" t="s">
        <v>36</v>
      </c>
      <c r="AJ42" s="90" t="s">
        <v>37</v>
      </c>
      <c r="AK42" s="86"/>
      <c r="AL42" s="86"/>
      <c r="AM42" s="87"/>
      <c r="AN42" s="88"/>
      <c r="AO42" s="79"/>
      <c r="AP42" s="89"/>
      <c r="AQ42" s="79"/>
      <c r="AR42" s="79"/>
      <c r="AS42" s="65"/>
      <c r="AT42" s="65"/>
      <c r="AU42" s="66"/>
      <c r="AV42" s="65"/>
      <c r="AW42" s="65"/>
      <c r="AX42" s="80"/>
      <c r="AY42" s="80"/>
      <c r="AZ42" s="80"/>
      <c r="BA42" s="80"/>
      <c r="BB42" s="80"/>
      <c r="BC42" s="81"/>
      <c r="BD42" s="80"/>
      <c r="BE42" s="80"/>
      <c r="BF42" s="80"/>
      <c r="BG42" s="80"/>
      <c r="BH42" s="80"/>
      <c r="BI42" s="80"/>
      <c r="BJ42" s="80"/>
      <c r="BK42" s="80"/>
    </row>
    <row r="43" spans="5:63" ht="90" x14ac:dyDescent="0.2">
      <c r="E43" s="43"/>
      <c r="F43" s="44"/>
      <c r="G43" s="44"/>
      <c r="H43" s="43"/>
      <c r="I43" s="45"/>
      <c r="J43" s="43"/>
      <c r="K43" s="46" t="s">
        <v>107</v>
      </c>
      <c r="L43" s="46" t="s">
        <v>108</v>
      </c>
      <c r="M43" s="46" t="s">
        <v>109</v>
      </c>
      <c r="N43" s="46" t="s">
        <v>110</v>
      </c>
      <c r="O43" s="47" t="s">
        <v>38</v>
      </c>
      <c r="P43" s="48" t="s">
        <v>111</v>
      </c>
      <c r="Q43" s="47" t="s">
        <v>39</v>
      </c>
      <c r="R43" s="48" t="s">
        <v>112</v>
      </c>
      <c r="S43" s="47" t="s">
        <v>40</v>
      </c>
      <c r="T43" s="48" t="s">
        <v>113</v>
      </c>
      <c r="U43" s="48" t="s">
        <v>114</v>
      </c>
      <c r="V43" s="48" t="s">
        <v>115</v>
      </c>
      <c r="W43" s="48" t="s">
        <v>116</v>
      </c>
      <c r="X43" s="47" t="s">
        <v>41</v>
      </c>
      <c r="Y43" s="46" t="s">
        <v>117</v>
      </c>
      <c r="Z43" s="46" t="s">
        <v>118</v>
      </c>
      <c r="AA43" s="46" t="s">
        <v>119</v>
      </c>
      <c r="AB43" s="48" t="s">
        <v>120</v>
      </c>
      <c r="AC43" s="46" t="s">
        <v>121</v>
      </c>
      <c r="AD43" s="43"/>
      <c r="AE43" s="44"/>
      <c r="AF43" s="43"/>
      <c r="AG43" s="43"/>
      <c r="AH43" s="43"/>
      <c r="AI43" s="49"/>
      <c r="AJ43" s="34"/>
      <c r="AK43" s="86"/>
      <c r="AL43" s="86"/>
      <c r="AM43" s="78"/>
      <c r="AN43" s="78"/>
      <c r="AO43" s="79"/>
      <c r="AP43" s="79"/>
      <c r="AQ43" s="79"/>
      <c r="AR43" s="79"/>
      <c r="AS43" s="65"/>
      <c r="AT43" s="65"/>
      <c r="AU43" s="66"/>
      <c r="AV43" s="65"/>
      <c r="AW43" s="65"/>
      <c r="AX43" s="80"/>
      <c r="AY43" s="80"/>
      <c r="AZ43" s="80"/>
      <c r="BA43" s="80"/>
      <c r="BB43" s="80"/>
      <c r="BC43" s="81"/>
      <c r="BD43" s="80"/>
      <c r="BE43" s="80"/>
      <c r="BF43" s="80"/>
      <c r="BG43" s="80"/>
      <c r="BH43" s="80"/>
      <c r="BI43" s="80"/>
      <c r="BJ43" s="80"/>
      <c r="BK43" s="80"/>
    </row>
    <row r="44" spans="5:63" ht="12.75" x14ac:dyDescent="0.2">
      <c r="E44" s="57">
        <v>21</v>
      </c>
      <c r="F44" s="57">
        <v>3533301</v>
      </c>
      <c r="G44" s="58" t="s">
        <v>128</v>
      </c>
      <c r="H44" s="57" t="s">
        <v>43</v>
      </c>
      <c r="I44" s="57">
        <v>1</v>
      </c>
      <c r="J44" s="59">
        <v>0</v>
      </c>
      <c r="K44" s="59">
        <v>310</v>
      </c>
      <c r="L44" s="59">
        <v>279</v>
      </c>
      <c r="M44" s="59">
        <v>248</v>
      </c>
      <c r="N44" s="59">
        <v>217</v>
      </c>
      <c r="O44" s="59">
        <v>154</v>
      </c>
      <c r="P44" s="59">
        <v>372</v>
      </c>
      <c r="Q44" s="59">
        <v>64</v>
      </c>
      <c r="R44" s="59">
        <v>63</v>
      </c>
      <c r="S44" s="59">
        <v>154</v>
      </c>
      <c r="T44" s="59">
        <v>6</v>
      </c>
      <c r="U44" s="59">
        <v>217</v>
      </c>
      <c r="V44" s="59">
        <v>310</v>
      </c>
      <c r="W44" s="59">
        <v>651</v>
      </c>
      <c r="X44" s="59">
        <v>93</v>
      </c>
      <c r="Y44" s="59">
        <v>248</v>
      </c>
      <c r="Z44" s="59">
        <v>279</v>
      </c>
      <c r="AA44" s="59">
        <v>46</v>
      </c>
      <c r="AB44" s="59">
        <v>22</v>
      </c>
      <c r="AC44" s="59">
        <v>155</v>
      </c>
      <c r="AD44" s="57">
        <f t="shared" ref="AD44:AD49" si="30">SUM(K44,L44,M44,N44,P44,R44,T44,U44,V44,W44,Y44,Z44,AA44,AB44,AC44)</f>
        <v>3423</v>
      </c>
      <c r="AE44" s="57">
        <f t="shared" ref="AE44:AE49" si="31">O44+Q44+S44+X44</f>
        <v>465</v>
      </c>
      <c r="AF44" s="60">
        <f t="shared" ref="AF44:AF49" si="32">I44*(AD44+AE44)</f>
        <v>3888</v>
      </c>
      <c r="AG44" s="57" t="s">
        <v>43</v>
      </c>
      <c r="AH44" s="61">
        <v>47131809</v>
      </c>
      <c r="AI44" s="61" t="s">
        <v>44</v>
      </c>
      <c r="AJ44" s="61" t="s">
        <v>78</v>
      </c>
      <c r="AK44" s="62">
        <v>4530.42</v>
      </c>
      <c r="AL44" s="62">
        <f t="shared" ref="AL44:AL49" si="33">+ROUND(AK44*($AL$5+1),0)</f>
        <v>4761</v>
      </c>
      <c r="AM44" s="72"/>
      <c r="AN44" s="63"/>
      <c r="AO44" s="64">
        <v>9500</v>
      </c>
      <c r="AP44" s="73">
        <v>27895</v>
      </c>
      <c r="AQ44" s="64">
        <f t="shared" si="13"/>
        <v>5300.05</v>
      </c>
      <c r="AR44" s="64">
        <f t="shared" si="14"/>
        <v>33195.050000000003</v>
      </c>
      <c r="AS44" s="65"/>
      <c r="AT44" s="65">
        <f t="shared" si="15"/>
        <v>4761</v>
      </c>
      <c r="AU44" s="66">
        <f t="shared" si="16"/>
        <v>9500</v>
      </c>
      <c r="AV44" s="65">
        <f t="shared" si="17"/>
        <v>33195.050000000003</v>
      </c>
      <c r="AW44" s="65"/>
      <c r="AX44" s="67">
        <f t="shared" ref="AX44:AX49" si="34">MIN(AL44,AO44,AR44)</f>
        <v>4761</v>
      </c>
      <c r="AY44" s="67">
        <f t="shared" ref="AY44:AY49" si="35">AVERAGE(AL44,AO44,AR44)</f>
        <v>15818.683333333334</v>
      </c>
      <c r="AZ44" s="67">
        <f t="shared" ref="AZ44:AZ49" si="36">MEDIAN(AL44,AO44,AR44)</f>
        <v>9500</v>
      </c>
      <c r="BA44" s="67">
        <f t="shared" ref="BA44:BA49" si="37">GEOMEAN(AL44,AO44,AR44)</f>
        <v>11450.691246827173</v>
      </c>
      <c r="BB44" s="67">
        <f t="shared" ref="BB44:BB49" si="38">_xlfn.STDEV.P(AL44,AO44,AR44)</f>
        <v>12438.331055004483</v>
      </c>
      <c r="BC44" s="68">
        <f t="shared" si="27"/>
        <v>0.78630634376467168</v>
      </c>
      <c r="BD44" s="67">
        <f t="shared" ref="BD44:BD49" si="39">+SMALL(AT44:AV44,1)</f>
        <v>4761</v>
      </c>
      <c r="BE44" s="67">
        <f t="shared" ref="BE44:BE49" si="40">LARGE(AT44:AV44,1)</f>
        <v>33195.050000000003</v>
      </c>
      <c r="BF44" s="67">
        <f t="shared" ref="BF44:BF49" si="41">QUARTILE(AT44:AV44,1)</f>
        <v>7130.5</v>
      </c>
      <c r="BG44" s="67">
        <f t="shared" ref="BG44:BG49" si="42">QUARTILE(AT44:AV44,3)</f>
        <v>21347.525000000001</v>
      </c>
      <c r="BH44" s="67">
        <f t="shared" ref="BH44:BH49" si="43">_xlfn.QUARTILE.EXC(AT44:AV44,3)-_xlfn.QUARTILE.EXC(AT44:AV44,1)</f>
        <v>28434.050000000003</v>
      </c>
      <c r="BI44" s="67">
        <f t="shared" si="21"/>
        <v>15819</v>
      </c>
      <c r="BJ44" s="67">
        <f t="shared" ref="BJ44:BJ49" si="44">+BI44*I44</f>
        <v>15819</v>
      </c>
      <c r="BK44" s="69" t="str">
        <f t="shared" ref="BK44:BK49" si="45">IF(BC44&lt;=$AX$2,"QUARTIL (Q3)","PROMEDIO")</f>
        <v>PROMEDIO</v>
      </c>
    </row>
    <row r="45" spans="5:63" ht="12.75" x14ac:dyDescent="0.2">
      <c r="E45" s="57">
        <f t="shared" ref="E45:E49" si="46">E44+1</f>
        <v>22</v>
      </c>
      <c r="F45" s="59">
        <v>3532315</v>
      </c>
      <c r="G45" s="58" t="s">
        <v>129</v>
      </c>
      <c r="H45" s="57" t="s">
        <v>43</v>
      </c>
      <c r="I45" s="57">
        <v>1</v>
      </c>
      <c r="J45" s="59">
        <v>0</v>
      </c>
      <c r="K45" s="59">
        <v>310</v>
      </c>
      <c r="L45" s="59">
        <v>279</v>
      </c>
      <c r="M45" s="59">
        <v>248</v>
      </c>
      <c r="N45" s="59">
        <v>217</v>
      </c>
      <c r="O45" s="59">
        <v>154</v>
      </c>
      <c r="P45" s="59">
        <v>372</v>
      </c>
      <c r="Q45" s="59">
        <v>64</v>
      </c>
      <c r="R45" s="59">
        <v>63</v>
      </c>
      <c r="S45" s="59">
        <v>154</v>
      </c>
      <c r="T45" s="59">
        <v>6</v>
      </c>
      <c r="U45" s="59">
        <v>217</v>
      </c>
      <c r="V45" s="59">
        <v>310</v>
      </c>
      <c r="W45" s="59">
        <v>651</v>
      </c>
      <c r="X45" s="59">
        <v>93</v>
      </c>
      <c r="Y45" s="59">
        <v>248</v>
      </c>
      <c r="Z45" s="59">
        <v>279</v>
      </c>
      <c r="AA45" s="59">
        <v>46</v>
      </c>
      <c r="AB45" s="59">
        <v>22</v>
      </c>
      <c r="AC45" s="59">
        <v>155</v>
      </c>
      <c r="AD45" s="57">
        <f t="shared" si="30"/>
        <v>3423</v>
      </c>
      <c r="AE45" s="57">
        <f t="shared" si="31"/>
        <v>465</v>
      </c>
      <c r="AF45" s="60">
        <f t="shared" si="32"/>
        <v>3888</v>
      </c>
      <c r="AG45" s="57" t="s">
        <v>43</v>
      </c>
      <c r="AH45" s="61">
        <v>53131614</v>
      </c>
      <c r="AI45" s="61" t="s">
        <v>44</v>
      </c>
      <c r="AJ45" s="61" t="s">
        <v>79</v>
      </c>
      <c r="AK45" s="62">
        <v>6893.0200000000013</v>
      </c>
      <c r="AL45" s="62">
        <f t="shared" si="33"/>
        <v>7245</v>
      </c>
      <c r="AM45" s="72"/>
      <c r="AN45" s="63"/>
      <c r="AO45" s="64">
        <v>10491</v>
      </c>
      <c r="AP45" s="73">
        <v>14698</v>
      </c>
      <c r="AQ45" s="64">
        <f t="shared" si="13"/>
        <v>2792.62</v>
      </c>
      <c r="AR45" s="64">
        <f t="shared" si="14"/>
        <v>17490.62</v>
      </c>
      <c r="AS45" s="65"/>
      <c r="AT45" s="65">
        <f t="shared" si="15"/>
        <v>7245</v>
      </c>
      <c r="AU45" s="66">
        <f t="shared" si="16"/>
        <v>10491</v>
      </c>
      <c r="AV45" s="65">
        <f t="shared" si="17"/>
        <v>17490.62</v>
      </c>
      <c r="AW45" s="65"/>
      <c r="AX45" s="67">
        <f t="shared" si="34"/>
        <v>7245</v>
      </c>
      <c r="AY45" s="67">
        <f t="shared" si="35"/>
        <v>11742.206666666665</v>
      </c>
      <c r="AZ45" s="67">
        <f t="shared" si="36"/>
        <v>10491</v>
      </c>
      <c r="BA45" s="67">
        <f t="shared" si="37"/>
        <v>10995.631086148262</v>
      </c>
      <c r="BB45" s="67">
        <f t="shared" si="38"/>
        <v>4275.3027875721555</v>
      </c>
      <c r="BC45" s="68">
        <f t="shared" si="27"/>
        <v>0.36409704827532324</v>
      </c>
      <c r="BD45" s="67">
        <f t="shared" si="39"/>
        <v>7245</v>
      </c>
      <c r="BE45" s="67">
        <f t="shared" si="40"/>
        <v>17490.62</v>
      </c>
      <c r="BF45" s="67">
        <f t="shared" si="41"/>
        <v>8868</v>
      </c>
      <c r="BG45" s="67">
        <f t="shared" si="42"/>
        <v>13990.81</v>
      </c>
      <c r="BH45" s="67">
        <f t="shared" si="43"/>
        <v>10245.619999999999</v>
      </c>
      <c r="BI45" s="67">
        <f t="shared" si="21"/>
        <v>13991</v>
      </c>
      <c r="BJ45" s="67">
        <f t="shared" si="44"/>
        <v>13991</v>
      </c>
      <c r="BK45" s="69" t="str">
        <f t="shared" si="45"/>
        <v>QUARTIL (Q3)</v>
      </c>
    </row>
    <row r="46" spans="5:63" ht="12.75" x14ac:dyDescent="0.2">
      <c r="E46" s="57">
        <f t="shared" si="46"/>
        <v>23</v>
      </c>
      <c r="F46" s="57">
        <v>3532308</v>
      </c>
      <c r="G46" s="58" t="s">
        <v>124</v>
      </c>
      <c r="H46" s="57" t="s">
        <v>43</v>
      </c>
      <c r="I46" s="57">
        <v>1</v>
      </c>
      <c r="J46" s="59">
        <v>0</v>
      </c>
      <c r="K46" s="59">
        <v>310</v>
      </c>
      <c r="L46" s="59">
        <v>279</v>
      </c>
      <c r="M46" s="59">
        <v>248</v>
      </c>
      <c r="N46" s="59">
        <v>217</v>
      </c>
      <c r="O46" s="59">
        <v>154</v>
      </c>
      <c r="P46" s="59">
        <v>372</v>
      </c>
      <c r="Q46" s="59">
        <v>64</v>
      </c>
      <c r="R46" s="59">
        <v>63</v>
      </c>
      <c r="S46" s="59">
        <v>154</v>
      </c>
      <c r="T46" s="59">
        <v>6</v>
      </c>
      <c r="U46" s="59">
        <v>217</v>
      </c>
      <c r="V46" s="59">
        <v>310</v>
      </c>
      <c r="W46" s="59">
        <v>651</v>
      </c>
      <c r="X46" s="59">
        <v>93</v>
      </c>
      <c r="Y46" s="59">
        <v>248</v>
      </c>
      <c r="Z46" s="59">
        <v>279</v>
      </c>
      <c r="AA46" s="59">
        <v>46</v>
      </c>
      <c r="AB46" s="59">
        <v>22</v>
      </c>
      <c r="AC46" s="59">
        <v>155</v>
      </c>
      <c r="AD46" s="57">
        <f t="shared" si="30"/>
        <v>3423</v>
      </c>
      <c r="AE46" s="57">
        <f t="shared" si="31"/>
        <v>465</v>
      </c>
      <c r="AF46" s="60">
        <f t="shared" si="32"/>
        <v>3888</v>
      </c>
      <c r="AG46" s="57" t="s">
        <v>43</v>
      </c>
      <c r="AH46" s="61">
        <v>53131502</v>
      </c>
      <c r="AI46" s="61" t="s">
        <v>44</v>
      </c>
      <c r="AJ46" s="61" t="s">
        <v>80</v>
      </c>
      <c r="AK46" s="62">
        <v>4725.1899999999996</v>
      </c>
      <c r="AL46" s="62">
        <f t="shared" si="33"/>
        <v>4966</v>
      </c>
      <c r="AM46" s="72"/>
      <c r="AN46" s="63"/>
      <c r="AO46" s="64">
        <v>7232</v>
      </c>
      <c r="AP46" s="73">
        <v>8650</v>
      </c>
      <c r="AQ46" s="64">
        <f t="shared" si="13"/>
        <v>1643.5</v>
      </c>
      <c r="AR46" s="64">
        <f t="shared" si="14"/>
        <v>10293.5</v>
      </c>
      <c r="AS46" s="65"/>
      <c r="AT46" s="65">
        <f t="shared" si="15"/>
        <v>4966</v>
      </c>
      <c r="AU46" s="66">
        <f t="shared" si="16"/>
        <v>7232</v>
      </c>
      <c r="AV46" s="65">
        <f t="shared" si="17"/>
        <v>10293.5</v>
      </c>
      <c r="AW46" s="65"/>
      <c r="AX46" s="67">
        <f t="shared" si="34"/>
        <v>4966</v>
      </c>
      <c r="AY46" s="67">
        <f t="shared" si="35"/>
        <v>7497.166666666667</v>
      </c>
      <c r="AZ46" s="67">
        <f t="shared" si="36"/>
        <v>7232</v>
      </c>
      <c r="BA46" s="67">
        <f t="shared" si="37"/>
        <v>7176.9964902068823</v>
      </c>
      <c r="BB46" s="67">
        <f t="shared" si="38"/>
        <v>2183.0100142285701</v>
      </c>
      <c r="BC46" s="68">
        <f t="shared" si="27"/>
        <v>0.29117800247585579</v>
      </c>
      <c r="BD46" s="67">
        <f t="shared" si="39"/>
        <v>4966</v>
      </c>
      <c r="BE46" s="67">
        <f t="shared" si="40"/>
        <v>10293.5</v>
      </c>
      <c r="BF46" s="67">
        <f t="shared" si="41"/>
        <v>6099</v>
      </c>
      <c r="BG46" s="67">
        <f t="shared" si="42"/>
        <v>8762.75</v>
      </c>
      <c r="BH46" s="67">
        <f t="shared" si="43"/>
        <v>5327.5</v>
      </c>
      <c r="BI46" s="67">
        <f t="shared" si="21"/>
        <v>8763</v>
      </c>
      <c r="BJ46" s="67">
        <f t="shared" si="44"/>
        <v>8763</v>
      </c>
      <c r="BK46" s="69" t="str">
        <f t="shared" si="45"/>
        <v>QUARTIL (Q3)</v>
      </c>
    </row>
    <row r="47" spans="5:63" ht="12.75" x14ac:dyDescent="0.2">
      <c r="E47" s="57">
        <f t="shared" si="46"/>
        <v>24</v>
      </c>
      <c r="F47" s="57">
        <v>3532323</v>
      </c>
      <c r="G47" s="58" t="s">
        <v>125</v>
      </c>
      <c r="H47" s="57" t="s">
        <v>43</v>
      </c>
      <c r="I47" s="57">
        <v>1</v>
      </c>
      <c r="J47" s="59">
        <v>0</v>
      </c>
      <c r="K47" s="59">
        <v>310</v>
      </c>
      <c r="L47" s="59">
        <v>279</v>
      </c>
      <c r="M47" s="59">
        <v>248</v>
      </c>
      <c r="N47" s="59">
        <v>217</v>
      </c>
      <c r="O47" s="59">
        <v>154</v>
      </c>
      <c r="P47" s="59">
        <v>372</v>
      </c>
      <c r="Q47" s="59">
        <v>64</v>
      </c>
      <c r="R47" s="59">
        <v>63</v>
      </c>
      <c r="S47" s="59">
        <v>154</v>
      </c>
      <c r="T47" s="59">
        <v>6</v>
      </c>
      <c r="U47" s="59">
        <v>217</v>
      </c>
      <c r="V47" s="59">
        <v>310</v>
      </c>
      <c r="W47" s="59">
        <v>651</v>
      </c>
      <c r="X47" s="59">
        <v>93</v>
      </c>
      <c r="Y47" s="59">
        <v>248</v>
      </c>
      <c r="Z47" s="59">
        <v>279</v>
      </c>
      <c r="AA47" s="59">
        <v>46</v>
      </c>
      <c r="AB47" s="59">
        <v>22</v>
      </c>
      <c r="AC47" s="59">
        <v>155</v>
      </c>
      <c r="AD47" s="57">
        <f t="shared" si="30"/>
        <v>3423</v>
      </c>
      <c r="AE47" s="57">
        <f t="shared" si="31"/>
        <v>465</v>
      </c>
      <c r="AF47" s="60">
        <f t="shared" si="32"/>
        <v>3888</v>
      </c>
      <c r="AG47" s="57" t="s">
        <v>43</v>
      </c>
      <c r="AH47" s="61">
        <v>53131606</v>
      </c>
      <c r="AI47" s="61" t="s">
        <v>44</v>
      </c>
      <c r="AJ47" s="61" t="s">
        <v>81</v>
      </c>
      <c r="AK47" s="62">
        <v>11669.04</v>
      </c>
      <c r="AL47" s="62">
        <f t="shared" si="33"/>
        <v>12264</v>
      </c>
      <c r="AM47" s="72"/>
      <c r="AN47" s="63"/>
      <c r="AO47" s="64">
        <v>13683</v>
      </c>
      <c r="AP47" s="73">
        <v>16400</v>
      </c>
      <c r="AQ47" s="64">
        <f t="shared" si="13"/>
        <v>3116</v>
      </c>
      <c r="AR47" s="64">
        <f t="shared" si="14"/>
        <v>19516</v>
      </c>
      <c r="AS47" s="65"/>
      <c r="AT47" s="65">
        <f t="shared" si="15"/>
        <v>12264</v>
      </c>
      <c r="AU47" s="66">
        <f t="shared" si="16"/>
        <v>13683</v>
      </c>
      <c r="AV47" s="65">
        <f t="shared" si="17"/>
        <v>19516</v>
      </c>
      <c r="AW47" s="65"/>
      <c r="AX47" s="67">
        <f t="shared" si="34"/>
        <v>12264</v>
      </c>
      <c r="AY47" s="67">
        <f t="shared" si="35"/>
        <v>15154.333333333334</v>
      </c>
      <c r="AZ47" s="67">
        <f t="shared" si="36"/>
        <v>13683</v>
      </c>
      <c r="BA47" s="67">
        <f t="shared" si="37"/>
        <v>14850.28400488027</v>
      </c>
      <c r="BB47" s="67">
        <f t="shared" si="38"/>
        <v>3138.0983980040455</v>
      </c>
      <c r="BC47" s="68">
        <f t="shared" si="27"/>
        <v>0.20707597813633363</v>
      </c>
      <c r="BD47" s="67">
        <f t="shared" si="39"/>
        <v>12264</v>
      </c>
      <c r="BE47" s="67">
        <f t="shared" si="40"/>
        <v>19516</v>
      </c>
      <c r="BF47" s="67">
        <f t="shared" si="41"/>
        <v>12973.5</v>
      </c>
      <c r="BG47" s="67">
        <f t="shared" si="42"/>
        <v>16599.5</v>
      </c>
      <c r="BH47" s="67">
        <f t="shared" si="43"/>
        <v>7252</v>
      </c>
      <c r="BI47" s="67">
        <f t="shared" si="21"/>
        <v>16600</v>
      </c>
      <c r="BJ47" s="67">
        <f t="shared" si="44"/>
        <v>16600</v>
      </c>
      <c r="BK47" s="69" t="str">
        <f t="shared" si="45"/>
        <v>QUARTIL (Q3)</v>
      </c>
    </row>
    <row r="48" spans="5:63" ht="12.75" x14ac:dyDescent="0.2">
      <c r="E48" s="57">
        <f t="shared" si="46"/>
        <v>25</v>
      </c>
      <c r="F48" s="57">
        <v>3532105</v>
      </c>
      <c r="G48" s="58" t="s">
        <v>126</v>
      </c>
      <c r="H48" s="57" t="s">
        <v>43</v>
      </c>
      <c r="I48" s="57">
        <v>2</v>
      </c>
      <c r="J48" s="59">
        <v>0</v>
      </c>
      <c r="K48" s="59">
        <v>310</v>
      </c>
      <c r="L48" s="59">
        <v>279</v>
      </c>
      <c r="M48" s="59">
        <v>248</v>
      </c>
      <c r="N48" s="59">
        <v>217</v>
      </c>
      <c r="O48" s="59">
        <v>154</v>
      </c>
      <c r="P48" s="59">
        <v>372</v>
      </c>
      <c r="Q48" s="59">
        <v>64</v>
      </c>
      <c r="R48" s="59">
        <v>63</v>
      </c>
      <c r="S48" s="59">
        <v>154</v>
      </c>
      <c r="T48" s="59">
        <v>6</v>
      </c>
      <c r="U48" s="59">
        <v>217</v>
      </c>
      <c r="V48" s="59">
        <v>310</v>
      </c>
      <c r="W48" s="59">
        <v>651</v>
      </c>
      <c r="X48" s="59">
        <v>93</v>
      </c>
      <c r="Y48" s="59">
        <v>248</v>
      </c>
      <c r="Z48" s="59">
        <v>279</v>
      </c>
      <c r="AA48" s="59">
        <v>46</v>
      </c>
      <c r="AB48" s="59">
        <v>22</v>
      </c>
      <c r="AC48" s="59">
        <v>155</v>
      </c>
      <c r="AD48" s="57">
        <f t="shared" si="30"/>
        <v>3423</v>
      </c>
      <c r="AE48" s="57">
        <f t="shared" si="31"/>
        <v>465</v>
      </c>
      <c r="AF48" s="60">
        <f>I48*(AD48+AE48)</f>
        <v>7776</v>
      </c>
      <c r="AG48" s="57" t="s">
        <v>43</v>
      </c>
      <c r="AH48" s="61">
        <v>53131608</v>
      </c>
      <c r="AI48" s="61" t="s">
        <v>44</v>
      </c>
      <c r="AJ48" s="61" t="s">
        <v>82</v>
      </c>
      <c r="AK48" s="62">
        <v>1592.0000000000002</v>
      </c>
      <c r="AL48" s="62">
        <f t="shared" si="33"/>
        <v>1673</v>
      </c>
      <c r="AM48" s="72"/>
      <c r="AN48" s="63"/>
      <c r="AO48" s="64">
        <v>4195</v>
      </c>
      <c r="AP48" s="73">
        <v>5900</v>
      </c>
      <c r="AQ48" s="64">
        <f t="shared" si="13"/>
        <v>1121</v>
      </c>
      <c r="AR48" s="64">
        <f t="shared" si="14"/>
        <v>7021</v>
      </c>
      <c r="AS48" s="65"/>
      <c r="AT48" s="65">
        <f t="shared" si="15"/>
        <v>1673</v>
      </c>
      <c r="AU48" s="66">
        <f t="shared" si="16"/>
        <v>4195</v>
      </c>
      <c r="AV48" s="65">
        <f t="shared" si="17"/>
        <v>7021</v>
      </c>
      <c r="AW48" s="65"/>
      <c r="AX48" s="67">
        <f t="shared" si="34"/>
        <v>1673</v>
      </c>
      <c r="AY48" s="67">
        <f t="shared" si="35"/>
        <v>4296.333333333333</v>
      </c>
      <c r="AZ48" s="67">
        <f t="shared" si="36"/>
        <v>4195</v>
      </c>
      <c r="BA48" s="67">
        <f t="shared" si="37"/>
        <v>3666.1392760708272</v>
      </c>
      <c r="BB48" s="67">
        <f t="shared" si="38"/>
        <v>2184.4873286171492</v>
      </c>
      <c r="BC48" s="68">
        <f t="shared" si="27"/>
        <v>0.50845387429990285</v>
      </c>
      <c r="BD48" s="67">
        <f t="shared" si="39"/>
        <v>1673</v>
      </c>
      <c r="BE48" s="67">
        <f t="shared" si="40"/>
        <v>7021</v>
      </c>
      <c r="BF48" s="67">
        <f t="shared" si="41"/>
        <v>2934</v>
      </c>
      <c r="BG48" s="67">
        <f t="shared" si="42"/>
        <v>5608</v>
      </c>
      <c r="BH48" s="67">
        <f t="shared" si="43"/>
        <v>5348</v>
      </c>
      <c r="BI48" s="67">
        <f t="shared" si="21"/>
        <v>5608</v>
      </c>
      <c r="BJ48" s="67">
        <f t="shared" si="44"/>
        <v>11216</v>
      </c>
      <c r="BK48" s="69" t="str">
        <f t="shared" si="45"/>
        <v>QUARTIL (Q3)</v>
      </c>
    </row>
    <row r="49" spans="2:63" ht="12.75" x14ac:dyDescent="0.2">
      <c r="E49" s="57">
        <f t="shared" si="46"/>
        <v>26</v>
      </c>
      <c r="F49" s="57">
        <v>3532101</v>
      </c>
      <c r="G49" s="58" t="s">
        <v>127</v>
      </c>
      <c r="H49" s="57" t="s">
        <v>43</v>
      </c>
      <c r="I49" s="57">
        <v>1</v>
      </c>
      <c r="J49" s="59">
        <v>0</v>
      </c>
      <c r="K49" s="59">
        <v>310</v>
      </c>
      <c r="L49" s="59">
        <v>279</v>
      </c>
      <c r="M49" s="59">
        <v>248</v>
      </c>
      <c r="N49" s="59">
        <v>217</v>
      </c>
      <c r="O49" s="59">
        <v>154</v>
      </c>
      <c r="P49" s="59">
        <v>372</v>
      </c>
      <c r="Q49" s="59">
        <v>64</v>
      </c>
      <c r="R49" s="59">
        <v>63</v>
      </c>
      <c r="S49" s="59">
        <v>154</v>
      </c>
      <c r="T49" s="59">
        <v>6</v>
      </c>
      <c r="U49" s="59">
        <v>217</v>
      </c>
      <c r="V49" s="59">
        <v>310</v>
      </c>
      <c r="W49" s="59">
        <v>651</v>
      </c>
      <c r="X49" s="59">
        <v>93</v>
      </c>
      <c r="Y49" s="59">
        <v>248</v>
      </c>
      <c r="Z49" s="59">
        <v>279</v>
      </c>
      <c r="AA49" s="59">
        <v>46</v>
      </c>
      <c r="AB49" s="59">
        <v>22</v>
      </c>
      <c r="AC49" s="59">
        <v>155</v>
      </c>
      <c r="AD49" s="57">
        <f t="shared" si="30"/>
        <v>3423</v>
      </c>
      <c r="AE49" s="57">
        <f t="shared" si="31"/>
        <v>465</v>
      </c>
      <c r="AF49" s="60">
        <f t="shared" si="32"/>
        <v>3888</v>
      </c>
      <c r="AG49" s="57" t="s">
        <v>43</v>
      </c>
      <c r="AH49" s="61">
        <v>53131608</v>
      </c>
      <c r="AI49" s="61" t="s">
        <v>44</v>
      </c>
      <c r="AJ49" s="61" t="s">
        <v>83</v>
      </c>
      <c r="AK49" s="62">
        <v>2709.79</v>
      </c>
      <c r="AL49" s="62">
        <f t="shared" si="33"/>
        <v>2848</v>
      </c>
      <c r="AM49" s="72"/>
      <c r="AN49" s="63"/>
      <c r="AO49" s="64">
        <v>4288</v>
      </c>
      <c r="AP49" s="73">
        <v>4950</v>
      </c>
      <c r="AQ49" s="64">
        <f t="shared" si="13"/>
        <v>940.5</v>
      </c>
      <c r="AR49" s="64">
        <f t="shared" si="14"/>
        <v>5890.5</v>
      </c>
      <c r="AS49" s="65"/>
      <c r="AT49" s="65">
        <f t="shared" si="15"/>
        <v>2848</v>
      </c>
      <c r="AU49" s="66">
        <f t="shared" si="16"/>
        <v>4288</v>
      </c>
      <c r="AV49" s="65">
        <f t="shared" si="17"/>
        <v>5890.5</v>
      </c>
      <c r="AW49" s="65"/>
      <c r="AX49" s="67">
        <f t="shared" si="34"/>
        <v>2848</v>
      </c>
      <c r="AY49" s="67">
        <f t="shared" si="35"/>
        <v>4342.166666666667</v>
      </c>
      <c r="AZ49" s="67">
        <f t="shared" si="36"/>
        <v>4288</v>
      </c>
      <c r="BA49" s="67">
        <f t="shared" si="37"/>
        <v>4158.936671028634</v>
      </c>
      <c r="BB49" s="67">
        <f t="shared" si="38"/>
        <v>1242.6858233501964</v>
      </c>
      <c r="BC49" s="68">
        <f t="shared" si="27"/>
        <v>0.28619026369712425</v>
      </c>
      <c r="BD49" s="67">
        <f t="shared" si="39"/>
        <v>2848</v>
      </c>
      <c r="BE49" s="67">
        <f t="shared" si="40"/>
        <v>5890.5</v>
      </c>
      <c r="BF49" s="67">
        <f t="shared" si="41"/>
        <v>3568</v>
      </c>
      <c r="BG49" s="67">
        <f t="shared" si="42"/>
        <v>5089.25</v>
      </c>
      <c r="BH49" s="67">
        <f t="shared" si="43"/>
        <v>3042.5</v>
      </c>
      <c r="BI49" s="67">
        <f t="shared" si="21"/>
        <v>5089</v>
      </c>
      <c r="BJ49" s="67">
        <f t="shared" si="44"/>
        <v>5089</v>
      </c>
      <c r="BK49" s="69" t="str">
        <f t="shared" si="45"/>
        <v>QUARTIL (Q3)</v>
      </c>
    </row>
    <row r="50" spans="2:63" ht="12.75" x14ac:dyDescent="0.25">
      <c r="E50" s="17" t="s">
        <v>24</v>
      </c>
      <c r="F50" s="18"/>
      <c r="G50" s="75"/>
      <c r="H50" s="17" t="s">
        <v>25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75"/>
      <c r="AK50" s="86"/>
      <c r="AL50" s="86"/>
      <c r="AM50" s="87"/>
      <c r="AN50" s="88"/>
      <c r="AO50" s="79"/>
      <c r="AP50" s="89"/>
      <c r="AQ50" s="79"/>
      <c r="AR50" s="79"/>
      <c r="AS50" s="65"/>
      <c r="AT50" s="65"/>
      <c r="AU50" s="66"/>
      <c r="AV50" s="65"/>
      <c r="AW50" s="65"/>
      <c r="AX50" s="80"/>
      <c r="AY50" s="80"/>
      <c r="AZ50" s="80"/>
      <c r="BA50" s="80"/>
      <c r="BB50" s="80"/>
      <c r="BC50" s="81"/>
      <c r="BD50" s="80"/>
      <c r="BE50" s="80"/>
      <c r="BF50" s="80"/>
      <c r="BG50" s="80"/>
      <c r="BH50" s="80"/>
      <c r="BI50" s="80"/>
      <c r="BJ50" s="80"/>
      <c r="BK50" s="80"/>
    </row>
    <row r="51" spans="2:63" ht="12.75" x14ac:dyDescent="0.25">
      <c r="E51" s="17" t="s">
        <v>84</v>
      </c>
      <c r="F51" s="18"/>
      <c r="G51" s="75"/>
      <c r="H51" s="17" t="s">
        <v>85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75"/>
      <c r="AK51" s="86"/>
      <c r="AL51" s="86"/>
      <c r="AM51" s="87"/>
      <c r="AN51" s="88"/>
      <c r="AO51" s="79"/>
      <c r="AP51" s="89"/>
      <c r="AQ51" s="79"/>
      <c r="AR51" s="79"/>
      <c r="AS51" s="65"/>
      <c r="AT51" s="65"/>
      <c r="AU51" s="66"/>
      <c r="AV51" s="65"/>
      <c r="AW51" s="65"/>
      <c r="AX51" s="80"/>
      <c r="AY51" s="80"/>
      <c r="AZ51" s="80"/>
      <c r="BA51" s="80"/>
      <c r="BB51" s="80"/>
      <c r="BC51" s="81"/>
      <c r="BD51" s="80"/>
      <c r="BE51" s="80"/>
      <c r="BF51" s="80"/>
      <c r="BG51" s="80"/>
      <c r="BH51" s="80"/>
      <c r="BI51" s="80"/>
      <c r="BJ51" s="80"/>
      <c r="BK51" s="80"/>
    </row>
    <row r="52" spans="2:63" ht="12.75" customHeight="1" x14ac:dyDescent="0.25">
      <c r="E52" s="30" t="s">
        <v>28</v>
      </c>
      <c r="F52" s="31" t="s">
        <v>15</v>
      </c>
      <c r="G52" s="31" t="s">
        <v>29</v>
      </c>
      <c r="H52" s="31" t="s">
        <v>20</v>
      </c>
      <c r="I52" s="33" t="s">
        <v>30</v>
      </c>
      <c r="J52" s="31" t="s">
        <v>31</v>
      </c>
      <c r="K52" s="17" t="s">
        <v>63</v>
      </c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3"/>
      <c r="AC52" s="84"/>
      <c r="AD52" s="31" t="s">
        <v>33</v>
      </c>
      <c r="AE52" s="31" t="s">
        <v>34</v>
      </c>
      <c r="AF52" s="31" t="s">
        <v>35</v>
      </c>
      <c r="AG52" s="31" t="s">
        <v>0</v>
      </c>
      <c r="AH52" s="31" t="s">
        <v>138</v>
      </c>
      <c r="AI52" s="31" t="s">
        <v>36</v>
      </c>
      <c r="AJ52" s="85" t="s">
        <v>37</v>
      </c>
      <c r="AK52" s="86"/>
      <c r="AL52" s="86"/>
      <c r="AM52" s="87"/>
      <c r="AN52" s="88"/>
      <c r="AO52" s="79"/>
      <c r="AP52" s="89"/>
      <c r="AQ52" s="79"/>
      <c r="AR52" s="79"/>
      <c r="AS52" s="65"/>
      <c r="AT52" s="65"/>
      <c r="AU52" s="66"/>
      <c r="AV52" s="65"/>
      <c r="AW52" s="65"/>
      <c r="AX52" s="80"/>
      <c r="AY52" s="80"/>
      <c r="AZ52" s="80"/>
      <c r="BA52" s="80"/>
      <c r="BB52" s="80"/>
      <c r="BC52" s="81"/>
      <c r="BD52" s="80"/>
      <c r="BE52" s="80"/>
      <c r="BF52" s="80"/>
      <c r="BG52" s="80"/>
      <c r="BH52" s="80"/>
      <c r="BI52" s="80"/>
      <c r="BJ52" s="80"/>
      <c r="BK52" s="80"/>
    </row>
    <row r="53" spans="2:63" ht="90" x14ac:dyDescent="0.2">
      <c r="E53" s="43"/>
      <c r="F53" s="44"/>
      <c r="G53" s="44"/>
      <c r="H53" s="43"/>
      <c r="I53" s="45"/>
      <c r="J53" s="43"/>
      <c r="K53" s="46" t="s">
        <v>107</v>
      </c>
      <c r="L53" s="46" t="s">
        <v>108</v>
      </c>
      <c r="M53" s="46" t="s">
        <v>109</v>
      </c>
      <c r="N53" s="46" t="s">
        <v>110</v>
      </c>
      <c r="O53" s="47" t="s">
        <v>38</v>
      </c>
      <c r="P53" s="48" t="s">
        <v>111</v>
      </c>
      <c r="Q53" s="47" t="s">
        <v>39</v>
      </c>
      <c r="R53" s="48" t="s">
        <v>112</v>
      </c>
      <c r="S53" s="47" t="s">
        <v>40</v>
      </c>
      <c r="T53" s="48" t="s">
        <v>113</v>
      </c>
      <c r="U53" s="48" t="s">
        <v>114</v>
      </c>
      <c r="V53" s="48" t="s">
        <v>115</v>
      </c>
      <c r="W53" s="48" t="s">
        <v>116</v>
      </c>
      <c r="X53" s="47" t="s">
        <v>41</v>
      </c>
      <c r="Y53" s="46" t="s">
        <v>117</v>
      </c>
      <c r="Z53" s="46" t="s">
        <v>118</v>
      </c>
      <c r="AA53" s="46" t="s">
        <v>119</v>
      </c>
      <c r="AB53" s="48" t="s">
        <v>120</v>
      </c>
      <c r="AC53" s="46" t="s">
        <v>121</v>
      </c>
      <c r="AD53" s="43"/>
      <c r="AE53" s="44"/>
      <c r="AF53" s="43"/>
      <c r="AG53" s="43"/>
      <c r="AH53" s="43"/>
      <c r="AI53" s="49"/>
      <c r="AJ53" s="50"/>
      <c r="AK53" s="86"/>
      <c r="AL53" s="86"/>
      <c r="AM53" s="87"/>
      <c r="AN53" s="88"/>
      <c r="AO53" s="79"/>
      <c r="AP53" s="89"/>
      <c r="AQ53" s="79"/>
      <c r="AR53" s="79"/>
      <c r="AS53" s="65"/>
      <c r="AT53" s="65"/>
      <c r="AU53" s="66"/>
      <c r="AV53" s="65"/>
      <c r="AW53" s="65"/>
      <c r="AX53" s="80"/>
      <c r="AY53" s="80"/>
      <c r="AZ53" s="80"/>
      <c r="BA53" s="80"/>
      <c r="BB53" s="80"/>
      <c r="BC53" s="81"/>
      <c r="BD53" s="80"/>
      <c r="BE53" s="80"/>
      <c r="BF53" s="80"/>
      <c r="BG53" s="80"/>
      <c r="BH53" s="80"/>
      <c r="BI53" s="80"/>
      <c r="BJ53" s="80"/>
      <c r="BK53" s="80"/>
    </row>
    <row r="54" spans="2:63" ht="19.5" customHeight="1" x14ac:dyDescent="0.2">
      <c r="E54" s="57">
        <f>E49+1</f>
        <v>27</v>
      </c>
      <c r="F54" s="57" t="s">
        <v>86</v>
      </c>
      <c r="G54" s="58" t="s">
        <v>87</v>
      </c>
      <c r="H54" s="57" t="s">
        <v>43</v>
      </c>
      <c r="I54" s="57">
        <v>1</v>
      </c>
      <c r="J54" s="59">
        <v>0</v>
      </c>
      <c r="K54" s="59">
        <v>310</v>
      </c>
      <c r="L54" s="59">
        <v>279</v>
      </c>
      <c r="M54" s="59">
        <v>248</v>
      </c>
      <c r="N54" s="59">
        <v>217</v>
      </c>
      <c r="O54" s="59">
        <v>154</v>
      </c>
      <c r="P54" s="59">
        <v>372</v>
      </c>
      <c r="Q54" s="59">
        <v>64</v>
      </c>
      <c r="R54" s="59">
        <v>63</v>
      </c>
      <c r="S54" s="59">
        <v>154</v>
      </c>
      <c r="T54" s="59">
        <v>6</v>
      </c>
      <c r="U54" s="59">
        <v>217</v>
      </c>
      <c r="V54" s="59">
        <v>310</v>
      </c>
      <c r="W54" s="59">
        <v>651</v>
      </c>
      <c r="X54" s="59">
        <v>93</v>
      </c>
      <c r="Y54" s="59">
        <v>248</v>
      </c>
      <c r="Z54" s="59">
        <v>279</v>
      </c>
      <c r="AA54" s="59">
        <v>46</v>
      </c>
      <c r="AB54" s="59">
        <v>22</v>
      </c>
      <c r="AC54" s="59">
        <v>155</v>
      </c>
      <c r="AD54" s="57">
        <f t="shared" ref="AD54:AD55" si="47">SUM(K54,L54,M54,N54,P54,R54,T54,U54,V54,W54,Y54,Z54,AA54,AB54,AC54)</f>
        <v>3423</v>
      </c>
      <c r="AE54" s="57">
        <f t="shared" ref="AE54:AE55" si="48">O54+Q54+S54+X54</f>
        <v>465</v>
      </c>
      <c r="AF54" s="60">
        <f>I54*(AD54+AE54)</f>
        <v>3888</v>
      </c>
      <c r="AG54" s="57" t="s">
        <v>43</v>
      </c>
      <c r="AH54" s="61">
        <v>46181901</v>
      </c>
      <c r="AI54" s="61" t="s">
        <v>44</v>
      </c>
      <c r="AJ54" s="61" t="s">
        <v>88</v>
      </c>
      <c r="AK54" s="62">
        <v>2074.6799999999998</v>
      </c>
      <c r="AL54" s="62">
        <f>+ROUND(AK54*($AL$5+1),0)</f>
        <v>2180</v>
      </c>
      <c r="AM54" s="72"/>
      <c r="AN54" s="63"/>
      <c r="AO54" s="64">
        <v>3943</v>
      </c>
      <c r="AP54" s="73">
        <v>6742</v>
      </c>
      <c r="AQ54" s="64">
        <f t="shared" si="13"/>
        <v>1280.98</v>
      </c>
      <c r="AR54" s="64">
        <f t="shared" si="14"/>
        <v>8022.98</v>
      </c>
      <c r="AS54" s="65"/>
      <c r="AT54" s="65">
        <f t="shared" si="15"/>
        <v>2180</v>
      </c>
      <c r="AU54" s="66">
        <f t="shared" si="16"/>
        <v>3943</v>
      </c>
      <c r="AV54" s="65">
        <f t="shared" si="17"/>
        <v>8022.98</v>
      </c>
      <c r="AW54" s="65"/>
      <c r="AX54" s="67">
        <f>MIN(AL54,AO54,AR54)</f>
        <v>2180</v>
      </c>
      <c r="AY54" s="67">
        <f>AVERAGE(AL54,AO54,AR54)</f>
        <v>4715.3266666666668</v>
      </c>
      <c r="AZ54" s="67">
        <f>MEDIAN(AL54,AO54,AR54)</f>
        <v>3943</v>
      </c>
      <c r="BA54" s="67">
        <f>GEOMEAN(AL54,AO54,AR54)</f>
        <v>4100.8415901811086</v>
      </c>
      <c r="BB54" s="67">
        <f>_xlfn.STDEV.P(AL54,AO54,AR54)</f>
        <v>2447.1030737225233</v>
      </c>
      <c r="BC54" s="68">
        <f t="shared" si="27"/>
        <v>0.51896787788244925</v>
      </c>
      <c r="BD54" s="67">
        <f>+SMALL(AT54:AV54,1)</f>
        <v>2180</v>
      </c>
      <c r="BE54" s="67">
        <f>LARGE(AT54:AV54,1)</f>
        <v>8022.98</v>
      </c>
      <c r="BF54" s="67">
        <f>QUARTILE(AT54:AV54,1)</f>
        <v>3061.5</v>
      </c>
      <c r="BG54" s="67">
        <f>QUARTILE(AT54:AV54,3)</f>
        <v>5982.99</v>
      </c>
      <c r="BH54" s="67">
        <f>_xlfn.QUARTILE.EXC(AT54:AV54,3)-_xlfn.QUARTILE.EXC(AT54:AV54,1)</f>
        <v>5842.98</v>
      </c>
      <c r="BI54" s="67">
        <f t="shared" si="21"/>
        <v>5983</v>
      </c>
      <c r="BJ54" s="67">
        <f>+BI54*I54</f>
        <v>5983</v>
      </c>
      <c r="BK54" s="69" t="str">
        <f>IF(BC54&lt;=$AX$2,"QUARTIL (Q3)","PROMEDIO")</f>
        <v>QUARTIL (Q3)</v>
      </c>
    </row>
    <row r="55" spans="2:63" ht="19.5" customHeight="1" x14ac:dyDescent="0.2">
      <c r="E55" s="57">
        <v>28</v>
      </c>
      <c r="F55" s="57">
        <v>3694099</v>
      </c>
      <c r="G55" s="58" t="s">
        <v>89</v>
      </c>
      <c r="H55" s="57" t="s">
        <v>43</v>
      </c>
      <c r="I55" s="57">
        <v>1</v>
      </c>
      <c r="J55" s="59">
        <v>0</v>
      </c>
      <c r="K55" s="59">
        <v>310</v>
      </c>
      <c r="L55" s="59">
        <v>279</v>
      </c>
      <c r="M55" s="59">
        <v>248</v>
      </c>
      <c r="N55" s="59">
        <v>217</v>
      </c>
      <c r="O55" s="59">
        <v>154</v>
      </c>
      <c r="P55" s="59">
        <v>372</v>
      </c>
      <c r="Q55" s="59">
        <v>64</v>
      </c>
      <c r="R55" s="59">
        <v>63</v>
      </c>
      <c r="S55" s="59">
        <v>154</v>
      </c>
      <c r="T55" s="59">
        <v>6</v>
      </c>
      <c r="U55" s="59">
        <v>217</v>
      </c>
      <c r="V55" s="59">
        <v>310</v>
      </c>
      <c r="W55" s="59">
        <v>651</v>
      </c>
      <c r="X55" s="59">
        <v>93</v>
      </c>
      <c r="Y55" s="59">
        <v>248</v>
      </c>
      <c r="Z55" s="59">
        <v>279</v>
      </c>
      <c r="AA55" s="59">
        <v>46</v>
      </c>
      <c r="AB55" s="59">
        <v>22</v>
      </c>
      <c r="AC55" s="59">
        <v>155</v>
      </c>
      <c r="AD55" s="57">
        <f t="shared" si="47"/>
        <v>3423</v>
      </c>
      <c r="AE55" s="57">
        <f t="shared" si="48"/>
        <v>465</v>
      </c>
      <c r="AF55" s="60">
        <f>I55*(AD55+AE55)</f>
        <v>3888</v>
      </c>
      <c r="AG55" s="57" t="s">
        <v>43</v>
      </c>
      <c r="AH55" s="93">
        <v>30181611</v>
      </c>
      <c r="AI55" s="61" t="s">
        <v>44</v>
      </c>
      <c r="AJ55" s="61" t="s">
        <v>90</v>
      </c>
      <c r="AK55" s="62">
        <v>1456.5</v>
      </c>
      <c r="AL55" s="62">
        <f>+ROUND(AK55*($AL$5+1),0)</f>
        <v>1531</v>
      </c>
      <c r="AM55" s="72"/>
      <c r="AN55" s="63"/>
      <c r="AO55" s="64">
        <v>2061</v>
      </c>
      <c r="AP55" s="73">
        <v>2985</v>
      </c>
      <c r="AQ55" s="64">
        <f t="shared" si="13"/>
        <v>567.15</v>
      </c>
      <c r="AR55" s="64">
        <f t="shared" si="14"/>
        <v>3552.15</v>
      </c>
      <c r="AS55" s="65"/>
      <c r="AT55" s="65">
        <f t="shared" si="15"/>
        <v>1531</v>
      </c>
      <c r="AU55" s="66">
        <f t="shared" si="16"/>
        <v>2061</v>
      </c>
      <c r="AV55" s="65">
        <f t="shared" si="17"/>
        <v>3552.15</v>
      </c>
      <c r="AW55" s="65"/>
      <c r="AX55" s="67">
        <f>MIN(AL55,AO55,AR55)</f>
        <v>1531</v>
      </c>
      <c r="AY55" s="67">
        <f>AVERAGE(AL55,AO55,AR55)</f>
        <v>2381.3833333333332</v>
      </c>
      <c r="AZ55" s="67">
        <f>MEDIAN(AL55,AO55,AR55)</f>
        <v>2061</v>
      </c>
      <c r="BA55" s="67">
        <f>GEOMEAN(AL55,AO55,AR55)</f>
        <v>2237.9385624337801</v>
      </c>
      <c r="BB55" s="67">
        <f>_xlfn.STDEV.P(AL55,AO55,AR55)</f>
        <v>855.66579957104557</v>
      </c>
      <c r="BC55" s="68">
        <f t="shared" si="27"/>
        <v>0.35931459987726139</v>
      </c>
      <c r="BD55" s="67">
        <f>+SMALL(AT55:AV55,1)</f>
        <v>1531</v>
      </c>
      <c r="BE55" s="67">
        <f>LARGE(AT55:AV55,1)</f>
        <v>3552.15</v>
      </c>
      <c r="BF55" s="67">
        <f>QUARTILE(AT55:AV55,1)</f>
        <v>1796</v>
      </c>
      <c r="BG55" s="67">
        <f>QUARTILE(AT55:AV55,3)</f>
        <v>2806.5749999999998</v>
      </c>
      <c r="BH55" s="67">
        <f>_xlfn.QUARTILE.EXC(AT55:AV55,3)-_xlfn.QUARTILE.EXC(AT55:AV55,1)</f>
        <v>2021.15</v>
      </c>
      <c r="BI55" s="67">
        <f t="shared" si="21"/>
        <v>2807</v>
      </c>
      <c r="BJ55" s="67">
        <f>+BI55*I55</f>
        <v>2807</v>
      </c>
      <c r="BK55" s="69" t="str">
        <f>IF(BC55&lt;=$AX$2,"QUARTIL (Q3)","PROMEDIO")</f>
        <v>QUARTIL (Q3)</v>
      </c>
    </row>
    <row r="56" spans="2:63" ht="12.75" x14ac:dyDescent="0.25">
      <c r="E56" s="17" t="s">
        <v>91</v>
      </c>
      <c r="F56" s="18"/>
      <c r="G56" s="75"/>
      <c r="H56" s="17" t="s">
        <v>92</v>
      </c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75"/>
      <c r="AK56" s="86"/>
      <c r="AL56" s="86"/>
      <c r="AM56" s="87"/>
      <c r="AN56" s="88"/>
      <c r="AO56" s="79"/>
      <c r="AP56" s="89"/>
      <c r="AQ56" s="79"/>
      <c r="AR56" s="79"/>
      <c r="AS56" s="65"/>
      <c r="AT56" s="65"/>
      <c r="AU56" s="66"/>
      <c r="AV56" s="65"/>
      <c r="AW56" s="65"/>
      <c r="AX56" s="80"/>
      <c r="AY56" s="80"/>
      <c r="AZ56" s="80"/>
      <c r="BA56" s="80"/>
      <c r="BB56" s="80"/>
      <c r="BC56" s="81"/>
      <c r="BD56" s="80"/>
      <c r="BE56" s="80"/>
      <c r="BF56" s="80"/>
      <c r="BG56" s="80"/>
      <c r="BH56" s="80"/>
      <c r="BI56" s="80"/>
      <c r="BJ56" s="80"/>
      <c r="BK56" s="80"/>
    </row>
    <row r="57" spans="2:63" ht="12.75" x14ac:dyDescent="0.2">
      <c r="E57" s="57">
        <v>29</v>
      </c>
      <c r="F57" s="93">
        <v>3694006</v>
      </c>
      <c r="G57" s="58" t="s">
        <v>93</v>
      </c>
      <c r="H57" s="57" t="s">
        <v>43</v>
      </c>
      <c r="I57" s="57">
        <v>1</v>
      </c>
      <c r="J57" s="59">
        <v>0</v>
      </c>
      <c r="K57" s="59">
        <v>310</v>
      </c>
      <c r="L57" s="59">
        <v>279</v>
      </c>
      <c r="M57" s="59">
        <v>248</v>
      </c>
      <c r="N57" s="59">
        <v>217</v>
      </c>
      <c r="O57" s="59">
        <v>154</v>
      </c>
      <c r="P57" s="59">
        <v>372</v>
      </c>
      <c r="Q57" s="59">
        <v>64</v>
      </c>
      <c r="R57" s="59">
        <v>63</v>
      </c>
      <c r="S57" s="59">
        <v>154</v>
      </c>
      <c r="T57" s="59">
        <v>6</v>
      </c>
      <c r="U57" s="59">
        <v>217</v>
      </c>
      <c r="V57" s="59">
        <v>310</v>
      </c>
      <c r="W57" s="59">
        <v>651</v>
      </c>
      <c r="X57" s="59">
        <v>93</v>
      </c>
      <c r="Y57" s="59">
        <v>248</v>
      </c>
      <c r="Z57" s="59">
        <v>279</v>
      </c>
      <c r="AA57" s="59">
        <v>46</v>
      </c>
      <c r="AB57" s="59">
        <v>22</v>
      </c>
      <c r="AC57" s="59">
        <v>155</v>
      </c>
      <c r="AD57" s="57">
        <f>SUM(K57,L57,M57,N57,P57,R57,T57,U57,V57,W57,Y57,Z57,AA57,AB57,AC57)</f>
        <v>3423</v>
      </c>
      <c r="AE57" s="57">
        <f t="shared" ref="AE57" si="49">O57+Q57+S57+X57</f>
        <v>465</v>
      </c>
      <c r="AF57" s="60">
        <f>I57*(AD57+AE57)</f>
        <v>3888</v>
      </c>
      <c r="AG57" s="57" t="s">
        <v>43</v>
      </c>
      <c r="AH57" s="61">
        <v>30181601</v>
      </c>
      <c r="AI57" s="61" t="s">
        <v>44</v>
      </c>
      <c r="AJ57" s="61" t="s">
        <v>94</v>
      </c>
      <c r="AK57" s="62">
        <v>1041.57</v>
      </c>
      <c r="AL57" s="62">
        <f>+ROUND(AK57*($AL$5+1),0)</f>
        <v>1095</v>
      </c>
      <c r="AM57" s="72"/>
      <c r="AN57" s="63"/>
      <c r="AO57" s="64">
        <v>2611</v>
      </c>
      <c r="AP57" s="73">
        <v>3654</v>
      </c>
      <c r="AQ57" s="64">
        <f t="shared" si="13"/>
        <v>694.26</v>
      </c>
      <c r="AR57" s="64">
        <f t="shared" si="14"/>
        <v>4348.26</v>
      </c>
      <c r="AS57" s="65"/>
      <c r="AT57" s="65">
        <f t="shared" si="15"/>
        <v>1095</v>
      </c>
      <c r="AU57" s="66">
        <f t="shared" si="16"/>
        <v>2611</v>
      </c>
      <c r="AV57" s="65">
        <f t="shared" si="17"/>
        <v>4348.26</v>
      </c>
      <c r="AW57" s="65"/>
      <c r="AX57" s="67">
        <f>MIN(AL57,AO57,AR57)</f>
        <v>1095</v>
      </c>
      <c r="AY57" s="67">
        <f>AVERAGE(AL57,AO57,AR57)</f>
        <v>2684.7533333333336</v>
      </c>
      <c r="AZ57" s="67">
        <f>MEDIAN(AL57,AO57,AR57)</f>
        <v>2611</v>
      </c>
      <c r="BA57" s="67">
        <f>GEOMEAN(AL57,AO57,AR57)</f>
        <v>2316.5703766795555</v>
      </c>
      <c r="BB57" s="67">
        <f>_xlfn.STDEV.P(AL57,AO57,AR57)</f>
        <v>1329.1613452432659</v>
      </c>
      <c r="BC57" s="68">
        <f t="shared" si="27"/>
        <v>0.49507764037041235</v>
      </c>
      <c r="BD57" s="67">
        <f>+SMALL(AT57:AV57,1)</f>
        <v>1095</v>
      </c>
      <c r="BE57" s="67">
        <f>LARGE(AT57:AV57,1)</f>
        <v>4348.26</v>
      </c>
      <c r="BF57" s="67">
        <f>QUARTILE(AT57:AV57,1)</f>
        <v>1853</v>
      </c>
      <c r="BG57" s="67">
        <f>QUARTILE(AT57:AV57,3)</f>
        <v>3479.63</v>
      </c>
      <c r="BH57" s="67">
        <f>_xlfn.QUARTILE.EXC(AT57:AV57,3)-_xlfn.QUARTILE.EXC(AT57:AV57,1)</f>
        <v>3253.26</v>
      </c>
      <c r="BI57" s="67">
        <f t="shared" si="21"/>
        <v>3480</v>
      </c>
      <c r="BJ57" s="67">
        <f>+BI57*I57</f>
        <v>3480</v>
      </c>
      <c r="BK57" s="69" t="str">
        <f>IF(BC57&lt;=$AX$2,"QUARTIL (Q3)","PROMEDIO")</f>
        <v>QUARTIL (Q3)</v>
      </c>
    </row>
    <row r="58" spans="2:63" ht="16.5" customHeight="1" x14ac:dyDescent="0.25">
      <c r="E58" s="17" t="s">
        <v>24</v>
      </c>
      <c r="F58" s="18"/>
      <c r="G58" s="75"/>
      <c r="H58" s="17" t="s">
        <v>25</v>
      </c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75"/>
      <c r="AK58" s="86"/>
      <c r="AL58" s="86"/>
      <c r="AM58" s="87"/>
      <c r="AN58" s="88"/>
      <c r="AO58" s="88"/>
      <c r="AP58" s="87"/>
      <c r="AQ58" s="88"/>
      <c r="AR58" s="88"/>
      <c r="AS58" s="65"/>
      <c r="AT58" s="65"/>
      <c r="AU58" s="66"/>
      <c r="AV58" s="65"/>
      <c r="AW58" s="65"/>
      <c r="AX58" s="80"/>
      <c r="AY58" s="80"/>
      <c r="AZ58" s="80"/>
      <c r="BA58" s="80"/>
      <c r="BB58" s="80"/>
      <c r="BC58" s="81"/>
      <c r="BD58" s="80"/>
      <c r="BE58" s="80"/>
      <c r="BF58" s="80"/>
      <c r="BG58" s="80"/>
      <c r="BH58" s="80"/>
      <c r="BI58" s="80"/>
      <c r="BJ58" s="80"/>
      <c r="BK58" s="80"/>
    </row>
    <row r="59" spans="2:63" ht="12.75" x14ac:dyDescent="0.25">
      <c r="E59" s="17" t="s">
        <v>95</v>
      </c>
      <c r="F59" s="18"/>
      <c r="G59" s="75"/>
      <c r="H59" s="17" t="s">
        <v>96</v>
      </c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75"/>
      <c r="AK59" s="86"/>
      <c r="AL59" s="86"/>
      <c r="AM59" s="87"/>
      <c r="AN59" s="88"/>
      <c r="AO59" s="88"/>
      <c r="AP59" s="87"/>
      <c r="AQ59" s="88"/>
      <c r="AR59" s="88"/>
      <c r="AS59" s="65"/>
      <c r="AT59" s="65"/>
      <c r="AU59" s="66"/>
      <c r="AV59" s="65"/>
      <c r="AW59" s="65"/>
      <c r="AX59" s="80"/>
      <c r="AY59" s="80"/>
      <c r="AZ59" s="80"/>
      <c r="BA59" s="80"/>
      <c r="BB59" s="80"/>
      <c r="BC59" s="81"/>
      <c r="BD59" s="80"/>
      <c r="BE59" s="80"/>
      <c r="BF59" s="80"/>
      <c r="BG59" s="80"/>
      <c r="BH59" s="80"/>
      <c r="BI59" s="80"/>
      <c r="BJ59" s="80"/>
      <c r="BK59" s="80"/>
    </row>
    <row r="60" spans="2:63" ht="12.75" x14ac:dyDescent="0.25">
      <c r="E60" s="30" t="s">
        <v>28</v>
      </c>
      <c r="F60" s="31" t="s">
        <v>15</v>
      </c>
      <c r="G60" s="31" t="s">
        <v>29</v>
      </c>
      <c r="H60" s="31" t="s">
        <v>20</v>
      </c>
      <c r="I60" s="31" t="s">
        <v>30</v>
      </c>
      <c r="J60" s="31" t="s">
        <v>31</v>
      </c>
      <c r="K60" s="17" t="s">
        <v>63</v>
      </c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3"/>
      <c r="AC60" s="84"/>
      <c r="AD60" s="31" t="s">
        <v>33</v>
      </c>
      <c r="AE60" s="31" t="s">
        <v>34</v>
      </c>
      <c r="AF60" s="31" t="s">
        <v>35</v>
      </c>
      <c r="AG60" s="31" t="s">
        <v>0</v>
      </c>
      <c r="AH60" s="31" t="s">
        <v>138</v>
      </c>
      <c r="AI60" s="31" t="s">
        <v>36</v>
      </c>
      <c r="AJ60" s="85" t="s">
        <v>37</v>
      </c>
      <c r="AK60" s="86"/>
      <c r="AL60" s="86"/>
      <c r="AM60" s="87"/>
      <c r="AN60" s="88"/>
      <c r="AO60" s="88"/>
      <c r="AP60" s="87"/>
      <c r="AQ60" s="88"/>
      <c r="AR60" s="88"/>
      <c r="AS60" s="65"/>
      <c r="AT60" s="65"/>
      <c r="AU60" s="66"/>
      <c r="AV60" s="65"/>
      <c r="AW60" s="65"/>
      <c r="AX60" s="80"/>
      <c r="AY60" s="80"/>
      <c r="AZ60" s="80"/>
      <c r="BA60" s="80"/>
      <c r="BB60" s="80"/>
      <c r="BC60" s="81"/>
      <c r="BD60" s="80"/>
      <c r="BE60" s="80"/>
      <c r="BF60" s="80"/>
      <c r="BG60" s="80"/>
      <c r="BH60" s="80"/>
      <c r="BI60" s="80"/>
      <c r="BJ60" s="80"/>
      <c r="BK60" s="80"/>
    </row>
    <row r="61" spans="2:63" ht="78.75" customHeight="1" x14ac:dyDescent="0.2">
      <c r="E61" s="43"/>
      <c r="F61" s="44"/>
      <c r="G61" s="44"/>
      <c r="H61" s="43"/>
      <c r="I61" s="43"/>
      <c r="J61" s="43"/>
      <c r="K61" s="46" t="s">
        <v>107</v>
      </c>
      <c r="L61" s="46" t="s">
        <v>108</v>
      </c>
      <c r="M61" s="46" t="s">
        <v>109</v>
      </c>
      <c r="N61" s="46" t="s">
        <v>110</v>
      </c>
      <c r="O61" s="47" t="s">
        <v>38</v>
      </c>
      <c r="P61" s="48" t="s">
        <v>111</v>
      </c>
      <c r="Q61" s="47" t="s">
        <v>39</v>
      </c>
      <c r="R61" s="48" t="s">
        <v>112</v>
      </c>
      <c r="S61" s="47" t="s">
        <v>40</v>
      </c>
      <c r="T61" s="48" t="s">
        <v>113</v>
      </c>
      <c r="U61" s="48" t="s">
        <v>114</v>
      </c>
      <c r="V61" s="48" t="s">
        <v>115</v>
      </c>
      <c r="W61" s="48" t="s">
        <v>116</v>
      </c>
      <c r="X61" s="47" t="s">
        <v>41</v>
      </c>
      <c r="Y61" s="46" t="s">
        <v>117</v>
      </c>
      <c r="Z61" s="46" t="s">
        <v>118</v>
      </c>
      <c r="AA61" s="46" t="s">
        <v>119</v>
      </c>
      <c r="AB61" s="48" t="s">
        <v>120</v>
      </c>
      <c r="AC61" s="46" t="s">
        <v>121</v>
      </c>
      <c r="AD61" s="94"/>
      <c r="AE61" s="95"/>
      <c r="AF61" s="96"/>
      <c r="AG61" s="96"/>
      <c r="AH61" s="43"/>
      <c r="AI61" s="49"/>
      <c r="AJ61" s="50"/>
      <c r="AK61" s="86"/>
      <c r="AL61" s="86"/>
      <c r="AM61" s="87"/>
      <c r="AN61" s="88"/>
      <c r="AO61" s="88"/>
      <c r="AP61" s="87"/>
      <c r="AQ61" s="88"/>
      <c r="AR61" s="88"/>
      <c r="AS61" s="65"/>
      <c r="AT61" s="65"/>
      <c r="AU61" s="66"/>
      <c r="AV61" s="65"/>
      <c r="AW61" s="65"/>
      <c r="AX61" s="80"/>
      <c r="AY61" s="80"/>
      <c r="AZ61" s="80"/>
      <c r="BA61" s="80"/>
      <c r="BB61" s="80"/>
      <c r="BC61" s="81"/>
      <c r="BD61" s="80"/>
      <c r="BE61" s="80"/>
      <c r="BF61" s="80"/>
      <c r="BG61" s="80"/>
      <c r="BH61" s="80"/>
      <c r="BI61" s="80"/>
      <c r="BJ61" s="80"/>
      <c r="BK61" s="80"/>
    </row>
    <row r="62" spans="2:63" s="5" customFormat="1" ht="21.75" customHeight="1" x14ac:dyDescent="0.2">
      <c r="B62" s="97"/>
      <c r="C62" s="97"/>
      <c r="D62" s="97"/>
      <c r="E62" s="57">
        <f>E57+1</f>
        <v>30</v>
      </c>
      <c r="F62" s="98">
        <v>3899307</v>
      </c>
      <c r="G62" s="58" t="s">
        <v>131</v>
      </c>
      <c r="H62" s="57" t="s">
        <v>43</v>
      </c>
      <c r="I62" s="57">
        <v>1</v>
      </c>
      <c r="J62" s="59">
        <v>0</v>
      </c>
      <c r="K62" s="59">
        <v>310</v>
      </c>
      <c r="L62" s="59">
        <v>279</v>
      </c>
      <c r="M62" s="59">
        <v>248</v>
      </c>
      <c r="N62" s="59">
        <v>217</v>
      </c>
      <c r="O62" s="59">
        <v>154</v>
      </c>
      <c r="P62" s="59">
        <v>372</v>
      </c>
      <c r="Q62" s="59">
        <v>64</v>
      </c>
      <c r="R62" s="59">
        <v>63</v>
      </c>
      <c r="S62" s="59">
        <v>154</v>
      </c>
      <c r="T62" s="59">
        <v>6</v>
      </c>
      <c r="U62" s="59">
        <v>217</v>
      </c>
      <c r="V62" s="59">
        <v>310</v>
      </c>
      <c r="W62" s="59">
        <v>651</v>
      </c>
      <c r="X62" s="59">
        <v>93</v>
      </c>
      <c r="Y62" s="59">
        <v>248</v>
      </c>
      <c r="Z62" s="59">
        <v>279</v>
      </c>
      <c r="AA62" s="59">
        <v>46</v>
      </c>
      <c r="AB62" s="59">
        <v>22</v>
      </c>
      <c r="AC62" s="59">
        <v>155</v>
      </c>
      <c r="AD62" s="57">
        <f t="shared" ref="AD62:AD65" si="50">SUM(K62,L62,M62,N62,P62,R62,T62,U62,V62,W62,Y62,Z62,AA62,AB62,AC62)</f>
        <v>3423</v>
      </c>
      <c r="AE62" s="57">
        <f t="shared" ref="AE62:AE65" si="51">O62+Q62+S62+X62</f>
        <v>465</v>
      </c>
      <c r="AF62" s="60">
        <f>I62*(AD62+AE62)</f>
        <v>3888</v>
      </c>
      <c r="AG62" s="57" t="s">
        <v>43</v>
      </c>
      <c r="AH62" s="61">
        <v>53131503</v>
      </c>
      <c r="AI62" s="61" t="s">
        <v>44</v>
      </c>
      <c r="AJ62" s="61" t="s">
        <v>97</v>
      </c>
      <c r="AK62" s="62">
        <v>1642.8000000000002</v>
      </c>
      <c r="AL62" s="62">
        <f>+ROUND(AK62*($AL$5+1),0)</f>
        <v>1727</v>
      </c>
      <c r="AM62" s="99"/>
      <c r="AN62" s="100"/>
      <c r="AO62" s="64">
        <v>3149</v>
      </c>
      <c r="AP62" s="73">
        <v>3654</v>
      </c>
      <c r="AQ62" s="64">
        <f t="shared" si="13"/>
        <v>694.26</v>
      </c>
      <c r="AR62" s="64">
        <f t="shared" si="14"/>
        <v>4348.26</v>
      </c>
      <c r="AS62" s="101"/>
      <c r="AT62" s="65">
        <f t="shared" si="15"/>
        <v>1727</v>
      </c>
      <c r="AU62" s="66">
        <f t="shared" si="16"/>
        <v>3149</v>
      </c>
      <c r="AV62" s="65">
        <f t="shared" si="17"/>
        <v>4348.26</v>
      </c>
      <c r="AW62" s="101"/>
      <c r="AX62" s="67">
        <f>MIN(AL62,AO62,AR62)</f>
        <v>1727</v>
      </c>
      <c r="AY62" s="67">
        <f>AVERAGE(AL62,AO62,AR62)</f>
        <v>3074.7533333333336</v>
      </c>
      <c r="AZ62" s="67">
        <f>MEDIAN(AL62,AO62,AR62)</f>
        <v>3149</v>
      </c>
      <c r="BA62" s="67">
        <f>GEOMEAN(AL62,AO62,AR62)</f>
        <v>2870.2969810070717</v>
      </c>
      <c r="BB62" s="67">
        <f>_xlfn.STDEV.P(AL62,AO62,AR62)</f>
        <v>1071.4119725960795</v>
      </c>
      <c r="BC62" s="68">
        <f t="shared" si="27"/>
        <v>0.34845460966931097</v>
      </c>
      <c r="BD62" s="67">
        <f>+SMALL(AT62:AV62,1)</f>
        <v>1727</v>
      </c>
      <c r="BE62" s="67">
        <f>LARGE(AT62:AV62,1)</f>
        <v>4348.26</v>
      </c>
      <c r="BF62" s="67">
        <f>QUARTILE(AT62:AV62,1)</f>
        <v>2438</v>
      </c>
      <c r="BG62" s="67">
        <f>QUARTILE(AT62:AV62,3)</f>
        <v>3748.63</v>
      </c>
      <c r="BH62" s="67">
        <f>_xlfn.QUARTILE.EXC(AT62:AV62,3)-_xlfn.QUARTILE.EXC(AT62:AV62,1)</f>
        <v>2621.2600000000002</v>
      </c>
      <c r="BI62" s="67">
        <f t="shared" si="21"/>
        <v>3749</v>
      </c>
      <c r="BJ62" s="67">
        <f>+BI62*I62</f>
        <v>3749</v>
      </c>
      <c r="BK62" s="69" t="str">
        <f>IF(BC62&lt;=$AX$2,"QUARTIL (Q3)","PROMEDIO")</f>
        <v>QUARTIL (Q3)</v>
      </c>
    </row>
    <row r="63" spans="2:63" s="5" customFormat="1" ht="21.75" customHeight="1" x14ac:dyDescent="0.2">
      <c r="B63" s="97"/>
      <c r="C63" s="97"/>
      <c r="D63" s="97"/>
      <c r="E63" s="57">
        <f t="shared" ref="E63:E65" si="52">E62+1</f>
        <v>31</v>
      </c>
      <c r="F63" s="98">
        <v>3899402</v>
      </c>
      <c r="G63" s="58" t="s">
        <v>132</v>
      </c>
      <c r="H63" s="57" t="s">
        <v>43</v>
      </c>
      <c r="I63" s="57">
        <v>1</v>
      </c>
      <c r="J63" s="59">
        <v>0</v>
      </c>
      <c r="K63" s="59">
        <v>310</v>
      </c>
      <c r="L63" s="59">
        <v>279</v>
      </c>
      <c r="M63" s="59">
        <v>248</v>
      </c>
      <c r="N63" s="59">
        <v>217</v>
      </c>
      <c r="O63" s="59">
        <v>154</v>
      </c>
      <c r="P63" s="59">
        <v>372</v>
      </c>
      <c r="Q63" s="59">
        <v>64</v>
      </c>
      <c r="R63" s="59">
        <v>63</v>
      </c>
      <c r="S63" s="59">
        <v>154</v>
      </c>
      <c r="T63" s="59">
        <v>6</v>
      </c>
      <c r="U63" s="59">
        <v>217</v>
      </c>
      <c r="V63" s="59">
        <v>310</v>
      </c>
      <c r="W63" s="59">
        <v>651</v>
      </c>
      <c r="X63" s="59">
        <v>93</v>
      </c>
      <c r="Y63" s="59">
        <v>248</v>
      </c>
      <c r="Z63" s="59">
        <v>279</v>
      </c>
      <c r="AA63" s="59">
        <v>46</v>
      </c>
      <c r="AB63" s="59">
        <v>22</v>
      </c>
      <c r="AC63" s="59">
        <v>155</v>
      </c>
      <c r="AD63" s="57">
        <f t="shared" si="50"/>
        <v>3423</v>
      </c>
      <c r="AE63" s="57">
        <f t="shared" si="51"/>
        <v>465</v>
      </c>
      <c r="AF63" s="60">
        <f>I63*(AD63+AE63)</f>
        <v>3888</v>
      </c>
      <c r="AG63" s="57" t="s">
        <v>43</v>
      </c>
      <c r="AH63" s="61">
        <v>53131604</v>
      </c>
      <c r="AI63" s="61" t="s">
        <v>44</v>
      </c>
      <c r="AJ63" s="61" t="s">
        <v>98</v>
      </c>
      <c r="AK63" s="62">
        <v>431.86</v>
      </c>
      <c r="AL63" s="62">
        <f>+ROUND(AK63*($AL$5+1),0)</f>
        <v>454</v>
      </c>
      <c r="AM63" s="102"/>
      <c r="AN63" s="102"/>
      <c r="AO63" s="64">
        <v>2000</v>
      </c>
      <c r="AP63" s="64">
        <v>3984</v>
      </c>
      <c r="AQ63" s="64">
        <f t="shared" si="13"/>
        <v>756.96</v>
      </c>
      <c r="AR63" s="64">
        <f t="shared" si="14"/>
        <v>4740.96</v>
      </c>
      <c r="AS63" s="101"/>
      <c r="AT63" s="65">
        <f t="shared" si="15"/>
        <v>454</v>
      </c>
      <c r="AU63" s="66">
        <f t="shared" si="16"/>
        <v>2000</v>
      </c>
      <c r="AV63" s="65">
        <f t="shared" si="17"/>
        <v>4740.96</v>
      </c>
      <c r="AW63" s="101"/>
      <c r="AX63" s="67">
        <f>MIN(AL63,AO63,AR63)</f>
        <v>454</v>
      </c>
      <c r="AY63" s="67">
        <f>AVERAGE(AL63,AO63,AR63)</f>
        <v>2398.3200000000002</v>
      </c>
      <c r="AZ63" s="67">
        <f>MEDIAN(AL63,AO63,AR63)</f>
        <v>2000</v>
      </c>
      <c r="BA63" s="67">
        <f>GEOMEAN(AL63,AO63,AR63)</f>
        <v>1626.7371315290236</v>
      </c>
      <c r="BB63" s="67">
        <f>_xlfn.STDEV.P(AL63,AO63,AR63)</f>
        <v>1772.6628984289898</v>
      </c>
      <c r="BC63" s="68">
        <f t="shared" si="27"/>
        <v>0.73912692986298312</v>
      </c>
      <c r="BD63" s="67">
        <f>+SMALL(AT63:AV63,1)</f>
        <v>454</v>
      </c>
      <c r="BE63" s="67">
        <f>LARGE(AT63:AV63,1)</f>
        <v>4740.96</v>
      </c>
      <c r="BF63" s="67">
        <f>QUARTILE(AT63:AV63,1)</f>
        <v>1227</v>
      </c>
      <c r="BG63" s="67">
        <f>QUARTILE(AT63:AV63,3)</f>
        <v>3370.48</v>
      </c>
      <c r="BH63" s="67">
        <f>_xlfn.QUARTILE.EXC(AT63:AV63,3)-_xlfn.QUARTILE.EXC(AT63:AV63,1)</f>
        <v>4286.96</v>
      </c>
      <c r="BI63" s="67">
        <f t="shared" si="21"/>
        <v>2398</v>
      </c>
      <c r="BJ63" s="67">
        <f>+BI63*I63</f>
        <v>2398</v>
      </c>
      <c r="BK63" s="69" t="str">
        <f>IF(BC63&lt;=$AX$2,"QUARTIL (Q3)","PROMEDIO")</f>
        <v>PROMEDIO</v>
      </c>
    </row>
    <row r="64" spans="2:63" s="5" customFormat="1" ht="22.5" customHeight="1" x14ac:dyDescent="0.2">
      <c r="B64" s="97"/>
      <c r="C64" s="97"/>
      <c r="D64" s="97"/>
      <c r="E64" s="57">
        <f t="shared" si="52"/>
        <v>32</v>
      </c>
      <c r="F64" s="98">
        <v>3899306</v>
      </c>
      <c r="G64" s="58" t="s">
        <v>133</v>
      </c>
      <c r="H64" s="57" t="s">
        <v>43</v>
      </c>
      <c r="I64" s="57">
        <v>1</v>
      </c>
      <c r="J64" s="59">
        <v>0</v>
      </c>
      <c r="K64" s="59">
        <v>310</v>
      </c>
      <c r="L64" s="59">
        <v>279</v>
      </c>
      <c r="M64" s="59">
        <v>248</v>
      </c>
      <c r="N64" s="59">
        <v>217</v>
      </c>
      <c r="O64" s="59">
        <v>154</v>
      </c>
      <c r="P64" s="59">
        <v>372</v>
      </c>
      <c r="Q64" s="59">
        <v>64</v>
      </c>
      <c r="R64" s="59">
        <v>63</v>
      </c>
      <c r="S64" s="59">
        <v>154</v>
      </c>
      <c r="T64" s="59">
        <v>6</v>
      </c>
      <c r="U64" s="59">
        <v>217</v>
      </c>
      <c r="V64" s="59">
        <v>310</v>
      </c>
      <c r="W64" s="59">
        <v>651</v>
      </c>
      <c r="X64" s="59">
        <v>93</v>
      </c>
      <c r="Y64" s="59">
        <v>248</v>
      </c>
      <c r="Z64" s="59">
        <v>279</v>
      </c>
      <c r="AA64" s="59">
        <v>46</v>
      </c>
      <c r="AB64" s="59">
        <v>22</v>
      </c>
      <c r="AC64" s="59">
        <v>155</v>
      </c>
      <c r="AD64" s="57">
        <f t="shared" si="50"/>
        <v>3423</v>
      </c>
      <c r="AE64" s="57">
        <f t="shared" si="51"/>
        <v>465</v>
      </c>
      <c r="AF64" s="60">
        <f>I64*(AD64+AE64)</f>
        <v>3888</v>
      </c>
      <c r="AG64" s="57" t="s">
        <v>43</v>
      </c>
      <c r="AH64" s="61">
        <v>47131605</v>
      </c>
      <c r="AI64" s="61" t="s">
        <v>44</v>
      </c>
      <c r="AJ64" s="61" t="s">
        <v>99</v>
      </c>
      <c r="AK64" s="62">
        <v>6164.77</v>
      </c>
      <c r="AL64" s="62">
        <f>+ROUND(AK64*($AL$5+1),0)</f>
        <v>6479</v>
      </c>
      <c r="AM64" s="99"/>
      <c r="AN64" s="100"/>
      <c r="AO64" s="64">
        <v>9130</v>
      </c>
      <c r="AP64" s="73">
        <v>24510</v>
      </c>
      <c r="AQ64" s="64">
        <f t="shared" si="13"/>
        <v>4656.8999999999996</v>
      </c>
      <c r="AR64" s="64">
        <f t="shared" si="14"/>
        <v>29166.9</v>
      </c>
      <c r="AS64" s="101"/>
      <c r="AT64" s="65">
        <f t="shared" si="15"/>
        <v>6479</v>
      </c>
      <c r="AU64" s="66">
        <f t="shared" si="16"/>
        <v>9130</v>
      </c>
      <c r="AV64" s="65">
        <f t="shared" si="17"/>
        <v>29166.9</v>
      </c>
      <c r="AW64" s="101"/>
      <c r="AX64" s="67">
        <f>MIN(AL64,AO64,AR64)</f>
        <v>6479</v>
      </c>
      <c r="AY64" s="67">
        <f>AVERAGE(AL64,AO64,AR64)</f>
        <v>14925.300000000001</v>
      </c>
      <c r="AZ64" s="67">
        <f>MEDIAN(AL64,AO64,AR64)</f>
        <v>9130</v>
      </c>
      <c r="BA64" s="67">
        <f>GEOMEAN(AL64,AO64,AR64)</f>
        <v>11993.787318277506</v>
      </c>
      <c r="BB64" s="67">
        <f>_xlfn.STDEV.P(AL64,AO64,AR64)</f>
        <v>10128.320958908573</v>
      </c>
      <c r="BC64" s="68">
        <f t="shared" si="27"/>
        <v>0.67860082939093835</v>
      </c>
      <c r="BD64" s="67">
        <f>+SMALL(AT64:AV64,1)</f>
        <v>6479</v>
      </c>
      <c r="BE64" s="67">
        <f>LARGE(AT64:AV64,1)</f>
        <v>29166.9</v>
      </c>
      <c r="BF64" s="67">
        <f>QUARTILE(AT64:AV64,1)</f>
        <v>7804.5</v>
      </c>
      <c r="BG64" s="67">
        <f>QUARTILE(AT64:AV64,3)</f>
        <v>19148.45</v>
      </c>
      <c r="BH64" s="67">
        <f>_xlfn.QUARTILE.EXC(AT64:AV64,3)-_xlfn.QUARTILE.EXC(AT64:AV64,1)</f>
        <v>22687.9</v>
      </c>
      <c r="BI64" s="67">
        <f t="shared" si="21"/>
        <v>14925</v>
      </c>
      <c r="BJ64" s="67">
        <f>+BI64*I64</f>
        <v>14925</v>
      </c>
      <c r="BK64" s="69" t="str">
        <f>IF(BC64&lt;=$AX$2,"QUARTIL (Q3)","PROMEDIO")</f>
        <v>PROMEDIO</v>
      </c>
    </row>
    <row r="65" spans="2:63" s="5" customFormat="1" ht="21.75" customHeight="1" x14ac:dyDescent="0.2">
      <c r="B65" s="97"/>
      <c r="C65" s="97"/>
      <c r="D65" s="97"/>
      <c r="E65" s="57">
        <f t="shared" si="52"/>
        <v>33</v>
      </c>
      <c r="F65" s="98">
        <v>3891103</v>
      </c>
      <c r="G65" s="58" t="s">
        <v>134</v>
      </c>
      <c r="H65" s="57" t="s">
        <v>43</v>
      </c>
      <c r="I65" s="57">
        <v>1</v>
      </c>
      <c r="J65" s="59">
        <v>0</v>
      </c>
      <c r="K65" s="59">
        <v>310</v>
      </c>
      <c r="L65" s="59">
        <v>279</v>
      </c>
      <c r="M65" s="59">
        <v>248</v>
      </c>
      <c r="N65" s="59">
        <v>217</v>
      </c>
      <c r="O65" s="59">
        <v>154</v>
      </c>
      <c r="P65" s="59">
        <v>372</v>
      </c>
      <c r="Q65" s="59">
        <v>64</v>
      </c>
      <c r="R65" s="59">
        <v>63</v>
      </c>
      <c r="S65" s="59">
        <v>154</v>
      </c>
      <c r="T65" s="59">
        <v>6</v>
      </c>
      <c r="U65" s="59">
        <v>217</v>
      </c>
      <c r="V65" s="59">
        <v>310</v>
      </c>
      <c r="W65" s="59">
        <v>651</v>
      </c>
      <c r="X65" s="59">
        <v>93</v>
      </c>
      <c r="Y65" s="59">
        <v>248</v>
      </c>
      <c r="Z65" s="59">
        <v>279</v>
      </c>
      <c r="AA65" s="59">
        <v>46</v>
      </c>
      <c r="AB65" s="59">
        <v>22</v>
      </c>
      <c r="AC65" s="59">
        <v>155</v>
      </c>
      <c r="AD65" s="57">
        <f t="shared" si="50"/>
        <v>3423</v>
      </c>
      <c r="AE65" s="57">
        <f t="shared" si="51"/>
        <v>465</v>
      </c>
      <c r="AF65" s="60">
        <f>I65*(AD65+AE65)</f>
        <v>3888</v>
      </c>
      <c r="AG65" s="57" t="s">
        <v>43</v>
      </c>
      <c r="AH65" s="61">
        <v>44121701</v>
      </c>
      <c r="AI65" s="61" t="s">
        <v>44</v>
      </c>
      <c r="AJ65" s="61" t="s">
        <v>100</v>
      </c>
      <c r="AK65" s="62">
        <v>1024.6300000000001</v>
      </c>
      <c r="AL65" s="62">
        <f>+ROUND(AK65*($AL$5+1),0)</f>
        <v>1077</v>
      </c>
      <c r="AM65" s="99"/>
      <c r="AN65" s="100"/>
      <c r="AO65" s="64">
        <v>1709</v>
      </c>
      <c r="AP65" s="73">
        <v>2987</v>
      </c>
      <c r="AQ65" s="64"/>
      <c r="AR65" s="64">
        <f t="shared" si="14"/>
        <v>2987</v>
      </c>
      <c r="AS65" s="101"/>
      <c r="AT65" s="65">
        <f t="shared" si="15"/>
        <v>1077</v>
      </c>
      <c r="AU65" s="66">
        <f t="shared" si="16"/>
        <v>1709</v>
      </c>
      <c r="AV65" s="65">
        <f t="shared" si="17"/>
        <v>2987</v>
      </c>
      <c r="AW65" s="101"/>
      <c r="AX65" s="67">
        <f>MIN(AL65,AO65,AR65)</f>
        <v>1077</v>
      </c>
      <c r="AY65" s="67">
        <f>AVERAGE(AL65,AO65,AR65)</f>
        <v>1924.3333333333333</v>
      </c>
      <c r="AZ65" s="67">
        <f>MEDIAN(AL65,AO65,AR65)</f>
        <v>1709</v>
      </c>
      <c r="BA65" s="67">
        <f>GEOMEAN(AL65,AO65,AR65)</f>
        <v>1764.9442682902818</v>
      </c>
      <c r="BB65" s="67">
        <f>_xlfn.STDEV.P(AL65,AO65,AR65)</f>
        <v>794.48152205629606</v>
      </c>
      <c r="BC65" s="68">
        <f t="shared" si="27"/>
        <v>0.41286065584079129</v>
      </c>
      <c r="BD65" s="67">
        <f>+SMALL(AT65:AV65,1)</f>
        <v>1077</v>
      </c>
      <c r="BE65" s="67">
        <f>LARGE(AT65:AV65,1)</f>
        <v>2987</v>
      </c>
      <c r="BF65" s="67">
        <f>QUARTILE(AT65:AV65,1)</f>
        <v>1393</v>
      </c>
      <c r="BG65" s="67">
        <f>QUARTILE(AT65:AV65,3)</f>
        <v>2348</v>
      </c>
      <c r="BH65" s="67">
        <f>_xlfn.QUARTILE.EXC(AT65:AV65,3)-_xlfn.QUARTILE.EXC(AT65:AV65,1)</f>
        <v>1910</v>
      </c>
      <c r="BI65" s="67">
        <f t="shared" si="21"/>
        <v>2348</v>
      </c>
      <c r="BJ65" s="67">
        <f>+BI65*I65</f>
        <v>2348</v>
      </c>
      <c r="BK65" s="69" t="str">
        <f>IF(BC65&lt;=$AX$2,"QUARTIL (Q3)","PROMEDIO")</f>
        <v>QUARTIL (Q3)</v>
      </c>
    </row>
    <row r="66" spans="2:63" ht="12.75" x14ac:dyDescent="0.25">
      <c r="E66" s="17" t="s">
        <v>24</v>
      </c>
      <c r="F66" s="18"/>
      <c r="G66" s="75"/>
      <c r="H66" s="17" t="s">
        <v>25</v>
      </c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75"/>
      <c r="AK66" s="87"/>
      <c r="AL66" s="86"/>
      <c r="AM66" s="87"/>
      <c r="AN66" s="88"/>
      <c r="AO66" s="79"/>
      <c r="AP66" s="89"/>
      <c r="AQ66" s="79"/>
      <c r="AR66" s="79"/>
      <c r="AS66" s="65"/>
      <c r="AT66" s="65"/>
      <c r="AU66" s="66"/>
      <c r="AV66" s="65"/>
      <c r="AW66" s="65"/>
      <c r="AX66" s="80"/>
      <c r="AY66" s="80"/>
      <c r="AZ66" s="80"/>
      <c r="BA66" s="80"/>
      <c r="BB66" s="80"/>
      <c r="BC66" s="81"/>
      <c r="BD66" s="80"/>
      <c r="BE66" s="80"/>
      <c r="BF66" s="80"/>
      <c r="BG66" s="80"/>
      <c r="BH66" s="80"/>
      <c r="BI66" s="80"/>
      <c r="BJ66" s="80"/>
      <c r="BK66" s="80"/>
    </row>
    <row r="67" spans="2:63" ht="12.75" x14ac:dyDescent="0.25">
      <c r="E67" s="17" t="s">
        <v>101</v>
      </c>
      <c r="F67" s="18"/>
      <c r="G67" s="75"/>
      <c r="H67" s="17" t="s">
        <v>102</v>
      </c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75"/>
      <c r="AK67" s="87"/>
      <c r="AL67" s="86"/>
      <c r="AM67" s="87"/>
      <c r="AN67" s="88"/>
      <c r="AO67" s="79"/>
      <c r="AP67" s="89"/>
      <c r="AQ67" s="79"/>
      <c r="AR67" s="79"/>
      <c r="AS67" s="65"/>
      <c r="AT67" s="65"/>
      <c r="AU67" s="66"/>
      <c r="AV67" s="65"/>
      <c r="AW67" s="65"/>
      <c r="AX67" s="80"/>
      <c r="AY67" s="80"/>
      <c r="AZ67" s="80"/>
      <c r="BA67" s="80"/>
      <c r="BB67" s="80"/>
      <c r="BC67" s="81"/>
      <c r="BD67" s="80"/>
      <c r="BE67" s="80"/>
      <c r="BF67" s="80"/>
      <c r="BG67" s="80"/>
      <c r="BH67" s="80"/>
      <c r="BI67" s="80"/>
      <c r="BJ67" s="80"/>
      <c r="BK67" s="80"/>
    </row>
    <row r="68" spans="2:63" ht="12.75" x14ac:dyDescent="0.25">
      <c r="E68" s="30" t="s">
        <v>28</v>
      </c>
      <c r="F68" s="31" t="s">
        <v>15</v>
      </c>
      <c r="G68" s="31" t="s">
        <v>29</v>
      </c>
      <c r="H68" s="31" t="s">
        <v>20</v>
      </c>
      <c r="I68" s="31" t="s">
        <v>30</v>
      </c>
      <c r="J68" s="31" t="s">
        <v>31</v>
      </c>
      <c r="K68" s="17" t="s">
        <v>63</v>
      </c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3"/>
      <c r="AC68" s="84"/>
      <c r="AD68" s="31" t="s">
        <v>33</v>
      </c>
      <c r="AE68" s="31" t="s">
        <v>34</v>
      </c>
      <c r="AF68" s="31" t="s">
        <v>35</v>
      </c>
      <c r="AG68" s="31" t="s">
        <v>0</v>
      </c>
      <c r="AH68" s="31" t="s">
        <v>138</v>
      </c>
      <c r="AI68" s="31" t="s">
        <v>36</v>
      </c>
      <c r="AJ68" s="85" t="s">
        <v>37</v>
      </c>
      <c r="AK68" s="87"/>
      <c r="AL68" s="86"/>
      <c r="AM68" s="87"/>
      <c r="AN68" s="88"/>
      <c r="AO68" s="79"/>
      <c r="AP68" s="89"/>
      <c r="AQ68" s="79"/>
      <c r="AR68" s="79"/>
      <c r="AS68" s="65"/>
      <c r="AT68" s="65"/>
      <c r="AU68" s="66"/>
      <c r="AV68" s="65"/>
      <c r="AW68" s="65"/>
      <c r="AX68" s="80"/>
      <c r="AY68" s="80"/>
      <c r="AZ68" s="80"/>
      <c r="BA68" s="80"/>
      <c r="BB68" s="80"/>
      <c r="BC68" s="81"/>
      <c r="BD68" s="80"/>
      <c r="BE68" s="80"/>
      <c r="BF68" s="80"/>
      <c r="BG68" s="80"/>
      <c r="BH68" s="80"/>
      <c r="BI68" s="80"/>
      <c r="BJ68" s="80"/>
      <c r="BK68" s="80"/>
    </row>
    <row r="69" spans="2:63" ht="90" x14ac:dyDescent="0.2">
      <c r="E69" s="43"/>
      <c r="F69" s="44"/>
      <c r="G69" s="44"/>
      <c r="H69" s="43"/>
      <c r="I69" s="43"/>
      <c r="J69" s="43"/>
      <c r="K69" s="46" t="s">
        <v>107</v>
      </c>
      <c r="L69" s="46" t="s">
        <v>108</v>
      </c>
      <c r="M69" s="46" t="s">
        <v>109</v>
      </c>
      <c r="N69" s="46" t="s">
        <v>110</v>
      </c>
      <c r="O69" s="47" t="s">
        <v>38</v>
      </c>
      <c r="P69" s="48" t="s">
        <v>111</v>
      </c>
      <c r="Q69" s="47" t="s">
        <v>39</v>
      </c>
      <c r="R69" s="48" t="s">
        <v>112</v>
      </c>
      <c r="S69" s="47" t="s">
        <v>40</v>
      </c>
      <c r="T69" s="48" t="s">
        <v>113</v>
      </c>
      <c r="U69" s="48" t="s">
        <v>114</v>
      </c>
      <c r="V69" s="48" t="s">
        <v>115</v>
      </c>
      <c r="W69" s="48" t="s">
        <v>116</v>
      </c>
      <c r="X69" s="47" t="s">
        <v>41</v>
      </c>
      <c r="Y69" s="46" t="s">
        <v>117</v>
      </c>
      <c r="Z69" s="46" t="s">
        <v>118</v>
      </c>
      <c r="AA69" s="46" t="s">
        <v>119</v>
      </c>
      <c r="AB69" s="48" t="s">
        <v>120</v>
      </c>
      <c r="AC69" s="46" t="s">
        <v>121</v>
      </c>
      <c r="AD69" s="43"/>
      <c r="AE69" s="44"/>
      <c r="AF69" s="43"/>
      <c r="AG69" s="43"/>
      <c r="AH69" s="43"/>
      <c r="AI69" s="49"/>
      <c r="AJ69" s="50"/>
      <c r="AK69" s="87"/>
      <c r="AL69" s="86"/>
      <c r="AM69" s="87"/>
      <c r="AN69" s="88"/>
      <c r="AO69" s="79"/>
      <c r="AP69" s="89"/>
      <c r="AQ69" s="79"/>
      <c r="AR69" s="79"/>
      <c r="AS69" s="65"/>
      <c r="AT69" s="65"/>
      <c r="AU69" s="66"/>
      <c r="AV69" s="65"/>
      <c r="AW69" s="65"/>
      <c r="AX69" s="80"/>
      <c r="AY69" s="80"/>
      <c r="AZ69" s="80"/>
      <c r="BA69" s="80"/>
      <c r="BB69" s="80"/>
      <c r="BC69" s="81"/>
      <c r="BD69" s="80"/>
      <c r="BE69" s="80"/>
      <c r="BF69" s="80"/>
      <c r="BG69" s="80"/>
      <c r="BH69" s="80"/>
      <c r="BI69" s="80"/>
      <c r="BJ69" s="80"/>
      <c r="BK69" s="80"/>
    </row>
    <row r="70" spans="2:63" s="5" customFormat="1" ht="23.25" customHeight="1" x14ac:dyDescent="0.2">
      <c r="B70" s="97"/>
      <c r="C70" s="97"/>
      <c r="D70" s="97"/>
      <c r="E70" s="57">
        <f>E65+1</f>
        <v>34</v>
      </c>
      <c r="F70" s="98">
        <v>4299206</v>
      </c>
      <c r="G70" s="58" t="s">
        <v>135</v>
      </c>
      <c r="H70" s="57" t="s">
        <v>43</v>
      </c>
      <c r="I70" s="61">
        <v>1</v>
      </c>
      <c r="J70" s="59">
        <v>0</v>
      </c>
      <c r="K70" s="59">
        <v>310</v>
      </c>
      <c r="L70" s="59">
        <v>279</v>
      </c>
      <c r="M70" s="59">
        <v>248</v>
      </c>
      <c r="N70" s="59">
        <v>217</v>
      </c>
      <c r="O70" s="59">
        <v>154</v>
      </c>
      <c r="P70" s="59">
        <v>372</v>
      </c>
      <c r="Q70" s="59">
        <v>64</v>
      </c>
      <c r="R70" s="59">
        <v>63</v>
      </c>
      <c r="S70" s="59">
        <v>154</v>
      </c>
      <c r="T70" s="59">
        <v>6</v>
      </c>
      <c r="U70" s="59">
        <v>217</v>
      </c>
      <c r="V70" s="59">
        <v>310</v>
      </c>
      <c r="W70" s="59">
        <v>651</v>
      </c>
      <c r="X70" s="59">
        <v>93</v>
      </c>
      <c r="Y70" s="59">
        <v>248</v>
      </c>
      <c r="Z70" s="59">
        <v>279</v>
      </c>
      <c r="AA70" s="59">
        <v>46</v>
      </c>
      <c r="AB70" s="59">
        <v>22</v>
      </c>
      <c r="AC70" s="59">
        <v>155</v>
      </c>
      <c r="AD70" s="57">
        <f t="shared" ref="AD70:AD73" si="53">SUM(K70,L70,M70,N70,P70,R70,T70,U70,V70,W70,Y70,Z70,AA70,AB70,AC70)</f>
        <v>3423</v>
      </c>
      <c r="AE70" s="57">
        <f t="shared" ref="AE70:AE73" si="54">O70+Q70+S70+X70</f>
        <v>465</v>
      </c>
      <c r="AF70" s="60">
        <f>I70*(AD70+AE70)</f>
        <v>3888</v>
      </c>
      <c r="AG70" s="57" t="s">
        <v>43</v>
      </c>
      <c r="AH70" s="61">
        <v>46171501</v>
      </c>
      <c r="AI70" s="61" t="s">
        <v>44</v>
      </c>
      <c r="AJ70" s="61" t="s">
        <v>103</v>
      </c>
      <c r="AK70" s="62">
        <v>4378</v>
      </c>
      <c r="AL70" s="62">
        <f>+ROUND(AK70*($AL$5+1),0)</f>
        <v>4601</v>
      </c>
      <c r="AM70" s="99"/>
      <c r="AN70" s="100"/>
      <c r="AO70" s="64">
        <v>77630</v>
      </c>
      <c r="AP70" s="73">
        <v>9650</v>
      </c>
      <c r="AQ70" s="64">
        <f t="shared" si="13"/>
        <v>1833.5</v>
      </c>
      <c r="AR70" s="64">
        <f t="shared" si="14"/>
        <v>11483.5</v>
      </c>
      <c r="AS70" s="101"/>
      <c r="AT70" s="65">
        <f t="shared" si="15"/>
        <v>4601</v>
      </c>
      <c r="AU70" s="66">
        <f t="shared" si="16"/>
        <v>77630</v>
      </c>
      <c r="AV70" s="65">
        <f t="shared" si="17"/>
        <v>11483.5</v>
      </c>
      <c r="AW70" s="101"/>
      <c r="AX70" s="67">
        <f>MIN(AL70,AO70,AR70)</f>
        <v>4601</v>
      </c>
      <c r="AY70" s="67">
        <f>AVERAGE(AL70,AO70,AR70)</f>
        <v>31238.166666666668</v>
      </c>
      <c r="AZ70" s="67">
        <f>MEDIAN(AL70,AO70,AR70)</f>
        <v>11483.5</v>
      </c>
      <c r="BA70" s="67">
        <f>GEOMEAN(AL70,AO70,AR70)</f>
        <v>16007.322620983085</v>
      </c>
      <c r="BB70" s="67">
        <f>_xlfn.STDEV.P(AL70,AO70,AR70)</f>
        <v>32924.093017964151</v>
      </c>
      <c r="BC70" s="68">
        <f t="shared" si="27"/>
        <v>1.0539700799117795</v>
      </c>
      <c r="BD70" s="67">
        <f>+SMALL(AT70:AV70,1)</f>
        <v>4601</v>
      </c>
      <c r="BE70" s="67">
        <f>LARGE(AT70:AV70,1)</f>
        <v>77630</v>
      </c>
      <c r="BF70" s="67">
        <f>QUARTILE(AT70:AV70,1)</f>
        <v>8042.25</v>
      </c>
      <c r="BG70" s="67">
        <f>QUARTILE(AT70:AV70,3)</f>
        <v>44556.75</v>
      </c>
      <c r="BH70" s="67">
        <f>_xlfn.QUARTILE.EXC(AT70:AV70,3)-_xlfn.QUARTILE.EXC(AT70:AV70,1)</f>
        <v>73029</v>
      </c>
      <c r="BI70" s="67">
        <f>ROUND(IF(BC70&lt;=$AX$2,BG70,AY70),0)</f>
        <v>31238</v>
      </c>
      <c r="BJ70" s="67">
        <f>+BI70*I70</f>
        <v>31238</v>
      </c>
      <c r="BK70" s="69" t="str">
        <f>IF(BC70&lt;=$AX$2,"QUARTIL (Q3)","PROMEDIO")</f>
        <v>PROMEDIO</v>
      </c>
    </row>
    <row r="71" spans="2:63" s="5" customFormat="1" ht="23.25" customHeight="1" x14ac:dyDescent="0.2">
      <c r="B71" s="97"/>
      <c r="C71" s="97"/>
      <c r="D71" s="97"/>
      <c r="E71" s="57">
        <f t="shared" ref="E71:E73" si="55">E70+1</f>
        <v>35</v>
      </c>
      <c r="F71" s="98">
        <v>4291403</v>
      </c>
      <c r="G71" s="58" t="s">
        <v>136</v>
      </c>
      <c r="H71" s="57" t="s">
        <v>43</v>
      </c>
      <c r="I71" s="57">
        <v>3</v>
      </c>
      <c r="J71" s="59">
        <v>0</v>
      </c>
      <c r="K71" s="59">
        <v>310</v>
      </c>
      <c r="L71" s="59">
        <v>279</v>
      </c>
      <c r="M71" s="59">
        <v>248</v>
      </c>
      <c r="N71" s="59">
        <v>217</v>
      </c>
      <c r="O71" s="59">
        <v>154</v>
      </c>
      <c r="P71" s="59">
        <v>372</v>
      </c>
      <c r="Q71" s="59">
        <v>64</v>
      </c>
      <c r="R71" s="59">
        <v>63</v>
      </c>
      <c r="S71" s="59">
        <v>154</v>
      </c>
      <c r="T71" s="59">
        <v>6</v>
      </c>
      <c r="U71" s="59">
        <v>217</v>
      </c>
      <c r="V71" s="59">
        <v>310</v>
      </c>
      <c r="W71" s="59">
        <v>651</v>
      </c>
      <c r="X71" s="59">
        <v>93</v>
      </c>
      <c r="Y71" s="59">
        <v>248</v>
      </c>
      <c r="Z71" s="59">
        <v>279</v>
      </c>
      <c r="AA71" s="59">
        <v>46</v>
      </c>
      <c r="AB71" s="59">
        <v>22</v>
      </c>
      <c r="AC71" s="59">
        <v>155</v>
      </c>
      <c r="AD71" s="57">
        <f t="shared" si="53"/>
        <v>3423</v>
      </c>
      <c r="AE71" s="57">
        <f t="shared" si="54"/>
        <v>465</v>
      </c>
      <c r="AF71" s="60">
        <f>I71*(AD71+AE71)</f>
        <v>11664</v>
      </c>
      <c r="AG71" s="57" t="s">
        <v>43</v>
      </c>
      <c r="AH71" s="61">
        <v>53131603</v>
      </c>
      <c r="AI71" s="61" t="s">
        <v>44</v>
      </c>
      <c r="AJ71" s="61" t="s">
        <v>44</v>
      </c>
      <c r="AK71" s="62">
        <v>2328.7199999999998</v>
      </c>
      <c r="AL71" s="62">
        <f>+ROUND(AK71*($AL$5+1),0)</f>
        <v>2447</v>
      </c>
      <c r="AM71" s="99"/>
      <c r="AN71" s="100"/>
      <c r="AO71" s="64">
        <v>3535</v>
      </c>
      <c r="AP71" s="73">
        <v>3410</v>
      </c>
      <c r="AQ71" s="64">
        <f t="shared" si="13"/>
        <v>647.9</v>
      </c>
      <c r="AR71" s="64">
        <f t="shared" si="14"/>
        <v>4057.9</v>
      </c>
      <c r="AS71" s="101"/>
      <c r="AT71" s="65">
        <f t="shared" si="15"/>
        <v>2447</v>
      </c>
      <c r="AU71" s="66">
        <f t="shared" si="16"/>
        <v>3535</v>
      </c>
      <c r="AV71" s="65">
        <f t="shared" si="17"/>
        <v>4057.9</v>
      </c>
      <c r="AW71" s="101"/>
      <c r="AX71" s="67">
        <f>MIN(AL71,AO71,AR71)</f>
        <v>2447</v>
      </c>
      <c r="AY71" s="67">
        <f>AVERAGE(AL71,AO71,AR71)</f>
        <v>3346.6333333333332</v>
      </c>
      <c r="AZ71" s="67">
        <f>MEDIAN(AL71,AO71,AR71)</f>
        <v>3535</v>
      </c>
      <c r="BA71" s="67">
        <f>GEOMEAN(AL71,AO71,AR71)</f>
        <v>3274.2229073804597</v>
      </c>
      <c r="BB71" s="67">
        <f>_xlfn.STDEV.P(AL71,AO71,AR71)</f>
        <v>670.9998526245904</v>
      </c>
      <c r="BC71" s="68">
        <f t="shared" si="27"/>
        <v>0.20049996094321371</v>
      </c>
      <c r="BD71" s="67">
        <f>+SMALL(AT71:AV71,1)</f>
        <v>2447</v>
      </c>
      <c r="BE71" s="67">
        <f>LARGE(AT71:AV71,1)</f>
        <v>4057.9</v>
      </c>
      <c r="BF71" s="67">
        <f>QUARTILE(AT71:AV71,1)</f>
        <v>2991</v>
      </c>
      <c r="BG71" s="67">
        <f>QUARTILE(AT71:AV71,3)</f>
        <v>3796.45</v>
      </c>
      <c r="BH71" s="67">
        <f>_xlfn.QUARTILE.EXC(AT71:AV71,3)-_xlfn.QUARTILE.EXC(AT71:AV71,1)</f>
        <v>1610.9</v>
      </c>
      <c r="BI71" s="67">
        <f t="shared" si="21"/>
        <v>3796</v>
      </c>
      <c r="BJ71" s="67">
        <f>+BI71*I71</f>
        <v>11388</v>
      </c>
      <c r="BK71" s="69" t="str">
        <f>IF(BC71&lt;=$AX$2,"QUARTIL (Q3)","PROMEDIO")</f>
        <v>QUARTIL (Q3)</v>
      </c>
    </row>
    <row r="72" spans="2:63" s="5" customFormat="1" ht="23.25" customHeight="1" x14ac:dyDescent="0.2">
      <c r="B72" s="97"/>
      <c r="C72" s="97"/>
      <c r="D72" s="97"/>
      <c r="E72" s="57">
        <f t="shared" si="55"/>
        <v>36</v>
      </c>
      <c r="F72" s="103">
        <v>4299904</v>
      </c>
      <c r="G72" s="58" t="s">
        <v>104</v>
      </c>
      <c r="H72" s="57" t="s">
        <v>50</v>
      </c>
      <c r="I72" s="57">
        <v>1</v>
      </c>
      <c r="J72" s="59">
        <v>0</v>
      </c>
      <c r="K72" s="59">
        <v>310</v>
      </c>
      <c r="L72" s="59">
        <v>279</v>
      </c>
      <c r="M72" s="59">
        <v>248</v>
      </c>
      <c r="N72" s="59">
        <v>217</v>
      </c>
      <c r="O72" s="59">
        <v>154</v>
      </c>
      <c r="P72" s="59">
        <v>372</v>
      </c>
      <c r="Q72" s="59">
        <v>64</v>
      </c>
      <c r="R72" s="59">
        <v>63</v>
      </c>
      <c r="S72" s="59">
        <v>154</v>
      </c>
      <c r="T72" s="59">
        <v>6</v>
      </c>
      <c r="U72" s="59">
        <v>217</v>
      </c>
      <c r="V72" s="59">
        <v>310</v>
      </c>
      <c r="W72" s="59">
        <v>651</v>
      </c>
      <c r="X72" s="59">
        <v>93</v>
      </c>
      <c r="Y72" s="59">
        <v>248</v>
      </c>
      <c r="Z72" s="59">
        <v>279</v>
      </c>
      <c r="AA72" s="59">
        <v>46</v>
      </c>
      <c r="AB72" s="59">
        <v>22</v>
      </c>
      <c r="AC72" s="59">
        <v>155</v>
      </c>
      <c r="AD72" s="57">
        <f t="shared" si="53"/>
        <v>3423</v>
      </c>
      <c r="AE72" s="57">
        <f t="shared" si="54"/>
        <v>465</v>
      </c>
      <c r="AF72" s="60">
        <f>I72*(AD72+AE72)</f>
        <v>3888</v>
      </c>
      <c r="AG72" s="57" t="s">
        <v>50</v>
      </c>
      <c r="AH72" s="61">
        <v>31231201</v>
      </c>
      <c r="AI72" s="61" t="s">
        <v>44</v>
      </c>
      <c r="AJ72" s="61" t="s">
        <v>105</v>
      </c>
      <c r="AK72" s="62">
        <v>10314.14</v>
      </c>
      <c r="AL72" s="62">
        <f>+ROUND(AK72*($AL$5+1),0)</f>
        <v>10840</v>
      </c>
      <c r="AM72" s="102"/>
      <c r="AN72" s="102"/>
      <c r="AO72" s="64">
        <v>18000</v>
      </c>
      <c r="AP72" s="64">
        <v>22547</v>
      </c>
      <c r="AQ72" s="64">
        <f t="shared" si="13"/>
        <v>4283.93</v>
      </c>
      <c r="AR72" s="64">
        <f t="shared" si="14"/>
        <v>26830.93</v>
      </c>
      <c r="AS72" s="101"/>
      <c r="AT72" s="65">
        <f t="shared" si="15"/>
        <v>10840</v>
      </c>
      <c r="AU72" s="66">
        <f t="shared" si="16"/>
        <v>18000</v>
      </c>
      <c r="AV72" s="65">
        <f t="shared" si="17"/>
        <v>26830.93</v>
      </c>
      <c r="AW72" s="101"/>
      <c r="AX72" s="67">
        <f>MIN(AL72,AO72,AR72)</f>
        <v>10840</v>
      </c>
      <c r="AY72" s="67">
        <f>AVERAGE(AL72,AO72,AR72)</f>
        <v>18556.976666666666</v>
      </c>
      <c r="AZ72" s="67">
        <f>MEDIAN(AL72,AO72,AR72)</f>
        <v>18000</v>
      </c>
      <c r="BA72" s="67">
        <f>GEOMEAN(AL72,AO72,AR72)</f>
        <v>17363.842498372771</v>
      </c>
      <c r="BB72" s="67">
        <f>_xlfn.STDEV.P(AL72,AO72,AR72)</f>
        <v>6540.1390312252242</v>
      </c>
      <c r="BC72" s="68">
        <f t="shared" si="27"/>
        <v>0.35243559059774415</v>
      </c>
      <c r="BD72" s="67">
        <f>+SMALL(AT72:AV72,1)</f>
        <v>10840</v>
      </c>
      <c r="BE72" s="67">
        <f>LARGE(AT72:AV72,1)</f>
        <v>26830.93</v>
      </c>
      <c r="BF72" s="67">
        <f>QUARTILE(AT72:AV72,1)</f>
        <v>14420</v>
      </c>
      <c r="BG72" s="67">
        <f>QUARTILE(AT72:AV72,3)</f>
        <v>22415.465</v>
      </c>
      <c r="BH72" s="67">
        <f>_xlfn.QUARTILE.EXC(AT72:AV72,3)-_xlfn.QUARTILE.EXC(AT72:AV72,1)</f>
        <v>15990.93</v>
      </c>
      <c r="BI72" s="67">
        <f t="shared" si="21"/>
        <v>22415</v>
      </c>
      <c r="BJ72" s="67">
        <f>+BI72*I72</f>
        <v>22415</v>
      </c>
      <c r="BK72" s="69" t="str">
        <f>IF(BC72&lt;=$AX$2,"QUARTIL (Q3)","PROMEDIO")</f>
        <v>QUARTIL (Q3)</v>
      </c>
    </row>
    <row r="73" spans="2:63" s="5" customFormat="1" ht="23.25" customHeight="1" x14ac:dyDescent="0.2">
      <c r="B73" s="97"/>
      <c r="C73" s="97"/>
      <c r="D73" s="97"/>
      <c r="E73" s="57">
        <f t="shared" si="55"/>
        <v>37</v>
      </c>
      <c r="F73" s="103">
        <v>4291502</v>
      </c>
      <c r="G73" s="58" t="s">
        <v>137</v>
      </c>
      <c r="H73" s="57" t="s">
        <v>43</v>
      </c>
      <c r="I73" s="57">
        <v>1</v>
      </c>
      <c r="J73" s="59">
        <v>0</v>
      </c>
      <c r="K73" s="59">
        <v>310</v>
      </c>
      <c r="L73" s="59">
        <v>279</v>
      </c>
      <c r="M73" s="59">
        <v>248</v>
      </c>
      <c r="N73" s="59">
        <v>217</v>
      </c>
      <c r="O73" s="59">
        <v>154</v>
      </c>
      <c r="P73" s="59">
        <v>372</v>
      </c>
      <c r="Q73" s="59">
        <v>64</v>
      </c>
      <c r="R73" s="59">
        <v>63</v>
      </c>
      <c r="S73" s="59">
        <v>154</v>
      </c>
      <c r="T73" s="59">
        <v>6</v>
      </c>
      <c r="U73" s="59">
        <v>217</v>
      </c>
      <c r="V73" s="59">
        <v>310</v>
      </c>
      <c r="W73" s="59">
        <v>651</v>
      </c>
      <c r="X73" s="59">
        <v>93</v>
      </c>
      <c r="Y73" s="59">
        <v>248</v>
      </c>
      <c r="Z73" s="59">
        <v>279</v>
      </c>
      <c r="AA73" s="59">
        <v>46</v>
      </c>
      <c r="AB73" s="59">
        <v>22</v>
      </c>
      <c r="AC73" s="59">
        <v>155</v>
      </c>
      <c r="AD73" s="57">
        <f t="shared" si="53"/>
        <v>3423</v>
      </c>
      <c r="AE73" s="57">
        <f t="shared" si="54"/>
        <v>465</v>
      </c>
      <c r="AF73" s="60">
        <f>I73*(AD73+AE73)</f>
        <v>3888</v>
      </c>
      <c r="AG73" s="57" t="s">
        <v>43</v>
      </c>
      <c r="AH73" s="61">
        <v>53131621</v>
      </c>
      <c r="AI73" s="61" t="s">
        <v>44</v>
      </c>
      <c r="AJ73" s="61" t="s">
        <v>106</v>
      </c>
      <c r="AK73" s="62">
        <v>2896.08</v>
      </c>
      <c r="AL73" s="62">
        <f>+ROUND(AK73*($AL$5+1),0)</f>
        <v>3044</v>
      </c>
      <c r="AM73" s="99"/>
      <c r="AN73" s="100"/>
      <c r="AO73" s="64">
        <v>4180</v>
      </c>
      <c r="AP73" s="73">
        <v>4980</v>
      </c>
      <c r="AQ73" s="64">
        <f t="shared" si="13"/>
        <v>946.2</v>
      </c>
      <c r="AR73" s="64">
        <f t="shared" si="14"/>
        <v>5926.2</v>
      </c>
      <c r="AS73" s="101"/>
      <c r="AT73" s="65">
        <f t="shared" si="15"/>
        <v>3044</v>
      </c>
      <c r="AU73" s="66">
        <f t="shared" si="16"/>
        <v>4180</v>
      </c>
      <c r="AV73" s="65">
        <f t="shared" si="17"/>
        <v>5926.2</v>
      </c>
      <c r="AW73" s="101"/>
      <c r="AX73" s="67">
        <f>MIN(AL73,AO73,AR73)</f>
        <v>3044</v>
      </c>
      <c r="AY73" s="67">
        <f>AVERAGE(AL73,AO73,AR73)</f>
        <v>4383.4000000000005</v>
      </c>
      <c r="AZ73" s="67">
        <f>MEDIAN(AL73,AO73,AR73)</f>
        <v>4180</v>
      </c>
      <c r="BA73" s="67">
        <f>GEOMEAN(AL73,AO73,AR73)</f>
        <v>4224.7311609152948</v>
      </c>
      <c r="BB73" s="67">
        <f>_xlfn.STDEV.P(AL73,AO73,AR73)</f>
        <v>1185.4107248825883</v>
      </c>
      <c r="BC73" s="68">
        <f t="shared" si="27"/>
        <v>0.27043179378623627</v>
      </c>
      <c r="BD73" s="67">
        <f>+SMALL(AT73:AV73,1)</f>
        <v>3044</v>
      </c>
      <c r="BE73" s="67">
        <f>LARGE(AT73:AV73,1)</f>
        <v>5926.2</v>
      </c>
      <c r="BF73" s="67">
        <f>QUARTILE(AT73:AV73,1)</f>
        <v>3612</v>
      </c>
      <c r="BG73" s="67">
        <f>QUARTILE(AT73:AV73,3)</f>
        <v>5053.1000000000004</v>
      </c>
      <c r="BH73" s="67">
        <f>_xlfn.QUARTILE.EXC(AT73:AV73,3)-_xlfn.QUARTILE.EXC(AT73:AV73,1)</f>
        <v>2882.2</v>
      </c>
      <c r="BI73" s="67">
        <f t="shared" si="21"/>
        <v>5053</v>
      </c>
      <c r="BJ73" s="67">
        <f>+BI73*I73</f>
        <v>5053</v>
      </c>
      <c r="BK73" s="69" t="str">
        <f>IF(BC73&lt;=$AX$2,"QUARTIL (Q3)","PROMEDIO")</f>
        <v>QUARTIL (Q3)</v>
      </c>
    </row>
    <row r="74" spans="2:63" x14ac:dyDescent="0.2">
      <c r="E74" s="104"/>
      <c r="F74" s="104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6"/>
      <c r="AK74" s="107">
        <f t="shared" ref="AK74:AR74" si="56">SUM(AK10:AK73)</f>
        <v>183469.55999999997</v>
      </c>
      <c r="AL74" s="108">
        <f t="shared" si="56"/>
        <v>192826</v>
      </c>
      <c r="AM74" s="107">
        <f t="shared" si="56"/>
        <v>0</v>
      </c>
      <c r="AN74" s="107">
        <f t="shared" si="56"/>
        <v>0</v>
      </c>
      <c r="AO74" s="109">
        <f t="shared" si="56"/>
        <v>472144</v>
      </c>
      <c r="AP74" s="109">
        <f t="shared" si="56"/>
        <v>493401</v>
      </c>
      <c r="AQ74" s="109">
        <f t="shared" si="56"/>
        <v>87402.65999999996</v>
      </c>
      <c r="AR74" s="109">
        <f t="shared" si="56"/>
        <v>580803.66</v>
      </c>
      <c r="AS74" s="110"/>
      <c r="AT74" s="111">
        <f>SUM(AT10:AT73)</f>
        <v>192826</v>
      </c>
      <c r="AU74" s="112">
        <f>SUM(AU10:AU73)</f>
        <v>472144</v>
      </c>
      <c r="AV74" s="111">
        <f>SUM(AV10:AV73)</f>
        <v>580803.66</v>
      </c>
      <c r="AW74" s="110"/>
      <c r="AX74" s="113">
        <f>SUM(AX10:AX73)</f>
        <v>192826</v>
      </c>
      <c r="AY74" s="113">
        <f>SUM(AY10:AY73)</f>
        <v>415257.88666666683</v>
      </c>
      <c r="AZ74" s="113">
        <f>SUM(AZ10:AZ73)</f>
        <v>352389.54000000004</v>
      </c>
      <c r="BA74" s="113">
        <f>SUM(BA10:BA73)</f>
        <v>349221.09221415245</v>
      </c>
      <c r="BB74" s="113">
        <f>SUM(BB10:BB73)</f>
        <v>218516.7072819804</v>
      </c>
      <c r="BC74" s="114"/>
      <c r="BD74" s="113">
        <f t="shared" ref="BD74:BI74" si="57">SUM(BD10:BD73)</f>
        <v>192826</v>
      </c>
      <c r="BE74" s="113">
        <f t="shared" si="57"/>
        <v>700558.12000000011</v>
      </c>
      <c r="BF74" s="113">
        <f t="shared" si="57"/>
        <v>272607.77</v>
      </c>
      <c r="BG74" s="113">
        <f t="shared" si="57"/>
        <v>526473.83000000007</v>
      </c>
      <c r="BH74" s="113">
        <f t="shared" si="57"/>
        <v>507732.12000000011</v>
      </c>
      <c r="BI74" s="113">
        <f t="shared" si="57"/>
        <v>482495</v>
      </c>
      <c r="BJ74" s="113">
        <f>SUM(BJ10:BJ73)</f>
        <v>586753</v>
      </c>
      <c r="BK74" s="115"/>
    </row>
  </sheetData>
  <sheetProtection algorithmName="SHA-512" hashValue="gTIHuXCcA8U/Rmt1zBUDuMTa/GlVs4w7dR+IkGSlm7VhUz6gtJmzM1jM1nsPj6hCcZixZu755fYV8jgbO7CVgA==" saltValue="gawGjhNKED7GECvp9Untmg==" spinCount="100000" sheet="1" objects="1" scenarios="1"/>
  <mergeCells count="154">
    <mergeCell ref="BH7:BH9"/>
    <mergeCell ref="BI7:BI9"/>
    <mergeCell ref="BJ7:BJ9"/>
    <mergeCell ref="BK7:BK9"/>
    <mergeCell ref="E6:G6"/>
    <mergeCell ref="H6:AJ6"/>
    <mergeCell ref="AM6:AO6"/>
    <mergeCell ref="AP6:AR6"/>
    <mergeCell ref="AM7:AO7"/>
    <mergeCell ref="AP7:AR7"/>
    <mergeCell ref="E7:G7"/>
    <mergeCell ref="H7:AJ7"/>
    <mergeCell ref="E8:E9"/>
    <mergeCell ref="F8:F9"/>
    <mergeCell ref="AY7:AY9"/>
    <mergeCell ref="AZ7:AZ9"/>
    <mergeCell ref="BA7:BA9"/>
    <mergeCell ref="BB7:BB9"/>
    <mergeCell ref="BC7:BC9"/>
    <mergeCell ref="BD7:BD9"/>
    <mergeCell ref="BE7:BE9"/>
    <mergeCell ref="BF7:BF9"/>
    <mergeCell ref="BG7:BG9"/>
    <mergeCell ref="AP8:AR8"/>
    <mergeCell ref="K68:AB68"/>
    <mergeCell ref="AD68:AD69"/>
    <mergeCell ref="AE68:AE69"/>
    <mergeCell ref="AF68:AF69"/>
    <mergeCell ref="AG68:AG69"/>
    <mergeCell ref="AH68:AH69"/>
    <mergeCell ref="E66:G66"/>
    <mergeCell ref="H66:AJ66"/>
    <mergeCell ref="E67:G67"/>
    <mergeCell ref="H67:AJ67"/>
    <mergeCell ref="E68:E69"/>
    <mergeCell ref="F68:F69"/>
    <mergeCell ref="G68:G69"/>
    <mergeCell ref="H68:H69"/>
    <mergeCell ref="I68:I69"/>
    <mergeCell ref="J68:J69"/>
    <mergeCell ref="AI68:AI69"/>
    <mergeCell ref="AJ68:AJ69"/>
    <mergeCell ref="AE60:AE61"/>
    <mergeCell ref="AF60:AF61"/>
    <mergeCell ref="AG60:AG61"/>
    <mergeCell ref="AH60:AH61"/>
    <mergeCell ref="E59:G59"/>
    <mergeCell ref="H59:AJ59"/>
    <mergeCell ref="E60:E61"/>
    <mergeCell ref="F60:F61"/>
    <mergeCell ref="G60:G61"/>
    <mergeCell ref="H60:H61"/>
    <mergeCell ref="I60:I61"/>
    <mergeCell ref="J60:J61"/>
    <mergeCell ref="K60:AB60"/>
    <mergeCell ref="AD60:AD61"/>
    <mergeCell ref="AJ60:AJ61"/>
    <mergeCell ref="AI60:AI61"/>
    <mergeCell ref="E56:G56"/>
    <mergeCell ref="H56:AJ56"/>
    <mergeCell ref="E58:G58"/>
    <mergeCell ref="H58:AJ58"/>
    <mergeCell ref="K52:AB52"/>
    <mergeCell ref="AD52:AD53"/>
    <mergeCell ref="AE52:AE53"/>
    <mergeCell ref="AF52:AF53"/>
    <mergeCell ref="AG52:AG53"/>
    <mergeCell ref="AH52:AH53"/>
    <mergeCell ref="E52:E53"/>
    <mergeCell ref="F52:F53"/>
    <mergeCell ref="G52:G53"/>
    <mergeCell ref="H52:H53"/>
    <mergeCell ref="I52:I53"/>
    <mergeCell ref="J52:J53"/>
    <mergeCell ref="AI52:AI53"/>
    <mergeCell ref="AJ52:AJ53"/>
    <mergeCell ref="E50:G50"/>
    <mergeCell ref="H50:AJ50"/>
    <mergeCell ref="E51:G51"/>
    <mergeCell ref="H51:AJ51"/>
    <mergeCell ref="K42:AB42"/>
    <mergeCell ref="AD42:AD43"/>
    <mergeCell ref="AE42:AE43"/>
    <mergeCell ref="AF42:AF43"/>
    <mergeCell ref="AG42:AG43"/>
    <mergeCell ref="AH42:AH43"/>
    <mergeCell ref="AI42:AI43"/>
    <mergeCell ref="AJ42:AJ43"/>
    <mergeCell ref="E40:G40"/>
    <mergeCell ref="H40:AJ40"/>
    <mergeCell ref="E41:G41"/>
    <mergeCell ref="H41:AJ41"/>
    <mergeCell ref="E42:E43"/>
    <mergeCell ref="F42:F43"/>
    <mergeCell ref="G42:G43"/>
    <mergeCell ref="H42:H43"/>
    <mergeCell ref="I42:I43"/>
    <mergeCell ref="J42:J43"/>
    <mergeCell ref="E35:G35"/>
    <mergeCell ref="H35:AJ35"/>
    <mergeCell ref="E38:G38"/>
    <mergeCell ref="H38:AJ38"/>
    <mergeCell ref="K33:AB33"/>
    <mergeCell ref="AD33:AD34"/>
    <mergeCell ref="AE33:AE34"/>
    <mergeCell ref="AF33:AF34"/>
    <mergeCell ref="AG33:AG34"/>
    <mergeCell ref="AH33:AH34"/>
    <mergeCell ref="AI33:AI34"/>
    <mergeCell ref="AJ33:AJ34"/>
    <mergeCell ref="E31:G31"/>
    <mergeCell ref="H31:AJ31"/>
    <mergeCell ref="E32:G32"/>
    <mergeCell ref="H32:AJ32"/>
    <mergeCell ref="E33:E34"/>
    <mergeCell ref="F33:F34"/>
    <mergeCell ref="G33:G34"/>
    <mergeCell ref="H33:H34"/>
    <mergeCell ref="I33:I34"/>
    <mergeCell ref="J33:J34"/>
    <mergeCell ref="E22:G22"/>
    <mergeCell ref="H22:AJ22"/>
    <mergeCell ref="I8:I9"/>
    <mergeCell ref="J8:J9"/>
    <mergeCell ref="K8:AC8"/>
    <mergeCell ref="AD8:AD9"/>
    <mergeCell ref="AE8:AE9"/>
    <mergeCell ref="AF8:AF9"/>
    <mergeCell ref="AE24:AE25"/>
    <mergeCell ref="AF24:AF25"/>
    <mergeCell ref="AG24:AG25"/>
    <mergeCell ref="AH24:AH25"/>
    <mergeCell ref="E23:G23"/>
    <mergeCell ref="H23:AJ23"/>
    <mergeCell ref="E24:E25"/>
    <mergeCell ref="F24:F25"/>
    <mergeCell ref="G24:G25"/>
    <mergeCell ref="H24:H25"/>
    <mergeCell ref="I24:I25"/>
    <mergeCell ref="J24:J25"/>
    <mergeCell ref="K24:AB24"/>
    <mergeCell ref="AD24:AD25"/>
    <mergeCell ref="AJ24:AJ25"/>
    <mergeCell ref="AI24:AI25"/>
    <mergeCell ref="AX7:AX9"/>
    <mergeCell ref="G8:G9"/>
    <mergeCell ref="H8:H9"/>
    <mergeCell ref="AG8:AG9"/>
    <mergeCell ref="AH8:AH9"/>
    <mergeCell ref="AI8:AI9"/>
    <mergeCell ref="AJ8:AJ9"/>
    <mergeCell ref="AK8:AK9"/>
    <mergeCell ref="AL8:AL9"/>
    <mergeCell ref="AM8:AO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ECONOMICO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 Daniela Polania Silva</dc:creator>
  <cp:lastModifiedBy>Mónica Rocio Sanguino Boneth</cp:lastModifiedBy>
  <dcterms:created xsi:type="dcterms:W3CDTF">2021-02-16T15:13:03Z</dcterms:created>
  <dcterms:modified xsi:type="dcterms:W3CDTF">2026-05-21T03:54:25Z</dcterms:modified>
</cp:coreProperties>
</file>