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6"/>
  <workbookPr/>
  <mc:AlternateContent xmlns:mc="http://schemas.openxmlformats.org/markup-compatibility/2006">
    <mc:Choice Requires="x15">
      <x15ac:absPath xmlns:x15ac="http://schemas.microsoft.com/office/spreadsheetml/2010/11/ac" url="/Users/carocepeda/Desktop/"/>
    </mc:Choice>
  </mc:AlternateContent>
  <xr:revisionPtr revIDLastSave="0" documentId="8_{1C6071FB-6D98-214E-B3A0-3721A132303C}" xr6:coauthVersionLast="47" xr6:coauthVersionMax="47" xr10:uidLastSave="{00000000-0000-0000-0000-000000000000}"/>
  <bookViews>
    <workbookView xWindow="0" yWindow="660" windowWidth="29400" windowHeight="17060" xr2:uid="{00000000-000D-0000-FFFF-FFFF00000000}"/>
  </bookViews>
  <sheets>
    <sheet name="Equipos_2026" sheetId="1" r:id="rId1"/>
  </sheets>
  <externalReferences>
    <externalReference r:id="rId2"/>
  </externalReferences>
  <definedNames>
    <definedName name="_xlnm._FilterDatabase" localSheetId="0" hidden="1">Equipos_2026!$A$2:$R$2</definedName>
    <definedName name="agricola">#REF!</definedName>
    <definedName name="dani">#REF!</definedName>
    <definedName name="EURO">[1]Elementos!#REF!</definedName>
    <definedName name="TRM">[1]Elementos!#REF!</definedName>
  </definedName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3" i="1" l="1"/>
  <c r="I4" i="1"/>
  <c r="I5" i="1"/>
  <c r="Q13" i="1"/>
  <c r="Q15" i="1"/>
  <c r="Q16" i="1"/>
  <c r="Q3" i="1"/>
  <c r="O15" i="1"/>
  <c r="O16" i="1"/>
  <c r="R15" i="1"/>
  <c r="K15" i="1"/>
  <c r="L15" i="1"/>
  <c r="I15" i="1"/>
  <c r="J15" i="1"/>
  <c r="R16" i="1"/>
  <c r="K16" i="1"/>
  <c r="L16" i="1"/>
  <c r="I16" i="1"/>
  <c r="J16" i="1"/>
  <c r="R18" i="1"/>
  <c r="H18" i="1"/>
  <c r="G17" i="1"/>
  <c r="K3" i="1"/>
  <c r="L3" i="1"/>
  <c r="N3" i="1"/>
  <c r="O3" i="1"/>
  <c r="P3" i="1"/>
  <c r="R3" i="1"/>
  <c r="I6" i="1"/>
  <c r="J6" i="1"/>
  <c r="I7" i="1"/>
  <c r="I8" i="1"/>
  <c r="J8" i="1"/>
  <c r="I9" i="1"/>
  <c r="I10" i="1"/>
  <c r="I11" i="1"/>
  <c r="J11" i="1"/>
  <c r="I12" i="1"/>
  <c r="J12" i="1"/>
  <c r="I13" i="1"/>
  <c r="J13" i="1"/>
  <c r="I14" i="1"/>
  <c r="J5" i="1"/>
  <c r="J14" i="1"/>
  <c r="L8" i="1"/>
  <c r="C16" i="1"/>
  <c r="H16" i="1"/>
  <c r="C15" i="1"/>
  <c r="H15" i="1"/>
  <c r="P16" i="1"/>
  <c r="P15" i="1"/>
  <c r="J4" i="1"/>
  <c r="N4" i="1"/>
  <c r="J9" i="1"/>
  <c r="J10" i="1"/>
  <c r="J3" i="1"/>
  <c r="J7" i="1"/>
  <c r="N5" i="1"/>
  <c r="M6" i="1"/>
  <c r="N6" i="1"/>
  <c r="M7" i="1"/>
  <c r="N7" i="1"/>
  <c r="M9" i="1"/>
  <c r="N9" i="1"/>
  <c r="M8" i="1"/>
  <c r="N8" i="1"/>
  <c r="M11" i="1"/>
  <c r="N11" i="1"/>
  <c r="M14" i="1"/>
  <c r="N14" i="1"/>
  <c r="M13" i="1"/>
  <c r="N13" i="1"/>
  <c r="M12" i="1"/>
  <c r="N12" i="1"/>
  <c r="M10" i="1"/>
  <c r="N10" i="1"/>
  <c r="P5" i="1"/>
  <c r="O6" i="1"/>
  <c r="P6" i="1"/>
  <c r="O7" i="1"/>
  <c r="P7" i="1"/>
  <c r="O4" i="1"/>
  <c r="P4" i="1"/>
  <c r="O9" i="1"/>
  <c r="P9" i="1"/>
  <c r="O8" i="1"/>
  <c r="P8" i="1"/>
  <c r="O11" i="1"/>
  <c r="P11" i="1"/>
  <c r="O14" i="1"/>
  <c r="O13" i="1"/>
  <c r="P13" i="1"/>
  <c r="O12" i="1"/>
  <c r="P12" i="1"/>
  <c r="O10" i="1"/>
  <c r="P10" i="1"/>
  <c r="AC17" i="1"/>
  <c r="AD17" i="1"/>
  <c r="AE17" i="1"/>
  <c r="AB17" i="1"/>
  <c r="AA17" i="1"/>
  <c r="Z17" i="1"/>
  <c r="Y17" i="1"/>
  <c r="X17" i="1"/>
  <c r="W17" i="1"/>
  <c r="Q5" i="1"/>
  <c r="R5" i="1"/>
  <c r="K5" i="1"/>
  <c r="L5" i="1"/>
  <c r="Q10" i="1"/>
  <c r="R10" i="1"/>
  <c r="Q12" i="1"/>
  <c r="R12" i="1"/>
  <c r="R13" i="1"/>
  <c r="Q14" i="1"/>
  <c r="R14" i="1"/>
  <c r="Q11" i="1"/>
  <c r="R11" i="1"/>
  <c r="Q8" i="1"/>
  <c r="R8" i="1"/>
  <c r="Q9" i="1"/>
  <c r="R9" i="1"/>
  <c r="Q4" i="1"/>
  <c r="R4" i="1"/>
  <c r="Q7" i="1"/>
  <c r="R7" i="1"/>
  <c r="Q6" i="1"/>
  <c r="R6" i="1"/>
  <c r="K10" i="1"/>
  <c r="L10" i="1"/>
  <c r="K12" i="1"/>
  <c r="L12" i="1"/>
  <c r="K13" i="1"/>
  <c r="L13" i="1"/>
  <c r="K14" i="1"/>
  <c r="L14" i="1"/>
  <c r="K11" i="1"/>
  <c r="L11" i="1"/>
  <c r="K9" i="1"/>
  <c r="L9" i="1"/>
  <c r="K4" i="1"/>
  <c r="L4" i="1"/>
  <c r="K7" i="1"/>
  <c r="L7" i="1"/>
  <c r="K6" i="1"/>
  <c r="L6" i="1"/>
  <c r="U17" i="1"/>
  <c r="T17" i="1"/>
  <c r="S17" i="1"/>
  <c r="V17" i="1"/>
  <c r="B17" i="1"/>
  <c r="P14" i="1"/>
  <c r="C14" i="1"/>
  <c r="C12" i="1"/>
  <c r="H12" i="1"/>
  <c r="C3" i="1"/>
  <c r="H3" i="1"/>
  <c r="C8" i="1"/>
  <c r="H8" i="1"/>
  <c r="C9" i="1"/>
  <c r="H9" i="1"/>
  <c r="C7" i="1"/>
  <c r="H7" i="1"/>
  <c r="C6" i="1"/>
  <c r="H6" i="1"/>
  <c r="C5" i="1"/>
  <c r="H5" i="1"/>
  <c r="C10" i="1"/>
  <c r="H10" i="1"/>
  <c r="P17" i="1"/>
  <c r="P19" i="1"/>
  <c r="C4" i="1"/>
  <c r="H4" i="1"/>
  <c r="C13" i="1"/>
  <c r="H13" i="1"/>
  <c r="C11" i="1"/>
  <c r="H11" i="1"/>
  <c r="H14" i="1"/>
  <c r="Q17" i="1"/>
  <c r="K17" i="1"/>
  <c r="I17" i="1"/>
  <c r="J17" i="1"/>
  <c r="J19" i="1"/>
  <c r="L17" i="1"/>
  <c r="L19" i="1"/>
  <c r="O17" i="1"/>
  <c r="M17" i="1"/>
  <c r="R17" i="1"/>
  <c r="R19" i="1"/>
  <c r="N16" i="1"/>
  <c r="N15" i="1"/>
  <c r="H17" i="1"/>
  <c r="H19" i="1"/>
  <c r="N17" i="1"/>
  <c r="N19" i="1"/>
  <c r="C17" i="1"/>
  <c r="R20" i="1" l="1"/>
</calcChain>
</file>

<file path=xl/sharedStrings.xml><?xml version="1.0" encoding="utf-8"?>
<sst xmlns="http://schemas.openxmlformats.org/spreadsheetml/2006/main" count="64" uniqueCount="52">
  <si>
    <t>ÍTEM</t>
  </si>
  <si>
    <t xml:space="preserve">Equipo </t>
  </si>
  <si>
    <t>Cantidad Total</t>
  </si>
  <si>
    <t>código UNSPSC</t>
  </si>
  <si>
    <t>TIPO DE INTERVENCION METROLOGICA</t>
  </si>
  <si>
    <t>Proveedor o contratista 2026</t>
  </si>
  <si>
    <t>Valor de referencia del proceso</t>
  </si>
  <si>
    <t>Valor Total del proceso  de LP</t>
  </si>
  <si>
    <t>Cant. LANIP</t>
  </si>
  <si>
    <t>Valor Total LANIP</t>
  </si>
  <si>
    <t>Cant.  RED LASE</t>
  </si>
  <si>
    <t>Valor Total RED LASE</t>
  </si>
  <si>
    <t>Cant. LNDV</t>
  </si>
  <si>
    <t>Valor Total LNDV</t>
  </si>
  <si>
    <t>Total LDV</t>
  </si>
  <si>
    <t>Valor Total LDV</t>
  </si>
  <si>
    <t>TOTAL  UNIDAD C.O</t>
  </si>
  <si>
    <t xml:space="preserve">Valor Total UNIDAD C.O </t>
  </si>
  <si>
    <t>LANASE</t>
  </si>
  <si>
    <t xml:space="preserve">LNDV </t>
  </si>
  <si>
    <t>LANIP</t>
  </si>
  <si>
    <t>UNIDAD C.O</t>
  </si>
  <si>
    <t>LDV BUCARAMANGA</t>
  </si>
  <si>
    <t>LDV TULUÁ</t>
  </si>
  <si>
    <t>LDV PEREIRA</t>
  </si>
  <si>
    <t>LDV BELLO</t>
  </si>
  <si>
    <t>LDV CERETÉ</t>
  </si>
  <si>
    <t>LDV LA DORADA</t>
  </si>
  <si>
    <t>LDV BARRANQUILLA</t>
  </si>
  <si>
    <t>LDV IBAGUÉ</t>
  </si>
  <si>
    <t>LDV ARMENIA</t>
  </si>
  <si>
    <t>Agitador Vortex</t>
  </si>
  <si>
    <t>NO</t>
  </si>
  <si>
    <t>Autoclave de mesa de 80 litros</t>
  </si>
  <si>
    <t>SI</t>
  </si>
  <si>
    <t>Bactoincinerador</t>
  </si>
  <si>
    <t>Bomba calorimetrica</t>
  </si>
  <si>
    <t>Centrífuga de mesa no refrigerada de hasta 4000 RPM</t>
  </si>
  <si>
    <t>Estereoscopio de investigación con cámara fotográfica de alta resolución y computador con software para captura y edición de imágenes</t>
  </si>
  <si>
    <t>411117 451215</t>
  </si>
  <si>
    <t>Incubadora de convección natural</t>
  </si>
  <si>
    <t>411044
411046</t>
  </si>
  <si>
    <t>Microcentrífuga (mini spin)</t>
  </si>
  <si>
    <t xml:space="preserve">Secuenciador de última generación </t>
  </si>
  <si>
    <t>411056, 411059, 411055</t>
  </si>
  <si>
    <t>Sistema de electroforesis Automatizada para el Control de Calidad (CC) de Muestras de ADN y ARN</t>
  </si>
  <si>
    <t>411053, 411055</t>
  </si>
  <si>
    <t xml:space="preserve">Sistema de electroforesis con fuente de poder de dos cámaras independientes </t>
  </si>
  <si>
    <t xml:space="preserve">Sistema de purificación para agua tipo 1 </t>
  </si>
  <si>
    <t>Sistema Integrado de Electroforesis horizontal con visualización y documentación digital</t>
  </si>
  <si>
    <t>Sistema integrado de electroforesis horizontal con visualización y documentación digital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</si>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</sst>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* #,##0\ _€_-;\-* #,##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sz val="10"/>
      <color rgb="FF000000"/>
      <name val="Times New Roman"/>
      <family val="1"/>
    </font>
    <font>
      <b/>
      <sz val="8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4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42" fontId="2" fillId="0" borderId="0" xfId="2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8" fillId="0" borderId="2" xfId="1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wrapText="1"/>
    </xf>
    <xf numFmtId="1" fontId="7" fillId="0" borderId="9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165" fontId="2" fillId="0" borderId="9" xfId="0" applyNumberFormat="1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165" fontId="2" fillId="0" borderId="9" xfId="0" applyNumberFormat="1" applyFont="1" applyBorder="1"/>
    <xf numFmtId="164" fontId="2" fillId="0" borderId="9" xfId="0" applyNumberFormat="1" applyFont="1" applyBorder="1"/>
    <xf numFmtId="1" fontId="8" fillId="0" borderId="9" xfId="0" applyNumberFormat="1" applyFont="1" applyBorder="1" applyAlignment="1">
      <alignment horizontal="center" vertical="center" wrapText="1"/>
    </xf>
    <xf numFmtId="164" fontId="8" fillId="0" borderId="7" xfId="0" applyNumberFormat="1" applyFont="1" applyBorder="1" applyAlignment="1">
      <alignment horizontal="center" vertical="center" wrapText="1"/>
    </xf>
    <xf numFmtId="1" fontId="2" fillId="0" borderId="1" xfId="2" applyNumberFormat="1" applyFont="1" applyFill="1" applyBorder="1" applyAlignment="1">
      <alignment horizontal="center" vertical="center" wrapText="1"/>
    </xf>
    <xf numFmtId="164" fontId="8" fillId="0" borderId="10" xfId="1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64" fontId="8" fillId="0" borderId="6" xfId="1" applyNumberFormat="1" applyFont="1" applyFill="1" applyBorder="1" applyAlignment="1">
      <alignment horizontal="center" vertical="center" wrapText="1"/>
    </xf>
    <xf numFmtId="44" fontId="2" fillId="0" borderId="0" xfId="4" applyFont="1"/>
    <xf numFmtId="164" fontId="8" fillId="0" borderId="0" xfId="1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44" fontId="2" fillId="0" borderId="0" xfId="4" applyFont="1" applyAlignment="1">
      <alignment horizontal="center" vertical="center"/>
    </xf>
    <xf numFmtId="0" fontId="3" fillId="11" borderId="4" xfId="0" applyFont="1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" fontId="7" fillId="0" borderId="2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1" fontId="7" fillId="0" borderId="7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vertical="center"/>
    </xf>
    <xf numFmtId="165" fontId="2" fillId="0" borderId="2" xfId="0" applyNumberFormat="1" applyFont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5" fillId="3" borderId="4" xfId="3" applyFont="1" applyFill="1" applyBorder="1" applyAlignment="1">
      <alignment horizontal="left" vertical="center" wrapText="1"/>
    </xf>
    <xf numFmtId="42" fontId="3" fillId="10" borderId="4" xfId="2" applyFont="1" applyFill="1" applyBorder="1" applyAlignment="1">
      <alignment horizontal="center" vertical="center" wrapText="1"/>
    </xf>
    <xf numFmtId="164" fontId="3" fillId="10" borderId="4" xfId="1" applyNumberFormat="1" applyFont="1" applyFill="1" applyBorder="1" applyAlignment="1">
      <alignment horizontal="center" vertical="center" wrapText="1"/>
    </xf>
    <xf numFmtId="42" fontId="3" fillId="10" borderId="11" xfId="2" applyFont="1" applyFill="1" applyBorder="1" applyAlignment="1">
      <alignment horizontal="center" vertical="center" wrapText="1"/>
    </xf>
    <xf numFmtId="42" fontId="3" fillId="7" borderId="4" xfId="2" applyFont="1" applyFill="1" applyBorder="1" applyAlignment="1">
      <alignment horizontal="center" vertical="center" textRotation="90" wrapText="1"/>
    </xf>
    <xf numFmtId="42" fontId="3" fillId="9" borderId="4" xfId="2" applyFont="1" applyFill="1" applyBorder="1" applyAlignment="1">
      <alignment horizontal="center" vertical="center" textRotation="90" wrapText="1"/>
    </xf>
    <xf numFmtId="42" fontId="3" fillId="6" borderId="4" xfId="2" applyFont="1" applyFill="1" applyBorder="1" applyAlignment="1">
      <alignment horizontal="center" vertical="center" textRotation="90" wrapText="1"/>
    </xf>
    <xf numFmtId="42" fontId="3" fillId="8" borderId="4" xfId="2" applyFont="1" applyFill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11" borderId="11" xfId="0" applyFont="1" applyFill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vertical="center"/>
    </xf>
    <xf numFmtId="164" fontId="2" fillId="0" borderId="5" xfId="1" applyNumberFormat="1" applyFont="1" applyBorder="1" applyAlignment="1">
      <alignment vertical="center"/>
    </xf>
    <xf numFmtId="164" fontId="2" fillId="0" borderId="9" xfId="1" applyNumberFormat="1" applyFont="1" applyBorder="1" applyAlignment="1">
      <alignment vertical="center"/>
    </xf>
    <xf numFmtId="43" fontId="2" fillId="0" borderId="0" xfId="0" applyNumberFormat="1" applyFont="1"/>
    <xf numFmtId="44" fontId="2" fillId="0" borderId="13" xfId="5" applyFont="1" applyBorder="1" applyAlignment="1">
      <alignment vertical="center"/>
    </xf>
    <xf numFmtId="165" fontId="2" fillId="0" borderId="13" xfId="2" applyNumberFormat="1" applyFont="1" applyBorder="1" applyAlignment="1">
      <alignment horizontal="center" vertical="center"/>
    </xf>
    <xf numFmtId="44" fontId="2" fillId="0" borderId="13" xfId="5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 vertical="center"/>
    </xf>
    <xf numFmtId="42" fontId="3" fillId="4" borderId="9" xfId="2" applyFont="1" applyFill="1" applyBorder="1" applyAlignment="1">
      <alignment horizontal="center" vertical="center" wrapText="1"/>
    </xf>
    <xf numFmtId="164" fontId="3" fillId="5" borderId="9" xfId="0" applyNumberFormat="1" applyFont="1" applyFill="1" applyBorder="1" applyAlignment="1">
      <alignment vertical="center" wrapText="1"/>
    </xf>
    <xf numFmtId="164" fontId="8" fillId="0" borderId="13" xfId="1" applyNumberFormat="1" applyFont="1" applyFill="1" applyBorder="1" applyAlignment="1">
      <alignment horizontal="center" vertical="center" wrapText="1"/>
    </xf>
    <xf numFmtId="164" fontId="8" fillId="0" borderId="13" xfId="1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3" borderId="9" xfId="3" applyFont="1" applyFill="1" applyBorder="1" applyAlignment="1">
      <alignment horizontal="center" vertical="center" wrapText="1"/>
    </xf>
  </cellXfs>
  <cellStyles count="6">
    <cellStyle name="Currency" xfId="4" xr:uid="{00000000-0005-0000-0000-000000000000}"/>
    <cellStyle name="Millares" xfId="1" builtinId="3"/>
    <cellStyle name="Moneda" xfId="5" builtinId="4"/>
    <cellStyle name="Moneda [0]" xfId="2" builtinId="7"/>
    <cellStyle name="Normal" xfId="0" builtinId="0"/>
    <cellStyle name="Normal 3" xfId="3" xr:uid="{00000000-0005-0000-0000-000004000000}"/>
  </cellStyles>
  <dxfs count="7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indent="0" justifyLastLine="0" shrinkToFit="0" readingOrder="0"/>
      <border>
        <right style="thin">
          <color auto="1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4" formatCode="_-* #,##0_-;\-* #,##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-* #,##0_-;\-* #,##0_-;_-* &quot;-&quot;??_-;_-@_-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5" formatCode="_-* #,##0\ _€_-;\-* #,##0\ _€_-;_-* &quot;-&quot;??\ _€_-;_-@_-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\ _€_-;\-* #,##0\ _€_-;_-* &quot;-&quot;??\ _€_-;_-@_-"/>
      <alignment vertical="center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4" formatCode="_-* #,##0_-;\-* #,##0_-;_-* &quot;-&quot;??_-;_-@_-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-* #,##0_-;\-* #,##0_-;_-* &quot;-&quot;??_-;_-@_-"/>
      <alignment vertical="center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4" formatCode="_-* #,##0_-;\-* #,##0_-;_-* &quot;-&quot;??_-;_-@_-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-* #,##0_-;\-* #,##0_-;_-* &quot;-&quot;??_-;_-@_-"/>
      <alignment vertical="center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5" formatCode="_-* #,##0\ _€_-;\-* #,##0\ _€_-;_-* &quot;-&quot;??\ _€_-;_-@_-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\ _€_-;\-* #,##0\ _€_-;_-* &quot;-&quot;??\ _€_-;_-@_-"/>
      <fill>
        <patternFill patternType="none"/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" formatCode="0"/>
      <fill>
        <patternFill patternType="none"/>
      </fill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5" formatCode="_-* #,##0\ _€_-;\-* #,##0\ _€_-;_-* &quot;-&quot;??\ _€_-;_-@_-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5" formatCode="_-* #,##0\ _€_-;\-* #,##0\ _€_-;_-* &quot;-&quot;??\ _€_-;_-@_-"/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164" formatCode="_-* #,##0_-;\-* #,##0_-;_-* &quot;-&quot;??_-;_-@_-"/>
      <fill>
        <patternFill patternType="solid">
          <fgColor indexed="64"/>
          <bgColor rgb="FFFFF2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fill>
        <patternFill patternType="solid">
          <fgColor indexed="64"/>
          <bgColor theme="9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4" formatCode="_-* #,##0_-;\-* #,##0_-;_-* &quot;-&quot;??_-;_-@_-"/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</dxf>
    <dxf>
      <border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aoti.sharepoint.com/Users/daniel.romero/OneDrive%20-%20Instituto%20Colombiano%20Agropecuario/SAD/2024/Reactivos%20-%20Elementos%20-%20equipos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ctivos resumen"/>
      <sheetName val="Reactivos"/>
      <sheetName val="Resumen elementos"/>
      <sheetName val="Elementos"/>
      <sheetName val="Resumen equipos"/>
      <sheetName val="Equipo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E17" totalsRowCount="1" headerRowDxfId="76" dataDxfId="74" totalsRowDxfId="72" headerRowBorderDxfId="75" tableBorderDxfId="73">
  <autoFilter ref="A2:AE16" xr:uid="{00000000-0009-0000-0100-000001000000}"/>
  <sortState xmlns:xlrd2="http://schemas.microsoft.com/office/spreadsheetml/2017/richdata2" ref="A3:AE14">
    <sortCondition ref="B2:B14"/>
  </sortState>
  <tableColumns count="31">
    <tableColumn id="1" xr3:uid="{00000000-0010-0000-0000-000001000000}" name="ÍTEM" totalsRowLabel="Total" dataDxfId="71" totalsRowDxfId="70"/>
    <tableColumn id="2" xr3:uid="{00000000-0010-0000-0000-000002000000}" name="Equipo " totalsRowFunction="count" dataDxfId="69" totalsRowDxfId="68"/>
    <tableColumn id="5" xr3:uid="{00000000-0010-0000-0000-000005000000}" name="Cantidad Total" totalsRowFunction="sum" dataDxfId="67" totalsRowDxfId="66">
      <calculatedColumnFormula>SUM(#REF!+#REF!+#REF!+K3+#REF!+M3+#REF!+O3+Q3)</calculatedColumnFormula>
    </tableColumn>
    <tableColumn id="23" xr3:uid="{D13BC396-564D-416D-AFA0-59A925B6C9C7}" name="código UNSPSC" dataDxfId="65" totalsRowDxfId="64"/>
    <tableColumn id="42" xr3:uid="{00000000-0010-0000-0000-00002A000000}" name="TIPO DE INTERVENCION METROLOGICA" dataDxfId="63" totalsRowDxfId="62"/>
    <tableColumn id="7" xr3:uid="{00000000-0010-0000-0000-000007000000}" name="Proveedor o contratista 2026" dataDxfId="61" totalsRowDxfId="60"/>
    <tableColumn id="8" xr3:uid="{00000000-0010-0000-0000-000008000000}" name="Valor de referencia del proceso" totalsRowFunction="sum" dataDxfId="59" totalsRowDxfId="58" dataCellStyle="Moneda"/>
    <tableColumn id="9" xr3:uid="{00000000-0010-0000-0000-000009000000}" name="Valor Total del proceso  de LP" totalsRowFunction="sum" dataDxfId="57" totalsRowDxfId="56">
      <calculatedColumnFormula>+Tabla1[[#This Row],[Valor de referencia del proceso]]*Tabla1[[#This Row],[Cantidad Total]]</calculatedColumnFormula>
    </tableColumn>
    <tableColumn id="4" xr3:uid="{00000000-0010-0000-0000-000004000000}" name="Cant. LANIP" totalsRowFunction="sum" dataDxfId="55" totalsRowDxfId="54">
      <calculatedColumnFormula>SUM(U3)</calculatedColumnFormula>
    </tableColumn>
    <tableColumn id="18" xr3:uid="{00000000-0010-0000-0000-000012000000}" name="Valor Total LANIP" totalsRowFunction="sum" dataDxfId="53" totalsRowDxfId="52">
      <calculatedColumnFormula>IFERROR(I3*G3," ")</calculatedColumnFormula>
    </tableColumn>
    <tableColumn id="16" xr3:uid="{00000000-0010-0000-0000-000010000000}" name="Cant.  RED LASE" totalsRowFunction="sum" dataDxfId="51" totalsRowDxfId="50">
      <calculatedColumnFormula>SUM(S3:S3)</calculatedColumnFormula>
    </tableColumn>
    <tableColumn id="17" xr3:uid="{00000000-0010-0000-0000-000011000000}" name="Valor Total RED LASE" totalsRowFunction="sum" dataDxfId="49" totalsRowDxfId="48">
      <calculatedColumnFormula>IFERROR(K3*G3," ")</calculatedColumnFormula>
    </tableColumn>
    <tableColumn id="20" xr3:uid="{00000000-0010-0000-0000-000014000000}" name="Cant. LNDV" totalsRowFunction="sum" dataDxfId="47" totalsRowDxfId="46">
      <calculatedColumnFormula>SUM(Equipos_2026!$S3:$V6)</calculatedColumnFormula>
    </tableColumn>
    <tableColumn id="21" xr3:uid="{00000000-0010-0000-0000-000015000000}" name="Valor Total LNDV" totalsRowFunction="sum" dataDxfId="45" totalsRowDxfId="44">
      <calculatedColumnFormula>IFERROR(M3*G3," ")</calculatedColumnFormula>
    </tableColumn>
    <tableColumn id="24" xr3:uid="{00000000-0010-0000-0000-000018000000}" name="Total LDV" totalsRowFunction="sum" dataDxfId="43" totalsRowDxfId="42">
      <calculatedColumnFormula>SUM(#REF!)</calculatedColumnFormula>
    </tableColumn>
    <tableColumn id="25" xr3:uid="{00000000-0010-0000-0000-000019000000}" name="Valor Total LDV" totalsRowFunction="sum" dataDxfId="41" totalsRowDxfId="40">
      <calculatedColumnFormula>+Tabla1[[#This Row],[Total LDV]]*Tabla1[[#This Row],[Valor de referencia del proceso]]</calculatedColumnFormula>
    </tableColumn>
    <tableColumn id="26" xr3:uid="{00000000-0010-0000-0000-00001A000000}" name="TOTAL  UNIDAD C.O" totalsRowFunction="sum" dataDxfId="39" totalsRowDxfId="38">
      <calculatedColumnFormula>Equipos_2026!$S3:$V6</calculatedColumnFormula>
    </tableColumn>
    <tableColumn id="27" xr3:uid="{00000000-0010-0000-0000-00001B000000}" name="Valor Total UNIDAD C.O " totalsRowFunction="sum" dataDxfId="37" totalsRowDxfId="36">
      <calculatedColumnFormula>+Q3*G3</calculatedColumnFormula>
    </tableColumn>
    <tableColumn id="54" xr3:uid="{00000000-0010-0000-0000-000036000000}" name="LANASE" totalsRowFunction="sum" dataDxfId="35" totalsRowDxfId="34"/>
    <tableColumn id="81" xr3:uid="{00000000-0010-0000-0000-000051000000}" name="LNDV " totalsRowFunction="sum" dataDxfId="33" totalsRowDxfId="32"/>
    <tableColumn id="19" xr3:uid="{00000000-0010-0000-0000-000013000000}" name="LANIP" totalsRowFunction="custom" dataDxfId="31" totalsRowDxfId="30">
      <totalsRowFormula>SUBTOTAL(109,Tabla1[LANIP])</totalsRowFormula>
    </tableColumn>
    <tableColumn id="86" xr3:uid="{00000000-0010-0000-0000-000056000000}" name="UNIDAD C.O" totalsRowFunction="sum" dataDxfId="29" totalsRowDxfId="28"/>
    <tableColumn id="22" xr3:uid="{00000000-0010-0000-0000-000016000000}" name="LDV BUCARAMANGA" totalsRowFunction="sum" dataDxfId="27" totalsRowDxfId="26"/>
    <tableColumn id="28" xr3:uid="{C98E5336-7F5C-40F7-9CE2-4B45854EB556}" name="LDV TULUÁ" totalsRowFunction="sum" dataDxfId="25" totalsRowDxfId="24"/>
    <tableColumn id="30" xr3:uid="{30DA9D31-B02C-440E-AE4A-A1623AE06F97}" name="LDV PEREIRA" totalsRowFunction="sum" dataDxfId="23" totalsRowDxfId="22"/>
    <tableColumn id="31" xr3:uid="{4670C811-5A52-481A-B86F-921BCA9A80D6}" name="LDV BELLO" totalsRowFunction="sum" dataDxfId="21" totalsRowDxfId="20"/>
    <tableColumn id="32" xr3:uid="{16FD2C3F-48E3-44BD-A81A-2470D2750478}" name="LDV CERETÉ" totalsRowFunction="sum" dataDxfId="19" totalsRowDxfId="18"/>
    <tableColumn id="34" xr3:uid="{AB3A6665-0589-430F-8A39-74098232240F}" name="LDV LA DORADA" totalsRowFunction="sum" dataDxfId="17" totalsRowDxfId="16"/>
    <tableColumn id="35" xr3:uid="{0876C5DC-9BBB-4D0F-B56B-B2916F68E69A}" name="LDV BARRANQUILLA" totalsRowFunction="sum" dataDxfId="15" totalsRowDxfId="14"/>
    <tableColumn id="36" xr3:uid="{0689F297-04B9-447B-B0E1-BB18D3415AE7}" name="LDV IBAGUÉ" totalsRowFunction="sum" dataDxfId="13" totalsRowDxfId="12"/>
    <tableColumn id="39" xr3:uid="{EA01F068-0D25-4AAB-9922-C80A1B64D251}" name="LDV ARMENIA" totalsRowFunction="sum" dataDxfId="11" totalsRowDxfId="10"/>
  </tableColumns>
  <tableStyleInfo name="TableStyleLight14" showFirstColumn="0" showLastColumn="0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7" tint="-0.249977111117893"/>
  </sheetPr>
  <dimension ref="A1:AE31"/>
  <sheetViews>
    <sheetView showZeros="0" tabSelected="1" zoomScaleNormal="100" workbookViewId="0">
      <pane xSplit="3" ySplit="3" topLeftCell="N6" activePane="bottomRight" state="frozen"/>
      <selection pane="topRight" activeCell="D1" sqref="D1"/>
      <selection pane="bottomLeft" activeCell="A3" sqref="A3"/>
      <selection pane="bottomRight" activeCell="A3" sqref="A3:A16"/>
    </sheetView>
  </sheetViews>
  <sheetFormatPr baseColWidth="10" defaultColWidth="4.6640625" defaultRowHeight="12" customHeight="1" x14ac:dyDescent="0.15"/>
  <cols>
    <col min="1" max="1" width="6.6640625" style="1" customWidth="1"/>
    <col min="2" max="2" width="46.83203125" style="1" customWidth="1"/>
    <col min="3" max="4" width="11.5" style="1" customWidth="1"/>
    <col min="5" max="5" width="11.83203125" style="1" customWidth="1"/>
    <col min="6" max="6" width="13.6640625" style="1" hidden="1" customWidth="1"/>
    <col min="7" max="7" width="17.5" style="2" bestFit="1" customWidth="1"/>
    <col min="8" max="8" width="18.5" style="2" customWidth="1"/>
    <col min="9" max="9" width="7.1640625" style="8" customWidth="1"/>
    <col min="10" max="10" width="17.5" style="8" customWidth="1"/>
    <col min="11" max="11" width="7" style="1" customWidth="1"/>
    <col min="12" max="12" width="15.83203125" style="1" customWidth="1"/>
    <col min="13" max="13" width="8.1640625" style="1" customWidth="1"/>
    <col min="14" max="14" width="15.83203125" style="1" customWidth="1"/>
    <col min="15" max="15" width="8.5" style="1" customWidth="1"/>
    <col min="16" max="16" width="16.33203125" style="1" customWidth="1"/>
    <col min="17" max="17" width="8.5" style="1" customWidth="1"/>
    <col min="18" max="18" width="17.5" style="1" customWidth="1"/>
    <col min="19" max="21" width="5.5" style="7" customWidth="1"/>
    <col min="22" max="22" width="4.6640625" style="8"/>
    <col min="23" max="16384" width="4.6640625" style="1"/>
  </cols>
  <sheetData>
    <row r="1" spans="1:31" ht="25.5" customHeight="1" x14ac:dyDescent="0.15"/>
    <row r="2" spans="1:31" ht="69.75" customHeight="1" x14ac:dyDescent="0.15">
      <c r="A2" s="48" t="s">
        <v>0</v>
      </c>
      <c r="B2" s="38" t="s">
        <v>1</v>
      </c>
      <c r="C2" s="23" t="s">
        <v>2</v>
      </c>
      <c r="D2" s="23" t="s">
        <v>3</v>
      </c>
      <c r="E2" s="68" t="s">
        <v>4</v>
      </c>
      <c r="F2" s="39" t="s">
        <v>5</v>
      </c>
      <c r="G2" s="61" t="s">
        <v>6</v>
      </c>
      <c r="H2" s="61" t="s">
        <v>7</v>
      </c>
      <c r="I2" s="40" t="s">
        <v>8</v>
      </c>
      <c r="J2" s="41" t="s">
        <v>9</v>
      </c>
      <c r="K2" s="40" t="s">
        <v>10</v>
      </c>
      <c r="L2" s="40" t="s">
        <v>11</v>
      </c>
      <c r="M2" s="40" t="s">
        <v>12</v>
      </c>
      <c r="N2" s="40" t="s">
        <v>13</v>
      </c>
      <c r="O2" s="40" t="s">
        <v>14</v>
      </c>
      <c r="P2" s="40" t="s">
        <v>15</v>
      </c>
      <c r="Q2" s="40" t="s">
        <v>16</v>
      </c>
      <c r="R2" s="42" t="s">
        <v>17</v>
      </c>
      <c r="S2" s="43" t="s">
        <v>18</v>
      </c>
      <c r="T2" s="44" t="s">
        <v>19</v>
      </c>
      <c r="U2" s="45" t="s">
        <v>20</v>
      </c>
      <c r="V2" s="46" t="s">
        <v>21</v>
      </c>
      <c r="W2" s="30" t="s">
        <v>22</v>
      </c>
      <c r="X2" s="30" t="s">
        <v>23</v>
      </c>
      <c r="Y2" s="30" t="s">
        <v>24</v>
      </c>
      <c r="Z2" s="30" t="s">
        <v>25</v>
      </c>
      <c r="AA2" s="30" t="s">
        <v>26</v>
      </c>
      <c r="AB2" s="30" t="s">
        <v>27</v>
      </c>
      <c r="AC2" s="30" t="s">
        <v>28</v>
      </c>
      <c r="AD2" s="30" t="s">
        <v>29</v>
      </c>
      <c r="AE2" s="49" t="s">
        <v>30</v>
      </c>
    </row>
    <row r="3" spans="1:31" ht="13" x14ac:dyDescent="0.15">
      <c r="A3" s="3">
        <v>1</v>
      </c>
      <c r="B3" s="31" t="s">
        <v>31</v>
      </c>
      <c r="C3" s="32">
        <f>+Tabla1[[#This Row],[Cant. LANIP]]+Tabla1[[#This Row],[Cant.  RED LASE]]+Tabla1[[#This Row],[Cant. LNDV]]+Tabla1[[#This Row],[Total LDV]]+Tabla1[[#This Row],[TOTAL  UNIDAD C.O]]</f>
        <v>9</v>
      </c>
      <c r="D3" s="33">
        <v>411038</v>
      </c>
      <c r="E3" s="63" t="s">
        <v>32</v>
      </c>
      <c r="F3" s="65"/>
      <c r="G3" s="56">
        <v>5993782</v>
      </c>
      <c r="H3" s="57">
        <f>+Tabla1[[#This Row],[Valor de referencia del proceso]]*Tabla1[[#This Row],[Cantidad Total]]</f>
        <v>53944038</v>
      </c>
      <c r="I3" s="59">
        <f t="shared" ref="I3:I14" si="0">SUM(U3)</f>
        <v>2</v>
      </c>
      <c r="J3" s="28">
        <f t="shared" ref="J3:J14" si="1">IFERROR(I3*G3," ")</f>
        <v>11987564</v>
      </c>
      <c r="K3" s="5">
        <f>SUM(S3:S3)</f>
        <v>0</v>
      </c>
      <c r="L3" s="52">
        <f t="shared" ref="L3:L14" si="2">IFERROR(K3*G3," ")</f>
        <v>0</v>
      </c>
      <c r="M3" s="5">
        <v>5</v>
      </c>
      <c r="N3" s="52">
        <f t="shared" ref="N3:N14" si="3">IFERROR(M3*G3," ")</f>
        <v>29968910</v>
      </c>
      <c r="O3" s="5">
        <f>SUM(Tabla1[[#This Row],[LDV BUCARAMANGA]:[LDV ARMENIA]])</f>
        <v>0</v>
      </c>
      <c r="P3" s="36">
        <f>+Tabla1[[#This Row],[Total LDV]]*Tabla1[[#This Row],[Valor de referencia del proceso]]</f>
        <v>0</v>
      </c>
      <c r="Q3" s="21">
        <f>+Tabla1[[#This Row],[UNIDAD C.O]]</f>
        <v>2</v>
      </c>
      <c r="R3" s="4">
        <f t="shared" ref="R3:R14" si="4">+Q3*G3</f>
        <v>11987564</v>
      </c>
      <c r="S3" s="9"/>
      <c r="T3" s="9"/>
      <c r="U3" s="9">
        <v>2</v>
      </c>
      <c r="V3" s="24">
        <v>2</v>
      </c>
      <c r="W3" s="6"/>
      <c r="X3" s="6"/>
      <c r="Y3" s="6"/>
      <c r="Z3" s="6"/>
      <c r="AA3" s="6"/>
      <c r="AB3" s="6"/>
      <c r="AC3" s="6"/>
      <c r="AD3" s="6"/>
      <c r="AE3" s="50"/>
    </row>
    <row r="4" spans="1:31" ht="25.5" customHeight="1" x14ac:dyDescent="0.15">
      <c r="A4" s="3">
        <v>2</v>
      </c>
      <c r="B4" s="31" t="s">
        <v>33</v>
      </c>
      <c r="C4" s="32">
        <f>+Tabla1[[#This Row],[Cant. LANIP]]+Tabla1[[#This Row],[Cant.  RED LASE]]+Tabla1[[#This Row],[Cant. LNDV]]+Tabla1[[#This Row],[Total LDV]]+Tabla1[[#This Row],[TOTAL  UNIDAD C.O]]</f>
        <v>4</v>
      </c>
      <c r="D4" s="33">
        <v>422815</v>
      </c>
      <c r="E4" s="64" t="s">
        <v>34</v>
      </c>
      <c r="F4" s="65"/>
      <c r="G4" s="56">
        <v>177568316</v>
      </c>
      <c r="H4" s="57">
        <f>+Tabla1[[#This Row],[Valor de referencia del proceso]]*Tabla1[[#This Row],[Cantidad Total]]</f>
        <v>710273264</v>
      </c>
      <c r="I4" s="59">
        <f t="shared" si="0"/>
        <v>0</v>
      </c>
      <c r="J4" s="28">
        <f t="shared" si="1"/>
        <v>0</v>
      </c>
      <c r="K4" s="5">
        <f>SUM(S4:S4)</f>
        <v>0</v>
      </c>
      <c r="L4" s="52">
        <f t="shared" si="2"/>
        <v>0</v>
      </c>
      <c r="M4" s="5">
        <v>1</v>
      </c>
      <c r="N4" s="52">
        <f t="shared" si="3"/>
        <v>177568316</v>
      </c>
      <c r="O4" s="5">
        <f>SUM(Tabla1[[#This Row],[LDV BUCARAMANGA]:[LDV ARMENIA]])</f>
        <v>2</v>
      </c>
      <c r="P4" s="36">
        <f>+Tabla1[[#This Row],[Total LDV]]*Tabla1[[#This Row],[Valor de referencia del proceso]]</f>
        <v>355136632</v>
      </c>
      <c r="Q4" s="21">
        <f>+Tabla1[[#This Row],[UNIDAD C.O]]</f>
        <v>1</v>
      </c>
      <c r="R4" s="4">
        <f t="shared" si="4"/>
        <v>177568316</v>
      </c>
      <c r="S4" s="9"/>
      <c r="T4" s="9">
        <v>1</v>
      </c>
      <c r="U4" s="9"/>
      <c r="V4" s="24">
        <v>1</v>
      </c>
      <c r="W4" s="6"/>
      <c r="X4" s="6">
        <v>1</v>
      </c>
      <c r="Y4" s="6">
        <v>1</v>
      </c>
      <c r="Z4" s="6"/>
      <c r="AA4" s="6"/>
      <c r="AB4" s="6"/>
      <c r="AC4" s="6"/>
      <c r="AD4" s="6"/>
      <c r="AE4" s="50"/>
    </row>
    <row r="5" spans="1:31" ht="13" x14ac:dyDescent="0.15">
      <c r="A5" s="3">
        <v>3</v>
      </c>
      <c r="B5" s="31" t="s">
        <v>35</v>
      </c>
      <c r="C5" s="32">
        <f>+Tabla1[[#This Row],[Cant. LANIP]]+Tabla1[[#This Row],[Cant.  RED LASE]]+Tabla1[[#This Row],[Cant. LNDV]]+Tabla1[[#This Row],[Total LDV]]+Tabla1[[#This Row],[TOTAL  UNIDAD C.O]]</f>
        <v>5</v>
      </c>
      <c r="D5" s="33">
        <v>411024</v>
      </c>
      <c r="E5" s="64" t="s">
        <v>32</v>
      </c>
      <c r="F5" s="65"/>
      <c r="G5" s="56">
        <v>4804655</v>
      </c>
      <c r="H5" s="57">
        <f>+Tabla1[[#This Row],[Valor de referencia del proceso]]*Tabla1[[#This Row],[Cantidad Total]]</f>
        <v>24023275</v>
      </c>
      <c r="I5" s="59">
        <f t="shared" si="0"/>
        <v>0</v>
      </c>
      <c r="J5" s="28">
        <f t="shared" si="1"/>
        <v>0</v>
      </c>
      <c r="K5" s="5">
        <f>SUM(S5:S5)</f>
        <v>0</v>
      </c>
      <c r="L5" s="52">
        <f t="shared" si="2"/>
        <v>0</v>
      </c>
      <c r="M5" s="5">
        <v>4</v>
      </c>
      <c r="N5" s="52">
        <f t="shared" si="3"/>
        <v>19218620</v>
      </c>
      <c r="O5" s="5">
        <v>1</v>
      </c>
      <c r="P5" s="36">
        <f>+Tabla1[[#This Row],[Total LDV]]*Tabla1[[#This Row],[Valor de referencia del proceso]]</f>
        <v>4804655</v>
      </c>
      <c r="Q5" s="21">
        <f>+Tabla1[[#This Row],[UNIDAD C.O]]</f>
        <v>0</v>
      </c>
      <c r="R5" s="4">
        <f t="shared" si="4"/>
        <v>0</v>
      </c>
      <c r="S5" s="24"/>
      <c r="T5" s="24"/>
      <c r="U5" s="24"/>
      <c r="V5" s="24"/>
      <c r="W5" s="6"/>
      <c r="X5" s="6"/>
      <c r="Y5" s="6"/>
      <c r="Z5" s="6"/>
      <c r="AA5" s="6">
        <v>1</v>
      </c>
      <c r="AB5" s="6"/>
      <c r="AC5" s="6"/>
      <c r="AD5" s="6"/>
      <c r="AE5" s="50"/>
    </row>
    <row r="6" spans="1:31" ht="27.75" customHeight="1" x14ac:dyDescent="0.15">
      <c r="A6" s="3">
        <v>4</v>
      </c>
      <c r="B6" s="31" t="s">
        <v>36</v>
      </c>
      <c r="C6" s="32">
        <f>+Tabla1[[#This Row],[Cant. LANIP]]+Tabla1[[#This Row],[Cant.  RED LASE]]+Tabla1[[#This Row],[Cant. LNDV]]+Tabla1[[#This Row],[Total LDV]]+Tabla1[[#This Row],[TOTAL  UNIDAD C.O]]</f>
        <v>1</v>
      </c>
      <c r="D6" s="33">
        <v>411122</v>
      </c>
      <c r="E6" s="64" t="s">
        <v>34</v>
      </c>
      <c r="F6" s="66"/>
      <c r="G6" s="56">
        <v>385720650</v>
      </c>
      <c r="H6" s="57">
        <f>+Tabla1[[#This Row],[Valor de referencia del proceso]]*Tabla1[[#This Row],[Cantidad Total]]</f>
        <v>385720650</v>
      </c>
      <c r="I6" s="59">
        <f t="shared" si="0"/>
        <v>1</v>
      </c>
      <c r="J6" s="28">
        <f t="shared" si="1"/>
        <v>385720650</v>
      </c>
      <c r="K6" s="5">
        <f>SUM(S6:S6)</f>
        <v>0</v>
      </c>
      <c r="L6" s="52">
        <f t="shared" si="2"/>
        <v>0</v>
      </c>
      <c r="M6" s="5">
        <f>SUM(Tabla1[[#This Row],[LNDV ]])</f>
        <v>0</v>
      </c>
      <c r="N6" s="53">
        <f t="shared" si="3"/>
        <v>0</v>
      </c>
      <c r="O6" s="5">
        <f>SUM(Tabla1[[#This Row],[LDV BUCARAMANGA]:[LDV ARMENIA]])</f>
        <v>0</v>
      </c>
      <c r="P6" s="36">
        <f>+Tabla1[[#This Row],[Total LDV]]*Tabla1[[#This Row],[Valor de referencia del proceso]]</f>
        <v>0</v>
      </c>
      <c r="Q6" s="21">
        <f>+Tabla1[[#This Row],[UNIDAD C.O]]</f>
        <v>0</v>
      </c>
      <c r="R6" s="25">
        <f t="shared" si="4"/>
        <v>0</v>
      </c>
      <c r="S6" s="6"/>
      <c r="T6" s="6"/>
      <c r="U6" s="6">
        <v>1</v>
      </c>
      <c r="V6" s="6"/>
      <c r="W6" s="6"/>
      <c r="X6" s="6"/>
      <c r="Y6" s="6"/>
      <c r="Z6" s="6"/>
      <c r="AA6" s="6"/>
      <c r="AB6" s="6"/>
      <c r="AC6" s="6"/>
      <c r="AD6" s="6"/>
      <c r="AE6" s="50"/>
    </row>
    <row r="7" spans="1:31" ht="13" x14ac:dyDescent="0.15">
      <c r="A7" s="3">
        <v>6</v>
      </c>
      <c r="B7" s="31" t="s">
        <v>37</v>
      </c>
      <c r="C7" s="32">
        <f>+Tabla1[[#This Row],[Cant. LANIP]]+Tabla1[[#This Row],[Cant.  RED LASE]]+Tabla1[[#This Row],[Cant. LNDV]]+Tabla1[[#This Row],[Total LDV]]+Tabla1[[#This Row],[TOTAL  UNIDAD C.O]]</f>
        <v>3</v>
      </c>
      <c r="D7" s="33">
        <v>411039</v>
      </c>
      <c r="E7" s="64" t="s">
        <v>32</v>
      </c>
      <c r="F7" s="65"/>
      <c r="G7" s="58">
        <v>28260676</v>
      </c>
      <c r="H7" s="57">
        <f>+Tabla1[[#This Row],[Valor de referencia del proceso]]*Tabla1[[#This Row],[Cantidad Total]]</f>
        <v>84782028</v>
      </c>
      <c r="I7" s="59">
        <f t="shared" si="0"/>
        <v>0</v>
      </c>
      <c r="J7" s="28">
        <f t="shared" si="1"/>
        <v>0</v>
      </c>
      <c r="K7" s="5">
        <f>SUM(S7:S7)</f>
        <v>0</v>
      </c>
      <c r="L7" s="52">
        <f t="shared" si="2"/>
        <v>0</v>
      </c>
      <c r="M7" s="5">
        <f>SUM(Tabla1[[#This Row],[LNDV ]])</f>
        <v>0</v>
      </c>
      <c r="N7" s="52">
        <f t="shared" si="3"/>
        <v>0</v>
      </c>
      <c r="O7" s="5">
        <f>SUM(Tabla1[[#This Row],[LDV BUCARAMANGA]:[LDV ARMENIA]])</f>
        <v>3</v>
      </c>
      <c r="P7" s="36">
        <f>+Tabla1[[#This Row],[Total LDV]]*Tabla1[[#This Row],[Valor de referencia del proceso]]</f>
        <v>84782028</v>
      </c>
      <c r="Q7" s="21">
        <f>+Tabla1[[#This Row],[UNIDAD C.O]]</f>
        <v>0</v>
      </c>
      <c r="R7" s="22">
        <f t="shared" si="4"/>
        <v>0</v>
      </c>
      <c r="S7" s="6"/>
      <c r="T7" s="6"/>
      <c r="U7" s="6"/>
      <c r="V7" s="6"/>
      <c r="W7" s="6"/>
      <c r="X7" s="6"/>
      <c r="Y7" s="6"/>
      <c r="Z7" s="6">
        <v>1</v>
      </c>
      <c r="AA7" s="6"/>
      <c r="AB7" s="6"/>
      <c r="AC7" s="6"/>
      <c r="AD7" s="6"/>
      <c r="AE7" s="50">
        <v>2</v>
      </c>
    </row>
    <row r="8" spans="1:31" ht="39" x14ac:dyDescent="0.15">
      <c r="A8" s="3">
        <v>7</v>
      </c>
      <c r="B8" s="31" t="s">
        <v>38</v>
      </c>
      <c r="C8" s="32">
        <f>+Tabla1[[#This Row],[Cant. LANIP]]+Tabla1[[#This Row],[Cant.  RED LASE]]+Tabla1[[#This Row],[Cant. LNDV]]+Tabla1[[#This Row],[Total LDV]]+Tabla1[[#This Row],[TOTAL  UNIDAD C.O]]</f>
        <v>1</v>
      </c>
      <c r="D8" s="33" t="s">
        <v>39</v>
      </c>
      <c r="E8" s="64" t="s">
        <v>32</v>
      </c>
      <c r="F8" s="65"/>
      <c r="G8" s="58">
        <v>389401221</v>
      </c>
      <c r="H8" s="57">
        <f>+Tabla1[[#This Row],[Valor de referencia del proceso]]*Tabla1[[#This Row],[Cantidad Total]]</f>
        <v>389401221</v>
      </c>
      <c r="I8" s="59">
        <f t="shared" si="0"/>
        <v>0</v>
      </c>
      <c r="J8" s="28">
        <f t="shared" si="1"/>
        <v>0</v>
      </c>
      <c r="K8" s="5">
        <v>1</v>
      </c>
      <c r="L8" s="52">
        <f t="shared" si="2"/>
        <v>389401221</v>
      </c>
      <c r="M8" s="5">
        <f>SUM(Tabla1[[#This Row],[LNDV ]])</f>
        <v>0</v>
      </c>
      <c r="N8" s="52">
        <f t="shared" si="3"/>
        <v>0</v>
      </c>
      <c r="O8" s="5">
        <f>SUM(Tabla1[[#This Row],[LDV BUCARAMANGA]:[LDV ARMENIA]])</f>
        <v>0</v>
      </c>
      <c r="P8" s="36">
        <f>+Tabla1[[#This Row],[Total LDV]]*Tabla1[[#This Row],[Valor de referencia del proceso]]</f>
        <v>0</v>
      </c>
      <c r="Q8" s="21">
        <f>+Tabla1[[#This Row],[UNIDAD C.O]]</f>
        <v>0</v>
      </c>
      <c r="R8" s="22">
        <f t="shared" si="4"/>
        <v>0</v>
      </c>
      <c r="S8" s="6">
        <v>1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50"/>
    </row>
    <row r="9" spans="1:31" ht="26" x14ac:dyDescent="0.15">
      <c r="A9" s="3">
        <v>8</v>
      </c>
      <c r="B9" s="31" t="s">
        <v>40</v>
      </c>
      <c r="C9" s="32">
        <f>+Tabla1[[#This Row],[Cant. LANIP]]+Tabla1[[#This Row],[Cant.  RED LASE]]+Tabla1[[#This Row],[Cant. LNDV]]+Tabla1[[#This Row],[Total LDV]]+Tabla1[[#This Row],[TOTAL  UNIDAD C.O]]</f>
        <v>4</v>
      </c>
      <c r="D9" s="33" t="s">
        <v>41</v>
      </c>
      <c r="E9" s="64" t="s">
        <v>34</v>
      </c>
      <c r="F9" s="65"/>
      <c r="G9" s="58">
        <v>31837741</v>
      </c>
      <c r="H9" s="57">
        <f>+Tabla1[[#This Row],[Valor de referencia del proceso]]*Tabla1[[#This Row],[Cantidad Total]]</f>
        <v>127350964</v>
      </c>
      <c r="I9" s="59">
        <f t="shared" si="0"/>
        <v>0</v>
      </c>
      <c r="J9" s="28">
        <f t="shared" si="1"/>
        <v>0</v>
      </c>
      <c r="K9" s="5">
        <f t="shared" ref="K9:K14" si="5">SUM(S9:S9)</f>
        <v>0</v>
      </c>
      <c r="L9" s="52">
        <f t="shared" si="2"/>
        <v>0</v>
      </c>
      <c r="M9" s="5">
        <f>SUM(Tabla1[[#This Row],[LNDV ]])</f>
        <v>0</v>
      </c>
      <c r="N9" s="52">
        <f t="shared" si="3"/>
        <v>0</v>
      </c>
      <c r="O9" s="5">
        <f>SUM(Tabla1[[#This Row],[LDV BUCARAMANGA]:[LDV ARMENIA]])</f>
        <v>4</v>
      </c>
      <c r="P9" s="36">
        <f>+Tabla1[[#This Row],[Total LDV]]*Tabla1[[#This Row],[Valor de referencia del proceso]]</f>
        <v>127350964</v>
      </c>
      <c r="Q9" s="21">
        <f>+Tabla1[[#This Row],[UNIDAD C.O]]</f>
        <v>0</v>
      </c>
      <c r="R9" s="22">
        <f t="shared" si="4"/>
        <v>0</v>
      </c>
      <c r="S9" s="6"/>
      <c r="T9" s="6"/>
      <c r="U9" s="6"/>
      <c r="V9" s="6"/>
      <c r="W9" s="6">
        <v>0</v>
      </c>
      <c r="X9" s="6">
        <v>1</v>
      </c>
      <c r="Y9" s="6"/>
      <c r="Z9" s="6">
        <v>1</v>
      </c>
      <c r="AA9" s="6"/>
      <c r="AB9" s="6"/>
      <c r="AC9" s="6">
        <v>1</v>
      </c>
      <c r="AD9" s="6">
        <v>1</v>
      </c>
      <c r="AE9" s="50"/>
    </row>
    <row r="10" spans="1:31" ht="13" x14ac:dyDescent="0.15">
      <c r="A10" s="3">
        <v>9</v>
      </c>
      <c r="B10" s="31" t="s">
        <v>42</v>
      </c>
      <c r="C10" s="32">
        <f>+Tabla1[[#This Row],[Cant. LANIP]]+Tabla1[[#This Row],[Cant.  RED LASE]]+Tabla1[[#This Row],[Cant. LNDV]]+Tabla1[[#This Row],[Total LDV]]+Tabla1[[#This Row],[TOTAL  UNIDAD C.O]]</f>
        <v>2</v>
      </c>
      <c r="D10" s="33">
        <v>411039</v>
      </c>
      <c r="E10" s="64" t="s">
        <v>32</v>
      </c>
      <c r="F10" s="65"/>
      <c r="G10" s="58">
        <v>23303693</v>
      </c>
      <c r="H10" s="57">
        <f>+Tabla1[[#This Row],[Valor de referencia del proceso]]*Tabla1[[#This Row],[Cantidad Total]]</f>
        <v>46607386</v>
      </c>
      <c r="I10" s="59">
        <f t="shared" si="0"/>
        <v>0</v>
      </c>
      <c r="J10" s="28">
        <f t="shared" si="1"/>
        <v>0</v>
      </c>
      <c r="K10" s="5">
        <f t="shared" si="5"/>
        <v>0</v>
      </c>
      <c r="L10" s="52">
        <f t="shared" si="2"/>
        <v>0</v>
      </c>
      <c r="M10" s="5">
        <f>SUM(Tabla1[[#This Row],[LNDV ]])</f>
        <v>0</v>
      </c>
      <c r="N10" s="52">
        <f t="shared" si="3"/>
        <v>0</v>
      </c>
      <c r="O10" s="5">
        <f>SUM(Tabla1[[#This Row],[LDV BUCARAMANGA]:[LDV ARMENIA]])</f>
        <v>0</v>
      </c>
      <c r="P10" s="36">
        <f>+Tabla1[[#This Row],[Total LDV]]*Tabla1[[#This Row],[Valor de referencia del proceso]]</f>
        <v>0</v>
      </c>
      <c r="Q10" s="21">
        <f>+Tabla1[[#This Row],[UNIDAD C.O]]</f>
        <v>2</v>
      </c>
      <c r="R10" s="22">
        <f t="shared" si="4"/>
        <v>46607386</v>
      </c>
      <c r="S10" s="6"/>
      <c r="T10" s="6"/>
      <c r="U10" s="6"/>
      <c r="V10" s="6">
        <v>2</v>
      </c>
      <c r="W10" s="6"/>
      <c r="X10" s="6"/>
      <c r="Y10" s="6"/>
      <c r="Z10" s="6"/>
      <c r="AA10" s="6"/>
      <c r="AB10" s="6"/>
      <c r="AC10" s="6"/>
      <c r="AD10" s="6"/>
      <c r="AE10" s="50"/>
    </row>
    <row r="11" spans="1:31" ht="39" x14ac:dyDescent="0.15">
      <c r="A11" s="3">
        <v>10</v>
      </c>
      <c r="B11" s="31" t="s">
        <v>43</v>
      </c>
      <c r="C11" s="32">
        <f>+Tabla1[[#This Row],[Cant. LANIP]]+Tabla1[[#This Row],[Cant.  RED LASE]]+Tabla1[[#This Row],[Cant. LNDV]]+Tabla1[[#This Row],[Total LDV]]+Tabla1[[#This Row],[TOTAL  UNIDAD C.O]]</f>
        <v>1</v>
      </c>
      <c r="D11" s="33" t="s">
        <v>44</v>
      </c>
      <c r="E11" s="64" t="s">
        <v>32</v>
      </c>
      <c r="F11" s="65"/>
      <c r="G11" s="56">
        <v>1108164692</v>
      </c>
      <c r="H11" s="57">
        <f>+Tabla1[[#This Row],[Valor de referencia del proceso]]*Tabla1[[#This Row],[Cantidad Total]]</f>
        <v>1108164692</v>
      </c>
      <c r="I11" s="59">
        <f t="shared" si="0"/>
        <v>0</v>
      </c>
      <c r="J11" s="28">
        <f t="shared" si="1"/>
        <v>0</v>
      </c>
      <c r="K11" s="5">
        <f t="shared" si="5"/>
        <v>0</v>
      </c>
      <c r="L11" s="52">
        <f t="shared" si="2"/>
        <v>0</v>
      </c>
      <c r="M11" s="5">
        <f>SUM(Tabla1[[#This Row],[LNDV ]])</f>
        <v>0</v>
      </c>
      <c r="N11" s="52">
        <f t="shared" si="3"/>
        <v>0</v>
      </c>
      <c r="O11" s="5">
        <f>SUM(Tabla1[[#This Row],[LDV BUCARAMANGA]:[LDV ARMENIA]])</f>
        <v>0</v>
      </c>
      <c r="P11" s="36">
        <f>+Tabla1[[#This Row],[Total LDV]]*Tabla1[[#This Row],[Valor de referencia del proceso]]</f>
        <v>0</v>
      </c>
      <c r="Q11" s="21">
        <f>+Tabla1[[#This Row],[UNIDAD C.O]]</f>
        <v>1</v>
      </c>
      <c r="R11" s="22">
        <f t="shared" si="4"/>
        <v>1108164692</v>
      </c>
      <c r="S11" s="6"/>
      <c r="T11" s="6"/>
      <c r="U11" s="6"/>
      <c r="V11" s="6">
        <v>1</v>
      </c>
      <c r="W11" s="6"/>
      <c r="X11" s="6"/>
      <c r="Y11" s="6"/>
      <c r="Z11" s="6"/>
      <c r="AA11" s="6"/>
      <c r="AB11" s="6"/>
      <c r="AC11" s="6"/>
      <c r="AD11" s="6"/>
      <c r="AE11" s="50"/>
    </row>
    <row r="12" spans="1:31" ht="26" x14ac:dyDescent="0.15">
      <c r="A12" s="3">
        <v>11</v>
      </c>
      <c r="B12" s="31" t="s">
        <v>45</v>
      </c>
      <c r="C12" s="32">
        <f>+Tabla1[[#This Row],[Cant. LANIP]]+Tabla1[[#This Row],[Cant.  RED LASE]]+Tabla1[[#This Row],[Cant. LNDV]]+Tabla1[[#This Row],[Total LDV]]+Tabla1[[#This Row],[TOTAL  UNIDAD C.O]]</f>
        <v>1</v>
      </c>
      <c r="D12" s="33" t="s">
        <v>46</v>
      </c>
      <c r="E12" s="64" t="s">
        <v>32</v>
      </c>
      <c r="F12" s="65"/>
      <c r="G12" s="56">
        <v>373619540</v>
      </c>
      <c r="H12" s="57">
        <f>+Tabla1[[#This Row],[Valor de referencia del proceso]]*Tabla1[[#This Row],[Cantidad Total]]</f>
        <v>373619540</v>
      </c>
      <c r="I12" s="59">
        <f t="shared" si="0"/>
        <v>0</v>
      </c>
      <c r="J12" s="28">
        <f>IFERROR(I12*G12," ")</f>
        <v>0</v>
      </c>
      <c r="K12" s="5">
        <f t="shared" si="5"/>
        <v>0</v>
      </c>
      <c r="L12" s="52">
        <f t="shared" si="2"/>
        <v>0</v>
      </c>
      <c r="M12" s="5">
        <f>SUM(Tabla1[[#This Row],[LNDV ]])</f>
        <v>0</v>
      </c>
      <c r="N12" s="52">
        <f t="shared" si="3"/>
        <v>0</v>
      </c>
      <c r="O12" s="5">
        <f>SUM(Tabla1[[#This Row],[LDV BUCARAMANGA]:[LDV ARMENIA]])</f>
        <v>0</v>
      </c>
      <c r="P12" s="36">
        <f>+Tabla1[[#This Row],[Total LDV]]*Tabla1[[#This Row],[Valor de referencia del proceso]]</f>
        <v>0</v>
      </c>
      <c r="Q12" s="21">
        <f>+Tabla1[[#This Row],[UNIDAD C.O]]</f>
        <v>1</v>
      </c>
      <c r="R12" s="22">
        <f t="shared" si="4"/>
        <v>373619540</v>
      </c>
      <c r="S12" s="6"/>
      <c r="T12" s="6"/>
      <c r="U12" s="6"/>
      <c r="V12" s="6">
        <v>1</v>
      </c>
      <c r="W12" s="6"/>
      <c r="X12" s="6"/>
      <c r="Y12" s="6"/>
      <c r="Z12" s="6"/>
      <c r="AA12" s="6"/>
      <c r="AB12" s="6"/>
      <c r="AC12" s="6"/>
      <c r="AD12" s="6"/>
      <c r="AE12" s="50"/>
    </row>
    <row r="13" spans="1:31" ht="21" customHeight="1" x14ac:dyDescent="0.15">
      <c r="A13" s="3">
        <v>12</v>
      </c>
      <c r="B13" s="31" t="s">
        <v>47</v>
      </c>
      <c r="C13" s="32">
        <f>+Tabla1[[#This Row],[Cant. LANIP]]+Tabla1[[#This Row],[Cant.  RED LASE]]+Tabla1[[#This Row],[Cant. LNDV]]+Tabla1[[#This Row],[Total LDV]]+Tabla1[[#This Row],[TOTAL  UNIDAD C.O]]</f>
        <v>1</v>
      </c>
      <c r="D13" s="33">
        <v>411053</v>
      </c>
      <c r="E13" s="64" t="s">
        <v>32</v>
      </c>
      <c r="F13" s="65"/>
      <c r="G13" s="56">
        <v>16875668</v>
      </c>
      <c r="H13" s="57">
        <f>+Tabla1[[#This Row],[Valor de referencia del proceso]]*Tabla1[[#This Row],[Cantidad Total]]</f>
        <v>16875668</v>
      </c>
      <c r="I13" s="59">
        <f t="shared" si="0"/>
        <v>0</v>
      </c>
      <c r="J13" s="28">
        <f t="shared" si="1"/>
        <v>0</v>
      </c>
      <c r="K13" s="5">
        <f t="shared" si="5"/>
        <v>0</v>
      </c>
      <c r="L13" s="52">
        <f t="shared" si="2"/>
        <v>0</v>
      </c>
      <c r="M13" s="5">
        <f>SUM(Tabla1[[#This Row],[LNDV ]])</f>
        <v>0</v>
      </c>
      <c r="N13" s="52">
        <f t="shared" si="3"/>
        <v>0</v>
      </c>
      <c r="O13" s="5">
        <f>SUM(Tabla1[[#This Row],[LDV BUCARAMANGA]:[LDV ARMENIA]])</f>
        <v>0</v>
      </c>
      <c r="P13" s="36">
        <f>+Tabla1[[#This Row],[Total LDV]]*Tabla1[[#This Row],[Valor de referencia del proceso]]</f>
        <v>0</v>
      </c>
      <c r="Q13" s="21">
        <f>+Tabla1[[#This Row],[UNIDAD C.O]]</f>
        <v>1</v>
      </c>
      <c r="R13" s="22">
        <f t="shared" si="4"/>
        <v>16875668</v>
      </c>
      <c r="S13" s="6"/>
      <c r="T13" s="6"/>
      <c r="U13" s="6"/>
      <c r="V13" s="6">
        <v>1</v>
      </c>
      <c r="W13" s="6"/>
      <c r="X13" s="6"/>
      <c r="Y13" s="6"/>
      <c r="Z13" s="6"/>
      <c r="AA13" s="6"/>
      <c r="AB13" s="6"/>
      <c r="AC13" s="6"/>
      <c r="AD13" s="6"/>
      <c r="AE13" s="50"/>
    </row>
    <row r="14" spans="1:31" ht="18" customHeight="1" x14ac:dyDescent="0.15">
      <c r="A14" s="3">
        <v>13</v>
      </c>
      <c r="B14" s="34" t="s">
        <v>48</v>
      </c>
      <c r="C14" s="32">
        <f>+Tabla1[[#This Row],[Cant. LANIP]]+Tabla1[[#This Row],[Cant.  RED LASE]]+Tabla1[[#This Row],[Cant. LNDV]]+Tabla1[[#This Row],[Total LDV]]+Tabla1[[#This Row],[TOTAL  UNIDAD C.O]]</f>
        <v>1</v>
      </c>
      <c r="D14" s="35">
        <v>411042</v>
      </c>
      <c r="E14" s="64" t="s">
        <v>32</v>
      </c>
      <c r="F14" s="67"/>
      <c r="G14" s="56">
        <v>107625418</v>
      </c>
      <c r="H14" s="57">
        <f>+Tabla1[[#This Row],[Valor de referencia del proceso]]*Tabla1[[#This Row],[Cantidad Total]]</f>
        <v>107625418</v>
      </c>
      <c r="I14" s="60">
        <f t="shared" si="0"/>
        <v>0</v>
      </c>
      <c r="J14" s="15">
        <f t="shared" si="1"/>
        <v>0</v>
      </c>
      <c r="K14" s="16">
        <f t="shared" si="5"/>
        <v>0</v>
      </c>
      <c r="L14" s="54">
        <f t="shared" si="2"/>
        <v>0</v>
      </c>
      <c r="M14" s="5">
        <f>SUM(Tabla1[[#This Row],[LNDV ]])</f>
        <v>0</v>
      </c>
      <c r="N14" s="54">
        <f t="shared" si="3"/>
        <v>0</v>
      </c>
      <c r="O14" s="5">
        <f>SUM(Tabla1[[#This Row],[LDV BUCARAMANGA]:[LDV ARMENIA]])</f>
        <v>0</v>
      </c>
      <c r="P14" s="36">
        <f>+Tabla1[[#This Row],[Total LDV]]*Tabla1[[#This Row],[Valor de referencia del proceso]]</f>
        <v>0</v>
      </c>
      <c r="Q14" s="21">
        <f>+Tabla1[[#This Row],[UNIDAD C.O]]</f>
        <v>1</v>
      </c>
      <c r="R14" s="27">
        <f t="shared" si="4"/>
        <v>107625418</v>
      </c>
      <c r="S14" s="6"/>
      <c r="T14" s="6"/>
      <c r="U14" s="6"/>
      <c r="V14" s="6">
        <v>1</v>
      </c>
      <c r="W14" s="6"/>
      <c r="X14" s="6"/>
      <c r="Y14" s="6"/>
      <c r="Z14" s="6"/>
      <c r="AA14" s="6"/>
      <c r="AB14" s="6"/>
      <c r="AC14" s="6"/>
      <c r="AD14" s="6"/>
      <c r="AE14" s="50"/>
    </row>
    <row r="15" spans="1:31" ht="23.25" customHeight="1" x14ac:dyDescent="0.15">
      <c r="A15" s="3">
        <v>14</v>
      </c>
      <c r="B15" s="31" t="s">
        <v>49</v>
      </c>
      <c r="C15" s="32">
        <f>+Tabla1[[#This Row],[Cant. LANIP]]+Tabla1[[#This Row],[Cant.  RED LASE]]+Tabla1[[#This Row],[Cant. LNDV]]+Tabla1[[#This Row],[Total LDV]]+Tabla1[[#This Row],[TOTAL  UNIDAD C.O]]</f>
        <v>1</v>
      </c>
      <c r="D15" s="33">
        <v>411053</v>
      </c>
      <c r="E15" s="64" t="s">
        <v>32</v>
      </c>
      <c r="F15" s="65"/>
      <c r="G15" s="56">
        <v>23205000</v>
      </c>
      <c r="H15" s="57">
        <f>+Tabla1[[#This Row],[Valor de referencia del proceso]]*Tabla1[[#This Row],[Cantidad Total]]</f>
        <v>23205000</v>
      </c>
      <c r="I15" s="59">
        <f>SUM(U15)</f>
        <v>0</v>
      </c>
      <c r="J15" s="28">
        <f>IFERROR(I15*G15," ")</f>
        <v>0</v>
      </c>
      <c r="K15" s="5">
        <f>SUM(S15:S15)</f>
        <v>0</v>
      </c>
      <c r="L15" s="52">
        <f>IFERROR(K15*G15," ")</f>
        <v>0</v>
      </c>
      <c r="M15" s="5"/>
      <c r="N15" s="52">
        <f>IFERROR(M15*G15," ")</f>
        <v>0</v>
      </c>
      <c r="O15" s="5">
        <f>SUM(Tabla1[[#This Row],[LDV BUCARAMANGA]:[LDV ARMENIA]])</f>
        <v>0</v>
      </c>
      <c r="P15" s="37">
        <f>+Tabla1[[#This Row],[Total LDV]]*Tabla1[[#This Row],[Valor de referencia del proceso]]</f>
        <v>0</v>
      </c>
      <c r="Q15" s="21">
        <f>+Tabla1[[#This Row],[UNIDAD C.O]]</f>
        <v>1</v>
      </c>
      <c r="R15" s="22">
        <f>+Q15*G15</f>
        <v>23205000</v>
      </c>
      <c r="S15" s="6"/>
      <c r="T15" s="6"/>
      <c r="U15" s="6"/>
      <c r="V15" s="6">
        <v>1</v>
      </c>
      <c r="W15" s="6"/>
      <c r="X15" s="6"/>
      <c r="Y15" s="6"/>
      <c r="Z15" s="6"/>
      <c r="AA15" s="6"/>
      <c r="AB15" s="6"/>
      <c r="AC15" s="6"/>
      <c r="AD15" s="6"/>
      <c r="AE15" s="50"/>
    </row>
    <row r="16" spans="1:31" ht="26" x14ac:dyDescent="0.15">
      <c r="A16" s="3">
        <v>15</v>
      </c>
      <c r="B16" s="31" t="s">
        <v>50</v>
      </c>
      <c r="C16" s="32">
        <f>+Tabla1[[#This Row],[Cant. LANIP]]+Tabla1[[#This Row],[Cant.  RED LASE]]+Tabla1[[#This Row],[Cant. LNDV]]+Tabla1[[#This Row],[Total LDV]]+Tabla1[[#This Row],[TOTAL  UNIDAD C.O]]</f>
        <v>1</v>
      </c>
      <c r="D16" s="33">
        <v>411053</v>
      </c>
      <c r="E16" s="64" t="s">
        <v>32</v>
      </c>
      <c r="F16" s="65"/>
      <c r="G16" s="56">
        <v>39746000</v>
      </c>
      <c r="H16" s="57">
        <f>+Tabla1[[#This Row],[Valor de referencia del proceso]]*Tabla1[[#This Row],[Cantidad Total]]</f>
        <v>39746000</v>
      </c>
      <c r="I16" s="59">
        <f>SUM(U16)</f>
        <v>0</v>
      </c>
      <c r="J16" s="28">
        <f>IFERROR(I16*G16," ")</f>
        <v>0</v>
      </c>
      <c r="K16" s="5">
        <f>SUM(S16:S16)</f>
        <v>0</v>
      </c>
      <c r="L16" s="52">
        <f>IFERROR(K16*G16," ")</f>
        <v>0</v>
      </c>
      <c r="M16" s="5"/>
      <c r="N16" s="52">
        <f>IFERROR(M16*G16," ")</f>
        <v>0</v>
      </c>
      <c r="O16" s="5">
        <f>SUM(Tabla1[[#This Row],[LDV BUCARAMANGA]:[LDV ARMENIA]])</f>
        <v>0</v>
      </c>
      <c r="P16" s="37">
        <f>+Tabla1[[#This Row],[Total LDV]]*Tabla1[[#This Row],[Valor de referencia del proceso]]</f>
        <v>0</v>
      </c>
      <c r="Q16" s="21">
        <f>+Tabla1[[#This Row],[UNIDAD C.O]]</f>
        <v>1</v>
      </c>
      <c r="R16" s="22">
        <f>+Q16*G16</f>
        <v>39746000</v>
      </c>
      <c r="S16" s="6"/>
      <c r="T16" s="6"/>
      <c r="U16" s="6"/>
      <c r="V16" s="6">
        <v>1</v>
      </c>
      <c r="W16" s="6"/>
      <c r="X16" s="6"/>
      <c r="Y16" s="6"/>
      <c r="Z16" s="6"/>
      <c r="AA16" s="6"/>
      <c r="AB16" s="6"/>
      <c r="AC16" s="6"/>
      <c r="AD16" s="6"/>
      <c r="AE16" s="50"/>
    </row>
    <row r="17" spans="1:31" ht="12" customHeight="1" x14ac:dyDescent="0.15">
      <c r="A17" s="10" t="s">
        <v>51</v>
      </c>
      <c r="B17" s="11">
        <f>SUBTOTAL(103,Tabla1[[Equipo ]])</f>
        <v>14</v>
      </c>
      <c r="C17" s="12">
        <f>SUBTOTAL(109,Tabla1[Cantidad Total])</f>
        <v>35</v>
      </c>
      <c r="D17" s="12"/>
      <c r="E17" s="13"/>
      <c r="F17" s="14"/>
      <c r="G17" s="62">
        <f>SUBTOTAL(109,Tabla1[Valor de referencia del proceso])</f>
        <v>2716127052</v>
      </c>
      <c r="H17" s="15">
        <f>SUBTOTAL(109,Tabla1[Valor Total del proceso  de LP])</f>
        <v>3491339144</v>
      </c>
      <c r="I17" s="16">
        <f>SUBTOTAL(109,Tabla1[Cant. LANIP])</f>
        <v>3</v>
      </c>
      <c r="J17" s="15">
        <f>SUBTOTAL(109,Tabla1[Valor Total LANIP])</f>
        <v>397708214</v>
      </c>
      <c r="K17" s="16">
        <f>SUBTOTAL(109,Tabla1[Cant.  RED LASE])</f>
        <v>1</v>
      </c>
      <c r="L17" s="18">
        <f>SUBTOTAL(109,Tabla1[Valor Total RED LASE])</f>
        <v>389401221</v>
      </c>
      <c r="M17" s="16">
        <f>SUBTOTAL(109,Tabla1[Cant. LNDV])</f>
        <v>10</v>
      </c>
      <c r="N17" s="18">
        <f>SUBTOTAL(109,Tabla1[Valor Total LNDV])</f>
        <v>226755846</v>
      </c>
      <c r="O17" s="16">
        <f>SUBTOTAL(109,Tabla1[Total LDV])</f>
        <v>10</v>
      </c>
      <c r="P17" s="17">
        <f>SUBTOTAL(109,Tabla1[Valor Total LDV])</f>
        <v>572074279</v>
      </c>
      <c r="Q17" s="19">
        <f>SUBTOTAL(109,Tabla1[TOTAL  UNIDAD C.O])</f>
        <v>11</v>
      </c>
      <c r="R17" s="20">
        <f>SUBTOTAL(109,Tabla1[Valor Total UNIDAD C.O ])</f>
        <v>1905399584</v>
      </c>
      <c r="S17" s="47">
        <f>SUBTOTAL(109,Tabla1[LANASE])</f>
        <v>1</v>
      </c>
      <c r="T17" s="47">
        <f>SUBTOTAL(109,Tabla1[[LNDV ]])</f>
        <v>1</v>
      </c>
      <c r="U17" s="47">
        <f>SUBTOTAL(109,Tabla1[LANIP])</f>
        <v>3</v>
      </c>
      <c r="V17" s="47">
        <f>SUBTOTAL(109,Tabla1[UNIDAD C.O])</f>
        <v>11</v>
      </c>
      <c r="W17" s="47">
        <f>SUBTOTAL(109,Tabla1[LDV BUCARAMANGA])</f>
        <v>0</v>
      </c>
      <c r="X17" s="47">
        <f>SUBTOTAL(109,Tabla1[LDV TULUÁ])</f>
        <v>2</v>
      </c>
      <c r="Y17" s="47">
        <f>SUBTOTAL(109,Tabla1[LDV PEREIRA])</f>
        <v>1</v>
      </c>
      <c r="Z17" s="47">
        <f>SUBTOTAL(109,Tabla1[LDV BELLO])</f>
        <v>2</v>
      </c>
      <c r="AA17" s="47">
        <f>SUBTOTAL(109,Tabla1[LDV CERETÉ])</f>
        <v>1</v>
      </c>
      <c r="AB17" s="47">
        <f>SUBTOTAL(109,Tabla1[LDV LA DORADA])</f>
        <v>0</v>
      </c>
      <c r="AC17" s="47">
        <f>SUBTOTAL(109,Tabla1[LDV BARRANQUILLA])</f>
        <v>1</v>
      </c>
      <c r="AD17" s="47">
        <f>SUBTOTAL(109,Tabla1[LDV IBAGUÉ])</f>
        <v>1</v>
      </c>
      <c r="AE17" s="51">
        <f>SUBTOTAL(109,Tabla1[LDV ARMENIA])</f>
        <v>2</v>
      </c>
    </row>
    <row r="18" spans="1:31" ht="12" customHeight="1" x14ac:dyDescent="0.15">
      <c r="H18" s="2">
        <f>+J18+L18+N18+P18+R18</f>
        <v>3500000000</v>
      </c>
      <c r="I18" s="29"/>
      <c r="J18" s="29">
        <v>400000000</v>
      </c>
      <c r="L18" s="26">
        <v>390000000</v>
      </c>
      <c r="N18" s="26">
        <v>230000000</v>
      </c>
      <c r="P18" s="26">
        <v>570000000</v>
      </c>
      <c r="R18" s="26">
        <f>640000000+1500000000-230000000</f>
        <v>1910000000</v>
      </c>
    </row>
    <row r="19" spans="1:31" ht="12" customHeight="1" x14ac:dyDescent="0.15">
      <c r="H19" s="26">
        <f>+H18-Tabla1[[#Totals],[Valor Total del proceso  de LP]]</f>
        <v>8660856</v>
      </c>
      <c r="I19" s="29"/>
      <c r="J19" s="29">
        <f>+J18-Tabla1[[#Totals],[Valor Total LANIP]]</f>
        <v>2291786</v>
      </c>
      <c r="L19" s="26">
        <f>+L18-Tabla1[[#Totals],[Valor Total RED LASE]]</f>
        <v>598779</v>
      </c>
      <c r="N19" s="26">
        <f>+N18-Tabla1[[#Totals],[Valor Total LNDV]]</f>
        <v>3244154</v>
      </c>
      <c r="P19" s="26">
        <f>+P18-Tabla1[[#Totals],[Valor Total LDV]]</f>
        <v>-2074279</v>
      </c>
      <c r="R19" s="26">
        <f>+R18-Tabla1[[#Totals],[Valor Total UNIDAD C.O ]]</f>
        <v>4600416</v>
      </c>
    </row>
    <row r="20" spans="1:31" ht="12" customHeight="1" x14ac:dyDescent="0.15">
      <c r="R20" s="1">
        <f>Tabla1[[#Totals],[Valor Total UNIDAD C.O ]]/Tabla1[[#Totals],[Valor Total del proceso  de LP]]</f>
        <v>0.54575035692951857</v>
      </c>
    </row>
    <row r="21" spans="1:31" ht="12" customHeight="1" x14ac:dyDescent="0.15">
      <c r="L21" s="55"/>
    </row>
    <row r="28" spans="1:31" ht="12" customHeight="1" x14ac:dyDescent="0.15">
      <c r="B28" s="2"/>
    </row>
    <row r="29" spans="1:31" ht="12" customHeight="1" x14ac:dyDescent="0.15">
      <c r="B29" s="2"/>
    </row>
    <row r="30" spans="1:31" ht="12" customHeight="1" x14ac:dyDescent="0.15">
      <c r="B30" s="8"/>
    </row>
    <row r="31" spans="1:31" ht="12" customHeight="1" x14ac:dyDescent="0.15">
      <c r="B31" s="8"/>
    </row>
  </sheetData>
  <conditionalFormatting sqref="H19:J19">
    <cfRule type="cellIs" dxfId="9" priority="1" operator="lessThan">
      <formula>0</formula>
    </cfRule>
    <cfRule type="cellIs" dxfId="8" priority="2" operator="greaterThan">
      <formula>0</formula>
    </cfRule>
  </conditionalFormatting>
  <conditionalFormatting sqref="L19">
    <cfRule type="cellIs" dxfId="7" priority="17" operator="lessThan">
      <formula>0</formula>
    </cfRule>
    <cfRule type="cellIs" dxfId="6" priority="18" operator="greaterThan">
      <formula>0</formula>
    </cfRule>
  </conditionalFormatting>
  <conditionalFormatting sqref="N19">
    <cfRule type="cellIs" dxfId="5" priority="19" operator="lessThan">
      <formula>0</formula>
    </cfRule>
    <cfRule type="cellIs" dxfId="4" priority="20" operator="greaterThan">
      <formula>0</formula>
    </cfRule>
  </conditionalFormatting>
  <conditionalFormatting sqref="P19">
    <cfRule type="cellIs" dxfId="3" priority="5" operator="lessThan">
      <formula>0</formula>
    </cfRule>
    <cfRule type="cellIs" dxfId="2" priority="6" operator="greaterThan">
      <formula>0</formula>
    </cfRule>
  </conditionalFormatting>
  <conditionalFormatting sqref="R19">
    <cfRule type="cellIs" dxfId="1" priority="3" operator="lessThan">
      <formula>0</formula>
    </cfRule>
    <cfRule type="cellIs" dxfId="0" priority="4" operator="greaterThan">
      <formula>0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68DEFE62455E479CDA059E0B3D10DF" ma:contentTypeVersion="18" ma:contentTypeDescription="Crear nuevo documento." ma:contentTypeScope="" ma:versionID="49baf77e665d1cbd515d1926b3bca5f2">
  <xsd:schema xmlns:xsd="http://www.w3.org/2001/XMLSchema" xmlns:xs="http://www.w3.org/2001/XMLSchema" xmlns:p="http://schemas.microsoft.com/office/2006/metadata/properties" xmlns:ns2="6bd64bee-747a-4257-ac2c-022ce70e2643" xmlns:ns3="49568fc9-c75b-4056-ba7b-120608bf9c50" targetNamespace="http://schemas.microsoft.com/office/2006/metadata/properties" ma:root="true" ma:fieldsID="15396d4f2a7298bae4dcc16b0bfb2f76" ns2:_="" ns3:_="">
    <xsd:import namespace="6bd64bee-747a-4257-ac2c-022ce70e2643"/>
    <xsd:import namespace="49568fc9-c75b-4056-ba7b-120608bf9c5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d64bee-747a-4257-ac2c-022ce70e26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d9c9809-49be-4da3-9f79-7e1076cf47f5}" ma:internalName="TaxCatchAll" ma:showField="CatchAllData" ma:web="6bd64bee-747a-4257-ac2c-022ce70e26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568fc9-c75b-4056-ba7b-120608bf9c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c13af8aa-4373-474f-ae2e-dcebb9a41e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bd64bee-747a-4257-ac2c-022ce70e2643" xsi:nil="true"/>
    <lcf76f155ced4ddcb4097134ff3c332f xmlns="49568fc9-c75b-4056-ba7b-120608bf9c50">
      <Terms xmlns="http://schemas.microsoft.com/office/infopath/2007/PartnerControls"/>
    </lcf76f155ced4ddcb4097134ff3c332f>
    <SharedWithUsers xmlns="6bd64bee-747a-4257-ac2c-022ce70e2643">
      <UserInfo>
        <DisplayName>Leixaned Beltran Calderon</DisplayName>
        <AccountId>12</AccountId>
        <AccountType/>
      </UserInfo>
      <UserInfo>
        <DisplayName>Diego Alejandro Mendez Mendez</DisplayName>
        <AccountId>277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06632A32-9F02-4F45-B99C-0B5F6DC9F4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d64bee-747a-4257-ac2c-022ce70e2643"/>
    <ds:schemaRef ds:uri="49568fc9-c75b-4056-ba7b-120608bf9c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87E776-FA6E-4FA5-8555-404BA96E59A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4B5650-EDFD-4A35-8379-03BC4C5C23F5}">
  <ds:schemaRefs>
    <ds:schemaRef ds:uri="http://schemas.microsoft.com/office/2006/metadata/properties"/>
    <ds:schemaRef ds:uri="http://schemas.microsoft.com/office/infopath/2007/PartnerControls"/>
    <ds:schemaRef ds:uri="6bd64bee-747a-4257-ac2c-022ce70e2643"/>
    <ds:schemaRef ds:uri="49568fc9-c75b-4056-ba7b-120608bf9c5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Equipos_2026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 David Romero Jara</dc:creator>
  <cp:keywords/>
  <dc:description/>
  <cp:lastModifiedBy>Carolina Cepeda </cp:lastModifiedBy>
  <cp:revision/>
  <dcterms:created xsi:type="dcterms:W3CDTF">2024-03-13T16:09:58Z</dcterms:created>
  <dcterms:modified xsi:type="dcterms:W3CDTF">2026-06-02T01:52:41Z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0x0101007A68DEFE62455E479CDA059E0B3D10DF</vt:lpwstr>
  </property>
  <property fmtid="{D5CDD505-2E9C-101B-9397-08002B2CF9AE}" pid="3" name="MediaServiceImageTags">
    <vt:lpwstr/>
  </property>
</Properties>
</file>