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upersalud-my.sharepoint.com/personal/luz_garavito_supersalud_gov_co/Documents/Batería de riesgo Psicosocial/seleccion abreviada menor cuantia/CARPETA - PROCESO BATERIA PSICOSOCIAL/"/>
    </mc:Choice>
  </mc:AlternateContent>
  <xr:revisionPtr revIDLastSave="0" documentId="8_{F927AB96-8480-4CE0-BA7E-F8DD6EBDD920}" xr6:coauthVersionLast="47" xr6:coauthVersionMax="47" xr10:uidLastSave="{00000000-0000-0000-0000-000000000000}"/>
  <bookViews>
    <workbookView xWindow="1170" yWindow="1170" windowWidth="17550" windowHeight="14955" xr2:uid="{EB305C17-5460-463B-8593-368149B8579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9" i="1" l="1"/>
  <c r="AD15" i="1"/>
  <c r="AD13" i="1"/>
  <c r="AD9" i="1"/>
  <c r="AD10" i="1"/>
  <c r="AD11" i="1"/>
  <c r="AD12" i="1"/>
  <c r="AD14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8" i="1"/>
  <c r="AD7" i="1"/>
  <c r="AD6" i="1"/>
  <c r="AC24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5" i="1"/>
  <c r="AC26" i="1"/>
  <c r="AC27" i="1"/>
  <c r="AC28" i="1"/>
  <c r="AC8" i="1"/>
  <c r="AC6" i="1"/>
  <c r="AB28" i="1"/>
  <c r="AD28" i="1" s="1"/>
  <c r="AD31" i="1" s="1"/>
  <c r="AB27" i="1"/>
  <c r="AB26" i="1"/>
  <c r="AB25" i="1"/>
  <c r="AB16" i="1"/>
  <c r="AB17" i="1"/>
  <c r="AB18" i="1"/>
  <c r="AB19" i="1"/>
  <c r="AB20" i="1"/>
  <c r="AB21" i="1"/>
  <c r="AB22" i="1"/>
  <c r="AB23" i="1"/>
  <c r="AB24" i="1"/>
  <c r="AB12" i="1"/>
  <c r="AB13" i="1"/>
  <c r="AB14" i="1"/>
  <c r="AB15" i="1"/>
  <c r="AB6" i="1"/>
  <c r="AB9" i="1"/>
  <c r="AB8" i="1"/>
  <c r="AB10" i="1"/>
  <c r="AB11" i="1"/>
  <c r="AB7" i="1"/>
  <c r="Z2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7" i="1"/>
  <c r="Z28" i="1"/>
  <c r="Z6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8" i="1"/>
  <c r="Y7" i="1"/>
  <c r="Y6" i="1"/>
  <c r="X12" i="1"/>
  <c r="X10" i="1"/>
  <c r="X11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8" i="1"/>
  <c r="X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6" i="1"/>
  <c r="V21" i="1"/>
  <c r="V10" i="1"/>
  <c r="V11" i="1"/>
  <c r="V12" i="1"/>
  <c r="V13" i="1"/>
  <c r="V14" i="1"/>
  <c r="V15" i="1"/>
  <c r="V16" i="1"/>
  <c r="V17" i="1"/>
  <c r="V18" i="1"/>
  <c r="V19" i="1"/>
  <c r="V20" i="1"/>
  <c r="V22" i="1"/>
  <c r="V23" i="1"/>
  <c r="V24" i="1"/>
  <c r="V25" i="1"/>
  <c r="V26" i="1"/>
  <c r="V27" i="1"/>
  <c r="V8" i="1"/>
  <c r="V7" i="1"/>
  <c r="V6" i="1"/>
  <c r="U13" i="1"/>
  <c r="U10" i="1"/>
  <c r="U11" i="1"/>
  <c r="U12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8" i="1"/>
  <c r="U6" i="1"/>
  <c r="T10" i="1"/>
  <c r="T7" i="1"/>
  <c r="T8" i="1"/>
  <c r="T9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U28" i="1" s="1"/>
  <c r="T6" i="1"/>
  <c r="S6" i="1"/>
  <c r="R7" i="1"/>
  <c r="R8" i="1"/>
  <c r="R9" i="1"/>
  <c r="R10" i="1"/>
  <c r="R11" i="1"/>
  <c r="R12" i="1"/>
  <c r="R13" i="1"/>
  <c r="R14" i="1"/>
  <c r="R15" i="1"/>
  <c r="R16" i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R6" i="1"/>
  <c r="S12" i="1"/>
  <c r="S13" i="1"/>
  <c r="S14" i="1"/>
  <c r="S15" i="1"/>
  <c r="S16" i="1"/>
  <c r="S10" i="1"/>
  <c r="S7" i="1"/>
  <c r="S8" i="1"/>
  <c r="S11" i="1"/>
  <c r="Q7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Q6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8" i="1"/>
  <c r="P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P28" i="1" s="1"/>
  <c r="O6" i="1"/>
  <c r="X28" i="1" l="1"/>
  <c r="Y28" i="1" s="1"/>
  <c r="Y31" i="1" s="1"/>
  <c r="V28" i="1"/>
  <c r="V31" i="1" s="1"/>
  <c r="Q28" i="1"/>
  <c r="Q31" i="1" s="1"/>
  <c r="S28" i="1"/>
  <c r="X9" i="1"/>
  <c r="Y9" i="1" s="1"/>
  <c r="Y29" i="1" s="1"/>
  <c r="U9" i="1"/>
  <c r="V9" i="1" s="1"/>
  <c r="V29" i="1" s="1"/>
  <c r="P9" i="1"/>
  <c r="Q9" i="1" s="1"/>
  <c r="S9" i="1" l="1"/>
  <c r="Q29" i="1"/>
</calcChain>
</file>

<file path=xl/sharedStrings.xml><?xml version="1.0" encoding="utf-8"?>
<sst xmlns="http://schemas.openxmlformats.org/spreadsheetml/2006/main" count="70" uniqueCount="46">
  <si>
    <t>Cantidad estimada</t>
  </si>
  <si>
    <t>Fase</t>
  </si>
  <si>
    <t>Etapa de planeación y expectativa</t>
  </si>
  <si>
    <t xml:space="preserve">Digitación o tabulación y analisis estadístico de la información </t>
  </si>
  <si>
    <t xml:space="preserve">Entrega de informes </t>
  </si>
  <si>
    <t>Etapa</t>
  </si>
  <si>
    <t>FICHA A</t>
  </si>
  <si>
    <t>FICHA B</t>
  </si>
  <si>
    <t>SAN ANDRÉS</t>
  </si>
  <si>
    <t>BARRANQUILLA</t>
  </si>
  <si>
    <t>BOGOTÁ</t>
  </si>
  <si>
    <t>BUCARAMANGA</t>
  </si>
  <si>
    <t>MEDELLÍN</t>
  </si>
  <si>
    <t>NEIVA</t>
  </si>
  <si>
    <t>PASTO</t>
  </si>
  <si>
    <t>QUIBDÓ</t>
  </si>
  <si>
    <t>RIOHACHA</t>
  </si>
  <si>
    <t>VILLAVICENCIO</t>
  </si>
  <si>
    <t xml:space="preserve">FICHA A </t>
  </si>
  <si>
    <r>
      <t>Etapa de aplicación de las baterías de riesgos psicosociales</t>
    </r>
    <r>
      <rPr>
        <b/>
        <sz val="11"/>
        <color theme="1"/>
        <rFont val="Aptos Narrow"/>
        <family val="2"/>
        <scheme val="minor"/>
      </rPr>
      <t xml:space="preserve"> de manera presencial</t>
    </r>
  </si>
  <si>
    <r>
      <t xml:space="preserve">Socialización de resultados </t>
    </r>
    <r>
      <rPr>
        <b/>
        <sz val="11"/>
        <color theme="1"/>
        <rFont val="Aptos Narrow"/>
        <family val="2"/>
        <scheme val="minor"/>
      </rPr>
      <t>virtual</t>
    </r>
    <r>
      <rPr>
        <sz val="11"/>
        <color theme="1"/>
        <rFont val="Aptos Narrow"/>
        <family val="2"/>
        <scheme val="minor"/>
      </rPr>
      <t xml:space="preserve"> </t>
    </r>
  </si>
  <si>
    <r>
      <t xml:space="preserve">Intervención a los riesgos priorizados </t>
    </r>
    <r>
      <rPr>
        <b/>
        <sz val="11"/>
        <color theme="1"/>
        <rFont val="Aptos Narrow"/>
        <family val="2"/>
        <scheme val="minor"/>
      </rPr>
      <t xml:space="preserve">virtual </t>
    </r>
  </si>
  <si>
    <r>
      <t>Intervención a los riesgos priorizados</t>
    </r>
    <r>
      <rPr>
        <b/>
        <sz val="11"/>
        <color theme="1"/>
        <rFont val="Aptos Narrow"/>
        <family val="2"/>
        <scheme val="minor"/>
      </rPr>
      <t xml:space="preserve"> presencial</t>
    </r>
  </si>
  <si>
    <t>SANTIAGO DE CALI</t>
  </si>
  <si>
    <t>PROMEDIO</t>
  </si>
  <si>
    <t>MEDIANA</t>
  </si>
  <si>
    <t>QUARTIL 1</t>
  </si>
  <si>
    <t>QUARTIL 3</t>
  </si>
  <si>
    <t>MEDIA PODADA</t>
  </si>
  <si>
    <t>Cotización Soluciones Integrales Sema SAS- Valor unitario antes de IVA excepto San Andres</t>
  </si>
  <si>
    <t>Cotización Servicios de Gestión Integrada SAS - Valor unitario antes de IVA excepto San Andres</t>
  </si>
  <si>
    <t xml:space="preserve">Cotización ABM COLOMBIA S.A.S - Valor unitario antes de IVA excepto San Andres                                             </t>
  </si>
  <si>
    <t xml:space="preserve">Cotización CROMAL MEDICAL IPS SAS - Valor unitario antes de IVA excepto San Andres </t>
  </si>
  <si>
    <t>Cotizacion Holding Consultants - Valor unitarioantes de IVA excepto San Andres</t>
  </si>
  <si>
    <t>Cotizacion Poder Humano Outsourcing Group SAS - Valor antes de IVA excepto San Andres</t>
  </si>
  <si>
    <t xml:space="preserve">Cotizacion Unión Temporal Bienestar Organizacional -valorunitario antes de IVA excepto San Andres </t>
  </si>
  <si>
    <t xml:space="preserve">Cotización Ren Consultores - Valor total antes de IVA excepto San Andres </t>
  </si>
  <si>
    <t xml:space="preserve">VALOR UNITARIO </t>
  </si>
  <si>
    <t>IVA</t>
  </si>
  <si>
    <t>DESVIACIÓN ESTANDAR</t>
  </si>
  <si>
    <t xml:space="preserve">CV  COEFICIENTE DE LA VARIACIÓN </t>
  </si>
  <si>
    <t>VALOR TOTAL INCLUIDO IVA</t>
  </si>
  <si>
    <t>VALOR TOTAL  INCLUIDO IVA</t>
  </si>
  <si>
    <t>METODO INTERCUARTILICO</t>
  </si>
  <si>
    <t xml:space="preserve">VALOR UNITARIO DEL PROMEDIO DE COTIZACIONES UBICADAS EN EL RANGO  INTERCUARTILICO  </t>
  </si>
  <si>
    <t>EXCLUSIÓN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</si>
</sst>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2" fontId="0" fillId="0" borderId="0" xfId="0" applyNumberFormat="1" applyProtection="1">
      <protection locked="0"/>
    </xf>
    <xf numFmtId="2" fontId="0" fillId="0" borderId="4" xfId="0" applyNumberFormat="1" applyBorder="1" applyAlignment="1" applyProtection="1">
      <alignment horizontal="center"/>
      <protection hidden="1"/>
    </xf>
    <xf numFmtId="2" fontId="0" fillId="0" borderId="3" xfId="0" applyNumberFormat="1" applyBorder="1" applyProtection="1">
      <protection locked="0"/>
    </xf>
    <xf numFmtId="2" fontId="0" fillId="0" borderId="3" xfId="0" applyNumberFormat="1" applyBorder="1" applyAlignment="1" applyProtection="1">
      <alignment horizontal="center"/>
      <protection hidden="1"/>
    </xf>
    <xf numFmtId="2" fontId="0" fillId="0" borderId="9" xfId="0" applyNumberFormat="1" applyBorder="1" applyAlignment="1" applyProtection="1">
      <alignment horizontal="center"/>
      <protection hidden="1"/>
    </xf>
    <xf numFmtId="2" fontId="0" fillId="3" borderId="4" xfId="0" applyNumberFormat="1" applyFill="1" applyBorder="1" applyAlignment="1" applyProtection="1">
      <alignment horizontal="center"/>
      <protection hidden="1"/>
    </xf>
    <xf numFmtId="1" fontId="3" fillId="0" borderId="3" xfId="0" applyNumberFormat="1" applyFont="1" applyBorder="1" applyAlignment="1" applyProtection="1">
      <alignment horizontal="center"/>
      <protection hidden="1"/>
    </xf>
    <xf numFmtId="2" fontId="0" fillId="3" borderId="6" xfId="0" applyNumberFormat="1" applyFill="1" applyBorder="1" applyAlignment="1" applyProtection="1">
      <alignment horizontal="center"/>
      <protection hidden="1"/>
    </xf>
    <xf numFmtId="1" fontId="3" fillId="3" borderId="3" xfId="0" applyNumberFormat="1" applyFont="1" applyFill="1" applyBorder="1" applyAlignment="1" applyProtection="1">
      <alignment horizontal="center"/>
      <protection hidden="1"/>
    </xf>
    <xf numFmtId="43" fontId="2" fillId="0" borderId="3" xfId="1" applyFont="1" applyBorder="1" applyProtection="1">
      <protection locked="0"/>
    </xf>
    <xf numFmtId="2" fontId="0" fillId="0" borderId="3" xfId="0" applyNumberForma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/>
      <protection hidden="1"/>
    </xf>
    <xf numFmtId="2" fontId="0" fillId="3" borderId="7" xfId="1" applyNumberFormat="1" applyFont="1" applyFill="1" applyBorder="1" applyProtection="1">
      <protection locked="0"/>
    </xf>
    <xf numFmtId="2" fontId="0" fillId="0" borderId="7" xfId="0" applyNumberFormat="1" applyBorder="1" applyProtection="1">
      <protection locked="0"/>
    </xf>
    <xf numFmtId="1" fontId="0" fillId="0" borderId="4" xfId="0" applyNumberFormat="1" applyBorder="1" applyAlignment="1" applyProtection="1">
      <alignment horizontal="center"/>
      <protection hidden="1"/>
    </xf>
    <xf numFmtId="1" fontId="0" fillId="0" borderId="3" xfId="0" applyNumberFormat="1" applyBorder="1" applyAlignment="1" applyProtection="1">
      <alignment horizontal="center"/>
      <protection hidden="1"/>
    </xf>
    <xf numFmtId="2" fontId="0" fillId="0" borderId="3" xfId="2" applyNumberFormat="1" applyFont="1" applyBorder="1" applyProtection="1">
      <protection locked="0"/>
    </xf>
    <xf numFmtId="10" fontId="0" fillId="0" borderId="3" xfId="2" applyNumberFormat="1" applyFont="1" applyBorder="1" applyProtection="1">
      <protection locked="0"/>
    </xf>
    <xf numFmtId="43" fontId="0" fillId="0" borderId="3" xfId="1" applyFont="1" applyBorder="1" applyProtection="1">
      <protection locked="0"/>
    </xf>
    <xf numFmtId="43" fontId="0" fillId="0" borderId="3" xfId="1" applyFont="1" applyBorder="1" applyAlignment="1" applyProtection="1">
      <alignment horizontal="right"/>
      <protection locked="0"/>
    </xf>
    <xf numFmtId="2" fontId="0" fillId="3" borderId="7" xfId="1" applyNumberFormat="1" applyFont="1" applyFill="1" applyBorder="1" applyAlignment="1" applyProtection="1">
      <alignment horizontal="right"/>
      <protection hidden="1"/>
    </xf>
    <xf numFmtId="2" fontId="0" fillId="3" borderId="7" xfId="0" applyNumberFormat="1" applyFill="1" applyBorder="1" applyProtection="1">
      <protection locked="0"/>
    </xf>
    <xf numFmtId="2" fontId="0" fillId="3" borderId="3" xfId="1" applyNumberFormat="1" applyFont="1" applyFill="1" applyBorder="1" applyProtection="1">
      <protection locked="0"/>
    </xf>
    <xf numFmtId="2" fontId="0" fillId="3" borderId="3" xfId="1" applyNumberFormat="1" applyFont="1" applyFill="1" applyBorder="1" applyAlignment="1" applyProtection="1">
      <alignment horizontal="right"/>
      <protection hidden="1"/>
    </xf>
    <xf numFmtId="2" fontId="0" fillId="3" borderId="3" xfId="0" applyNumberFormat="1" applyFill="1" applyBorder="1" applyProtection="1">
      <protection locked="0"/>
    </xf>
    <xf numFmtId="2" fontId="0" fillId="0" borderId="10" xfId="0" applyNumberFormat="1" applyBorder="1" applyAlignment="1" applyProtection="1">
      <alignment horizontal="center"/>
      <protection hidden="1"/>
    </xf>
    <xf numFmtId="2" fontId="0" fillId="0" borderId="13" xfId="0" applyNumberFormat="1" applyBorder="1" applyAlignment="1" applyProtection="1">
      <alignment horizontal="center"/>
      <protection hidden="1"/>
    </xf>
    <xf numFmtId="2" fontId="2" fillId="4" borderId="3" xfId="0" applyNumberFormat="1" applyFont="1" applyFill="1" applyBorder="1" applyAlignment="1" applyProtection="1">
      <alignment horizontal="center" vertical="center"/>
      <protection locked="0"/>
    </xf>
    <xf numFmtId="2" fontId="0" fillId="3" borderId="4" xfId="0" applyNumberFormat="1" applyFill="1" applyBorder="1" applyAlignment="1" applyProtection="1">
      <alignment horizontal="center"/>
      <protection hidden="1"/>
    </xf>
    <xf numFmtId="2" fontId="0" fillId="3" borderId="8" xfId="0" applyNumberFormat="1" applyFill="1" applyBorder="1" applyAlignment="1" applyProtection="1">
      <alignment horizontal="center"/>
      <protection hidden="1"/>
    </xf>
    <xf numFmtId="2" fontId="0" fillId="3" borderId="6" xfId="0" applyNumberFormat="1" applyFill="1" applyBorder="1" applyAlignment="1" applyProtection="1">
      <alignment horizontal="center"/>
      <protection hidden="1"/>
    </xf>
    <xf numFmtId="2" fontId="0" fillId="3" borderId="7" xfId="0" applyNumberFormat="1" applyFill="1" applyBorder="1" applyAlignment="1" applyProtection="1">
      <alignment horizontal="center"/>
      <protection hidden="1"/>
    </xf>
    <xf numFmtId="2" fontId="0" fillId="0" borderId="6" xfId="0" applyNumberFormat="1" applyBorder="1" applyAlignment="1" applyProtection="1">
      <alignment horizontal="center"/>
      <protection hidden="1"/>
    </xf>
    <xf numFmtId="2" fontId="0" fillId="0" borderId="7" xfId="0" applyNumberFormat="1" applyBorder="1" applyAlignment="1" applyProtection="1">
      <alignment horizontal="center"/>
      <protection hidden="1"/>
    </xf>
    <xf numFmtId="2" fontId="0" fillId="0" borderId="6" xfId="0" applyNumberFormat="1" applyBorder="1" applyAlignment="1" applyProtection="1">
      <alignment horizontal="center" vertical="center"/>
      <protection hidden="1"/>
    </xf>
    <xf numFmtId="2" fontId="0" fillId="0" borderId="7" xfId="0" applyNumberFormat="1" applyBorder="1" applyAlignment="1" applyProtection="1">
      <alignment horizontal="center" vertical="center"/>
      <protection hidden="1"/>
    </xf>
    <xf numFmtId="2" fontId="0" fillId="0" borderId="9" xfId="0" applyNumberFormat="1" applyBorder="1" applyAlignment="1" applyProtection="1">
      <alignment horizontal="center" vertical="center" wrapText="1"/>
      <protection hidden="1"/>
    </xf>
    <xf numFmtId="2" fontId="0" fillId="0" borderId="7" xfId="0" applyNumberFormat="1" applyBorder="1" applyAlignment="1" applyProtection="1">
      <alignment horizontal="center" vertical="center" wrapText="1"/>
      <protection hidden="1"/>
    </xf>
    <xf numFmtId="1" fontId="0" fillId="0" borderId="6" xfId="0" applyNumberFormat="1" applyBorder="1" applyAlignment="1" applyProtection="1">
      <alignment horizontal="center"/>
      <protection hidden="1"/>
    </xf>
    <xf numFmtId="1" fontId="0" fillId="0" borderId="7" xfId="0" applyNumberFormat="1" applyBorder="1" applyAlignment="1" applyProtection="1">
      <alignment horizontal="center"/>
      <protection hidden="1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5" xfId="0" applyNumberFormat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/>
      <protection hidden="1"/>
    </xf>
    <xf numFmtId="2" fontId="0" fillId="0" borderId="8" xfId="0" applyNumberFormat="1" applyBorder="1" applyAlignment="1" applyProtection="1">
      <alignment horizontal="center"/>
      <protection hidden="1"/>
    </xf>
    <xf numFmtId="2" fontId="2" fillId="0" borderId="6" xfId="0" applyNumberFormat="1" applyFont="1" applyBorder="1" applyAlignment="1" applyProtection="1">
      <alignment horizontal="center" vertical="center" wrapText="1"/>
      <protection locked="0"/>
    </xf>
    <xf numFmtId="2" fontId="2" fillId="0" borderId="9" xfId="0" applyNumberFormat="1" applyFont="1" applyBorder="1" applyAlignment="1" applyProtection="1">
      <alignment horizontal="center" vertical="center" wrapText="1"/>
      <protection locked="0"/>
    </xf>
    <xf numFmtId="2" fontId="2" fillId="0" borderId="7" xfId="0" applyNumberFormat="1" applyFont="1" applyBorder="1" applyAlignment="1" applyProtection="1">
      <alignment horizontal="center" vertical="center" wrapText="1"/>
      <protection locked="0"/>
    </xf>
    <xf numFmtId="2" fontId="2" fillId="5" borderId="4" xfId="0" applyNumberFormat="1" applyFont="1" applyFill="1" applyBorder="1" applyAlignment="1" applyProtection="1">
      <alignment horizontal="center"/>
      <protection locked="0"/>
    </xf>
    <xf numFmtId="2" fontId="2" fillId="5" borderId="8" xfId="0" applyNumberFormat="1" applyFont="1" applyFill="1" applyBorder="1" applyAlignment="1" applyProtection="1">
      <alignment horizontal="center"/>
      <protection locked="0"/>
    </xf>
    <xf numFmtId="2" fontId="2" fillId="5" borderId="5" xfId="0" applyNumberFormat="1" applyFont="1" applyFill="1" applyBorder="1" applyAlignment="1" applyProtection="1">
      <alignment horizontal="center"/>
      <protection locked="0"/>
    </xf>
    <xf numFmtId="2" fontId="2" fillId="6" borderId="4" xfId="0" applyNumberFormat="1" applyFont="1" applyFill="1" applyBorder="1" applyAlignment="1" applyProtection="1">
      <alignment horizontal="center" vertical="center"/>
      <protection locked="0"/>
    </xf>
    <xf numFmtId="2" fontId="2" fillId="6" borderId="8" xfId="0" applyNumberFormat="1" applyFont="1" applyFill="1" applyBorder="1" applyAlignment="1" applyProtection="1">
      <alignment horizontal="center" vertical="center"/>
      <protection locked="0"/>
    </xf>
    <xf numFmtId="2" fontId="2" fillId="6" borderId="5" xfId="0" applyNumberFormat="1" applyFont="1" applyFill="1" applyBorder="1" applyAlignment="1" applyProtection="1">
      <alignment horizontal="center" vertical="center"/>
      <protection locked="0"/>
    </xf>
    <xf numFmtId="2" fontId="2" fillId="4" borderId="6" xfId="0" applyNumberFormat="1" applyFont="1" applyFill="1" applyBorder="1" applyAlignment="1" applyProtection="1">
      <alignment horizontal="center" vertical="center" wrapText="1"/>
      <protection locked="0"/>
    </xf>
    <xf numFmtId="2" fontId="2" fillId="4" borderId="7" xfId="0" applyNumberFormat="1" applyFont="1" applyFill="1" applyBorder="1" applyAlignment="1" applyProtection="1">
      <alignment horizontal="center" vertical="center" wrapText="1"/>
      <protection locked="0"/>
    </xf>
    <xf numFmtId="2" fontId="2" fillId="4" borderId="11" xfId="0" applyNumberFormat="1" applyFont="1" applyFill="1" applyBorder="1" applyAlignment="1" applyProtection="1">
      <alignment horizontal="center" vertical="center" wrapText="1"/>
      <protection locked="0"/>
    </xf>
    <xf numFmtId="2" fontId="2" fillId="4" borderId="12" xfId="0" applyNumberFormat="1" applyFont="1" applyFill="1" applyBorder="1" applyAlignment="1" applyProtection="1">
      <alignment horizontal="center" vertical="center" wrapText="1"/>
      <protection locked="0"/>
    </xf>
    <xf numFmtId="2" fontId="2" fillId="5" borderId="3" xfId="0" applyNumberFormat="1" applyFont="1" applyFill="1" applyBorder="1" applyAlignment="1" applyProtection="1">
      <alignment horizontal="center" vertical="center"/>
      <protection locked="0"/>
    </xf>
    <xf numFmtId="2" fontId="2" fillId="5" borderId="6" xfId="0" applyNumberFormat="1" applyFont="1" applyFill="1" applyBorder="1" applyAlignment="1" applyProtection="1">
      <alignment horizontal="center" vertical="center"/>
      <protection locked="0"/>
    </xf>
    <xf numFmtId="2" fontId="2" fillId="5" borderId="7" xfId="0" applyNumberFormat="1" applyFont="1" applyFill="1" applyBorder="1" applyAlignment="1" applyProtection="1">
      <alignment horizontal="center" vertical="center"/>
      <protection locked="0"/>
    </xf>
    <xf numFmtId="2" fontId="2" fillId="5" borderId="6" xfId="0" applyNumberFormat="1" applyFont="1" applyFill="1" applyBorder="1" applyAlignment="1" applyProtection="1">
      <alignment horizontal="center" vertical="center" wrapText="1"/>
      <protection locked="0"/>
    </xf>
    <xf numFmtId="2" fontId="2" fillId="5" borderId="7" xfId="0" applyNumberFormat="1" applyFont="1" applyFill="1" applyBorder="1" applyAlignment="1" applyProtection="1">
      <alignment horizontal="center" vertical="center" wrapText="1"/>
      <protection locked="0"/>
    </xf>
    <xf numFmtId="2" fontId="2" fillId="6" borderId="3" xfId="0" applyNumberFormat="1" applyFont="1" applyFill="1" applyBorder="1" applyAlignment="1" applyProtection="1">
      <alignment horizontal="center" vertical="center" wrapText="1"/>
      <protection locked="0"/>
    </xf>
    <xf numFmtId="2" fontId="2" fillId="6" borderId="6" xfId="0" applyNumberFormat="1" applyFont="1" applyFill="1" applyBorder="1" applyAlignment="1" applyProtection="1">
      <alignment horizontal="center" vertical="center"/>
      <protection locked="0"/>
    </xf>
    <xf numFmtId="2" fontId="2" fillId="6" borderId="7" xfId="0" applyNumberFormat="1" applyFont="1" applyFill="1" applyBorder="1" applyAlignment="1" applyProtection="1">
      <alignment horizontal="center" vertical="center"/>
      <protection locked="0"/>
    </xf>
    <xf numFmtId="2" fontId="2" fillId="6" borderId="6" xfId="0" applyNumberFormat="1" applyFont="1" applyFill="1" applyBorder="1" applyAlignment="1" applyProtection="1">
      <alignment horizontal="center" vertical="center" wrapText="1"/>
      <protection locked="0"/>
    </xf>
    <xf numFmtId="2" fontId="2" fillId="6" borderId="7" xfId="0" applyNumberFormat="1" applyFont="1" applyFill="1" applyBorder="1" applyAlignment="1" applyProtection="1">
      <alignment horizontal="center" vertical="center" wrapText="1"/>
      <protection locked="0"/>
    </xf>
    <xf numFmtId="2" fontId="2" fillId="4" borderId="6" xfId="0" applyNumberFormat="1" applyFont="1" applyFill="1" applyBorder="1" applyAlignment="1" applyProtection="1">
      <alignment horizontal="center" vertical="center"/>
      <protection locked="0"/>
    </xf>
    <xf numFmtId="2" fontId="2" fillId="4" borderId="7" xfId="0" applyNumberFormat="1" applyFont="1" applyFill="1" applyBorder="1" applyAlignment="1" applyProtection="1">
      <alignment horizontal="center" vertical="center"/>
      <protection locked="0"/>
    </xf>
    <xf numFmtId="2" fontId="2" fillId="4" borderId="4" xfId="0" applyNumberFormat="1" applyFont="1" applyFill="1" applyBorder="1" applyAlignment="1" applyProtection="1">
      <alignment horizontal="center"/>
      <protection locked="0"/>
    </xf>
    <xf numFmtId="2" fontId="2" fillId="4" borderId="8" xfId="0" applyNumberFormat="1" applyFont="1" applyFill="1" applyBorder="1" applyAlignment="1" applyProtection="1">
      <alignment horizontal="center"/>
      <protection locked="0"/>
    </xf>
    <xf numFmtId="2" fontId="2" fillId="4" borderId="5" xfId="0" applyNumberFormat="1" applyFont="1" applyFill="1" applyBorder="1" applyAlignment="1" applyProtection="1">
      <alignment horizontal="center"/>
      <protection locked="0"/>
    </xf>
    <xf numFmtId="2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6" xfId="0" applyNumberFormat="1" applyFont="1" applyFill="1" applyBorder="1" applyAlignment="1" applyProtection="1">
      <alignment horizontal="center"/>
      <protection hidden="1"/>
    </xf>
    <xf numFmtId="2" fontId="2" fillId="2" borderId="9" xfId="0" applyNumberFormat="1" applyFont="1" applyFill="1" applyBorder="1" applyAlignment="1" applyProtection="1">
      <alignment horizontal="center"/>
      <protection hidden="1"/>
    </xf>
    <xf numFmtId="2" fontId="2" fillId="2" borderId="7" xfId="0" applyNumberFormat="1" applyFont="1" applyFill="1" applyBorder="1" applyAlignment="1" applyProtection="1">
      <alignment horizont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2" fillId="2" borderId="2" xfId="0" applyNumberFormat="1" applyFont="1" applyFill="1" applyBorder="1" applyAlignment="1" applyProtection="1">
      <alignment horizontal="center" vertical="center"/>
      <protection hidden="1"/>
    </xf>
    <xf numFmtId="2" fontId="2" fillId="2" borderId="11" xfId="0" applyNumberFormat="1" applyFont="1" applyFill="1" applyBorder="1" applyAlignment="1" applyProtection="1">
      <alignment horizontal="center" vertical="center"/>
      <protection hidden="1"/>
    </xf>
    <xf numFmtId="2" fontId="2" fillId="2" borderId="14" xfId="0" applyNumberFormat="1" applyFont="1" applyFill="1" applyBorder="1" applyAlignment="1" applyProtection="1">
      <alignment horizontal="center" vertical="center"/>
      <protection hidden="1"/>
    </xf>
    <xf numFmtId="2" fontId="2" fillId="2" borderId="0" xfId="0" applyNumberFormat="1" applyFont="1" applyFill="1" applyAlignment="1" applyProtection="1">
      <alignment horizontal="center" vertical="center"/>
      <protection hidden="1"/>
    </xf>
    <xf numFmtId="2" fontId="2" fillId="2" borderId="15" xfId="0" applyNumberFormat="1" applyFont="1" applyFill="1" applyBorder="1" applyAlignment="1" applyProtection="1">
      <alignment horizontal="center" vertical="center"/>
      <protection hidden="1"/>
    </xf>
    <xf numFmtId="2" fontId="2" fillId="2" borderId="10" xfId="0" applyNumberFormat="1" applyFont="1" applyFill="1" applyBorder="1" applyAlignment="1" applyProtection="1">
      <alignment horizontal="center" vertical="center"/>
      <protection hidden="1"/>
    </xf>
    <xf numFmtId="2" fontId="2" fillId="2" borderId="13" xfId="0" applyNumberFormat="1" applyFont="1" applyFill="1" applyBorder="1" applyAlignment="1" applyProtection="1">
      <alignment horizontal="center" vertical="center"/>
      <protection hidden="1"/>
    </xf>
    <xf numFmtId="2" fontId="2" fillId="2" borderId="12" xfId="0" applyNumberFormat="1" applyFont="1" applyFill="1" applyBorder="1" applyAlignment="1" applyProtection="1">
      <alignment horizontal="center" vertical="center"/>
      <protection hidden="1"/>
    </xf>
    <xf numFmtId="2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9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7" xfId="0" applyNumberFormat="1" applyFont="1" applyFill="1" applyBorder="1" applyAlignment="1" applyProtection="1">
      <alignment horizontal="center" vertical="center" wrapText="1"/>
      <protection hidden="1"/>
    </xf>
    <xf numFmtId="2" fontId="2" fillId="3" borderId="6" xfId="0" applyNumberFormat="1" applyFont="1" applyFill="1" applyBorder="1" applyAlignment="1" applyProtection="1">
      <alignment horizontal="center" wrapText="1"/>
      <protection locked="0"/>
    </xf>
    <xf numFmtId="2" fontId="2" fillId="3" borderId="9" xfId="0" applyNumberFormat="1" applyFont="1" applyFill="1" applyBorder="1" applyAlignment="1" applyProtection="1">
      <alignment horizontal="center" wrapText="1"/>
      <protection locked="0"/>
    </xf>
    <xf numFmtId="2" fontId="2" fillId="3" borderId="7" xfId="0" applyNumberFormat="1" applyFont="1" applyFill="1" applyBorder="1" applyAlignment="1" applyProtection="1">
      <alignment horizontal="center" wrapText="1"/>
      <protection locked="0"/>
    </xf>
    <xf numFmtId="2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2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2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4" xfId="0" applyNumberFormat="1" applyFont="1" applyFill="1" applyBorder="1" applyAlignment="1" applyProtection="1">
      <alignment horizontal="center"/>
      <protection locked="0"/>
    </xf>
    <xf numFmtId="2" fontId="4" fillId="4" borderId="8" xfId="0" applyNumberFormat="1" applyFont="1" applyFill="1" applyBorder="1" applyAlignment="1" applyProtection="1">
      <alignment horizontal="center"/>
      <protection locked="0"/>
    </xf>
    <xf numFmtId="2" fontId="4" fillId="4" borderId="5" xfId="0" applyNumberFormat="1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DD71"/>
      <color rgb="FF66FFFF"/>
      <color rgb="FFE6FEF7"/>
      <color rgb="FFFFCCFF"/>
      <color rgb="FFBEFC5A"/>
      <color rgb="FFDEE228"/>
      <color rgb="FFFF9900"/>
      <color rgb="FF56B4A8"/>
      <color rgb="FF000000"/>
      <color rgb="FFE5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36889-9C3E-4E26-9401-01447AEB4EDC}">
  <sheetPr>
    <pageSetUpPr autoPageBreaks="0"/>
  </sheetPr>
  <dimension ref="B3:AD31"/>
  <sheetViews>
    <sheetView showGridLines="0" tabSelected="1" zoomScale="60" zoomScaleNormal="60" workbookViewId="0">
      <selection activeCell="O38" sqref="O38"/>
    </sheetView>
  </sheetViews>
  <sheetFormatPr baseColWidth="10" defaultColWidth="11.7109375" defaultRowHeight="15" x14ac:dyDescent="0.25"/>
  <cols>
    <col min="1" max="1" width="11.7109375" style="1"/>
    <col min="2" max="2" width="13.7109375" style="1" customWidth="1"/>
    <col min="3" max="3" width="21.7109375" style="1" customWidth="1"/>
    <col min="4" max="4" width="21.28515625" style="1" customWidth="1"/>
    <col min="5" max="5" width="26" style="1" customWidth="1"/>
    <col min="6" max="6" width="22.28515625" style="1" bestFit="1" customWidth="1"/>
    <col min="7" max="7" width="19.140625" style="1" customWidth="1"/>
    <col min="8" max="8" width="23.140625" style="1" customWidth="1"/>
    <col min="9" max="10" width="23.7109375" style="1" customWidth="1"/>
    <col min="11" max="11" width="21.28515625" style="1" customWidth="1"/>
    <col min="12" max="12" width="19.28515625" style="1" customWidth="1"/>
    <col min="13" max="13" width="20.85546875" style="1" customWidth="1"/>
    <col min="14" max="14" width="20.7109375" style="1" customWidth="1"/>
    <col min="15" max="15" width="28.140625" style="1" customWidth="1"/>
    <col min="16" max="16" width="21.85546875" style="1" customWidth="1"/>
    <col min="17" max="17" width="28.140625" style="1" customWidth="1"/>
    <col min="18" max="18" width="25.28515625" style="1" customWidth="1"/>
    <col min="19" max="19" width="25.7109375" style="1" customWidth="1"/>
    <col min="20" max="20" width="22" style="1" customWidth="1"/>
    <col min="21" max="21" width="19.85546875" style="1" customWidth="1"/>
    <col min="22" max="22" width="23.28515625" style="1" customWidth="1"/>
    <col min="23" max="23" width="20" style="1" customWidth="1"/>
    <col min="24" max="24" width="16.7109375" style="1" customWidth="1"/>
    <col min="25" max="25" width="22.7109375" style="1" customWidth="1"/>
    <col min="26" max="26" width="16.28515625" style="1" customWidth="1"/>
    <col min="27" max="27" width="16.7109375" style="1" customWidth="1"/>
    <col min="28" max="28" width="25" style="1" customWidth="1"/>
    <col min="29" max="29" width="15" style="1" customWidth="1"/>
    <col min="30" max="30" width="21.7109375" style="1" customWidth="1"/>
    <col min="31" max="16384" width="11.7109375" style="1"/>
  </cols>
  <sheetData>
    <row r="3" spans="2:30" ht="19.5" x14ac:dyDescent="0.3">
      <c r="B3" s="76" t="s">
        <v>5</v>
      </c>
      <c r="C3" s="79" t="s">
        <v>1</v>
      </c>
      <c r="D3" s="80"/>
      <c r="E3" s="81"/>
      <c r="F3" s="88" t="s">
        <v>0</v>
      </c>
      <c r="G3" s="91" t="s">
        <v>29</v>
      </c>
      <c r="H3" s="94" t="s">
        <v>30</v>
      </c>
      <c r="I3" s="94" t="s">
        <v>31</v>
      </c>
      <c r="J3" s="94" t="s">
        <v>32</v>
      </c>
      <c r="K3" s="94" t="s">
        <v>33</v>
      </c>
      <c r="L3" s="94" t="s">
        <v>34</v>
      </c>
      <c r="M3" s="94" t="s">
        <v>35</v>
      </c>
      <c r="N3" s="94" t="s">
        <v>36</v>
      </c>
      <c r="O3" s="97" t="s">
        <v>24</v>
      </c>
      <c r="P3" s="98"/>
      <c r="Q3" s="99"/>
      <c r="R3" s="47" t="s">
        <v>39</v>
      </c>
      <c r="S3" s="47" t="s">
        <v>40</v>
      </c>
      <c r="T3" s="50" t="s">
        <v>28</v>
      </c>
      <c r="U3" s="51"/>
      <c r="V3" s="52"/>
      <c r="W3" s="53" t="s">
        <v>25</v>
      </c>
      <c r="X3" s="54"/>
      <c r="Y3" s="55"/>
      <c r="Z3" s="72" t="s">
        <v>43</v>
      </c>
      <c r="AA3" s="73"/>
      <c r="AB3" s="73"/>
      <c r="AC3" s="73"/>
      <c r="AD3" s="74"/>
    </row>
    <row r="4" spans="2:30" x14ac:dyDescent="0.25">
      <c r="B4" s="77"/>
      <c r="C4" s="82"/>
      <c r="D4" s="83"/>
      <c r="E4" s="84"/>
      <c r="F4" s="89"/>
      <c r="G4" s="92"/>
      <c r="H4" s="95"/>
      <c r="I4" s="95"/>
      <c r="J4" s="95"/>
      <c r="K4" s="95"/>
      <c r="L4" s="95"/>
      <c r="M4" s="95"/>
      <c r="N4" s="95"/>
      <c r="O4" s="75" t="s">
        <v>37</v>
      </c>
      <c r="P4" s="28" t="s">
        <v>38</v>
      </c>
      <c r="Q4" s="58" t="s">
        <v>42</v>
      </c>
      <c r="R4" s="48"/>
      <c r="S4" s="48"/>
      <c r="T4" s="60" t="s">
        <v>37</v>
      </c>
      <c r="U4" s="61" t="s">
        <v>38</v>
      </c>
      <c r="V4" s="63" t="s">
        <v>41</v>
      </c>
      <c r="W4" s="65" t="s">
        <v>37</v>
      </c>
      <c r="X4" s="66" t="s">
        <v>38</v>
      </c>
      <c r="Y4" s="68" t="s">
        <v>41</v>
      </c>
      <c r="Z4" s="56" t="s">
        <v>26</v>
      </c>
      <c r="AA4" s="56" t="s">
        <v>27</v>
      </c>
      <c r="AB4" s="56" t="s">
        <v>44</v>
      </c>
      <c r="AC4" s="70" t="s">
        <v>38</v>
      </c>
      <c r="AD4" s="56" t="s">
        <v>42</v>
      </c>
    </row>
    <row r="5" spans="2:30" ht="114" customHeight="1" x14ac:dyDescent="0.25">
      <c r="B5" s="78"/>
      <c r="C5" s="85"/>
      <c r="D5" s="86"/>
      <c r="E5" s="87"/>
      <c r="F5" s="90"/>
      <c r="G5" s="93"/>
      <c r="H5" s="96"/>
      <c r="I5" s="96"/>
      <c r="J5" s="96"/>
      <c r="K5" s="96"/>
      <c r="L5" s="96"/>
      <c r="M5" s="96"/>
      <c r="N5" s="96"/>
      <c r="O5" s="75"/>
      <c r="P5" s="28"/>
      <c r="Q5" s="59"/>
      <c r="R5" s="49"/>
      <c r="S5" s="49"/>
      <c r="T5" s="60"/>
      <c r="U5" s="62"/>
      <c r="V5" s="64"/>
      <c r="W5" s="65"/>
      <c r="X5" s="67"/>
      <c r="Y5" s="69"/>
      <c r="Z5" s="57"/>
      <c r="AA5" s="57"/>
      <c r="AB5" s="57"/>
      <c r="AC5" s="71"/>
      <c r="AD5" s="57"/>
    </row>
    <row r="6" spans="2:30" ht="19.5" customHeight="1" x14ac:dyDescent="0.25">
      <c r="B6" s="15">
        <v>1</v>
      </c>
      <c r="C6" s="26" t="s">
        <v>2</v>
      </c>
      <c r="D6" s="27"/>
      <c r="E6" s="27"/>
      <c r="F6" s="12">
        <v>1</v>
      </c>
      <c r="G6" s="13">
        <v>70000</v>
      </c>
      <c r="H6" s="21">
        <v>2000000</v>
      </c>
      <c r="I6" s="22">
        <v>70000</v>
      </c>
      <c r="J6" s="13">
        <v>6300000</v>
      </c>
      <c r="K6" s="13">
        <v>1200000</v>
      </c>
      <c r="L6" s="13">
        <v>340000</v>
      </c>
      <c r="M6" s="22">
        <v>5500000</v>
      </c>
      <c r="N6" s="13">
        <v>3250000</v>
      </c>
      <c r="O6" s="13">
        <f>ROUND(AVERAGE(G6:N6),0)</f>
        <v>2341250</v>
      </c>
      <c r="P6" s="14">
        <f>ROUND(O6*19%,0)</f>
        <v>444838</v>
      </c>
      <c r="Q6" s="19">
        <f>(O6+P6)*F6</f>
        <v>2786088</v>
      </c>
      <c r="R6" s="17">
        <f>_xlfn.STDEV.P(G6:N6)</f>
        <v>2297179.9967568931</v>
      </c>
      <c r="S6" s="18">
        <f>(R6/Q6)</f>
        <v>0.82451810450958229</v>
      </c>
      <c r="T6" s="3">
        <f>ROUND(TRIMMEAN(G6:N6,0.5),0)</f>
        <v>1697500</v>
      </c>
      <c r="U6" s="3">
        <f>ROUND(T6*19%,0)</f>
        <v>322525</v>
      </c>
      <c r="V6" s="19">
        <f>(T6+U6)*F6</f>
        <v>2020025</v>
      </c>
      <c r="W6" s="3">
        <f>ROUND(MEDIAN(G6:N6),0)</f>
        <v>1600000</v>
      </c>
      <c r="X6" s="3">
        <f>W6*19%</f>
        <v>304000</v>
      </c>
      <c r="Y6" s="19">
        <f>ROUND((W6+X6)*F6,0)</f>
        <v>1904000</v>
      </c>
      <c r="Z6" s="3">
        <f>ROUND(_xlfn.QUARTILE.INC(G6:N6,1),0)</f>
        <v>272500</v>
      </c>
      <c r="AA6" s="3">
        <f>ROUND(_xlfn.QUARTILE.INC(G6:N6,3),0)</f>
        <v>3812500</v>
      </c>
      <c r="AB6" s="3">
        <f>ROUND(AVERAGE(H6,K6,L6,N6),0)</f>
        <v>1697500</v>
      </c>
      <c r="AC6" s="3">
        <f>ROUND(AB6*19%,0)</f>
        <v>322525</v>
      </c>
      <c r="AD6" s="19">
        <f>ROUND((AB6+AC6)*F6,0)</f>
        <v>2020025</v>
      </c>
    </row>
    <row r="7" spans="2:30" ht="19.5" customHeight="1" x14ac:dyDescent="0.25">
      <c r="B7" s="44">
        <v>2</v>
      </c>
      <c r="C7" s="37" t="s">
        <v>19</v>
      </c>
      <c r="D7" s="8" t="s">
        <v>8</v>
      </c>
      <c r="E7" s="6" t="s">
        <v>6</v>
      </c>
      <c r="F7" s="9">
        <v>7</v>
      </c>
      <c r="G7" s="23">
        <v>55000</v>
      </c>
      <c r="H7" s="24">
        <v>200000</v>
      </c>
      <c r="I7" s="25">
        <v>110000</v>
      </c>
      <c r="J7" s="23">
        <v>79400</v>
      </c>
      <c r="K7" s="23">
        <v>120000</v>
      </c>
      <c r="L7" s="23">
        <v>30923</v>
      </c>
      <c r="M7" s="25">
        <v>205000</v>
      </c>
      <c r="N7" s="23">
        <v>420000</v>
      </c>
      <c r="O7" s="13">
        <f>ROUND(AVERAGE(G7:N7),0)</f>
        <v>152540</v>
      </c>
      <c r="P7" s="11" t="s">
        <v>45</v>
      </c>
      <c r="Q7" s="19">
        <f>O7*F7</f>
        <v>1067780</v>
      </c>
      <c r="R7" s="17">
        <f t="shared" ref="R7:R28" si="0">_xlfn.STDEV.P(G7:N7)</f>
        <v>116759.40213098205</v>
      </c>
      <c r="S7" s="18">
        <f t="shared" ref="S7:S28" si="1">(R7/Q7)</f>
        <v>0.10934780772348429</v>
      </c>
      <c r="T7" s="3">
        <f t="shared" ref="T7:T28" si="2">ROUND(TRIMMEAN(G7:N7,0.5),0)</f>
        <v>127350</v>
      </c>
      <c r="U7" s="11" t="s">
        <v>45</v>
      </c>
      <c r="V7" s="19">
        <f>T7*F7</f>
        <v>891450</v>
      </c>
      <c r="W7" s="3">
        <f t="shared" ref="W7:W28" si="3">ROUND(MEDIAN(G7:N7),0)</f>
        <v>115000</v>
      </c>
      <c r="X7" s="11" t="s">
        <v>45</v>
      </c>
      <c r="Y7" s="20">
        <f>ROUND((W7*F7),0)</f>
        <v>805000</v>
      </c>
      <c r="Z7" s="3">
        <f t="shared" ref="Z7:Z28" si="4">ROUND(_xlfn.QUARTILE.INC(G7:N7,1),0)</f>
        <v>73300</v>
      </c>
      <c r="AA7" s="3">
        <f t="shared" ref="AA7:AA28" si="5">ROUND(_xlfn.QUARTILE.INC(G7:N7,3),0)</f>
        <v>201250</v>
      </c>
      <c r="AB7" s="3">
        <f>ROUND(AVERAGE(H7,I7,J7,K7:K7),0)</f>
        <v>127350</v>
      </c>
      <c r="AC7" s="11" t="s">
        <v>45</v>
      </c>
      <c r="AD7" s="19">
        <f>ROUND(AB7*F7,0)</f>
        <v>891450</v>
      </c>
    </row>
    <row r="8" spans="2:30" ht="19.5" customHeight="1" x14ac:dyDescent="0.25">
      <c r="B8" s="44"/>
      <c r="C8" s="37"/>
      <c r="D8" s="31" t="s">
        <v>9</v>
      </c>
      <c r="E8" s="6" t="s">
        <v>6</v>
      </c>
      <c r="F8" s="9">
        <v>19</v>
      </c>
      <c r="G8" s="23">
        <v>55000</v>
      </c>
      <c r="H8" s="24">
        <v>65000</v>
      </c>
      <c r="I8" s="25">
        <v>50000</v>
      </c>
      <c r="J8" s="23">
        <v>79400</v>
      </c>
      <c r="K8" s="23">
        <v>100000</v>
      </c>
      <c r="L8" s="23">
        <v>30923</v>
      </c>
      <c r="M8" s="25">
        <v>85000</v>
      </c>
      <c r="N8" s="23">
        <v>25000</v>
      </c>
      <c r="O8" s="13">
        <f t="shared" ref="O8:O28" si="6">ROUND(AVERAGE(G8:N8),0)</f>
        <v>61290</v>
      </c>
      <c r="P8" s="3">
        <f>ROUND(O8*19%,0)</f>
        <v>11645</v>
      </c>
      <c r="Q8" s="19">
        <f>(O8+P8)*F8</f>
        <v>1385765</v>
      </c>
      <c r="R8" s="17">
        <f t="shared" si="0"/>
        <v>24516.605056254732</v>
      </c>
      <c r="S8" s="18">
        <f t="shared" si="1"/>
        <v>1.7691747919924901E-2</v>
      </c>
      <c r="T8" s="3">
        <f t="shared" si="2"/>
        <v>62350</v>
      </c>
      <c r="U8" s="3">
        <f>ROUND(T8*19%,0)</f>
        <v>11847</v>
      </c>
      <c r="V8" s="19">
        <f>(T8+U8)*F8</f>
        <v>1409743</v>
      </c>
      <c r="W8" s="3">
        <f t="shared" si="3"/>
        <v>60000</v>
      </c>
      <c r="X8" s="3">
        <f>W8*19%</f>
        <v>11400</v>
      </c>
      <c r="Y8" s="19">
        <f>ROUND((W8+X8)*F8,0)</f>
        <v>1356600</v>
      </c>
      <c r="Z8" s="3">
        <f t="shared" si="4"/>
        <v>45231</v>
      </c>
      <c r="AA8" s="3">
        <f t="shared" si="5"/>
        <v>80800</v>
      </c>
      <c r="AB8" s="3">
        <f>ROUND(AVERAGE(G8,H8:J8),0)</f>
        <v>62350</v>
      </c>
      <c r="AC8" s="3">
        <f>ROUND(AB8*19%,0)</f>
        <v>11847</v>
      </c>
      <c r="AD8" s="19">
        <f>(AB8+AC8)*F8</f>
        <v>1409743</v>
      </c>
    </row>
    <row r="9" spans="2:30" ht="19.5" customHeight="1" x14ac:dyDescent="0.25">
      <c r="B9" s="44"/>
      <c r="C9" s="37"/>
      <c r="D9" s="32"/>
      <c r="E9" s="6" t="s">
        <v>7</v>
      </c>
      <c r="F9" s="9">
        <v>1</v>
      </c>
      <c r="G9" s="23">
        <v>55000</v>
      </c>
      <c r="H9" s="24">
        <v>65000</v>
      </c>
      <c r="I9" s="25">
        <v>50000</v>
      </c>
      <c r="J9" s="23">
        <v>79400</v>
      </c>
      <c r="K9" s="23">
        <v>100000</v>
      </c>
      <c r="L9" s="23">
        <v>30923</v>
      </c>
      <c r="M9" s="25">
        <v>85000</v>
      </c>
      <c r="N9" s="23">
        <v>25000</v>
      </c>
      <c r="O9" s="13">
        <f t="shared" si="6"/>
        <v>61290</v>
      </c>
      <c r="P9" s="3">
        <f>ROUND(O9*19%,0)</f>
        <v>11645</v>
      </c>
      <c r="Q9" s="19">
        <f t="shared" ref="Q9:Q27" si="7">(O9+P9)*F9</f>
        <v>72935</v>
      </c>
      <c r="R9" s="17">
        <f t="shared" si="0"/>
        <v>24516.605056254732</v>
      </c>
      <c r="S9" s="18">
        <f t="shared" si="1"/>
        <v>0.33614321047857315</v>
      </c>
      <c r="T9" s="3">
        <f t="shared" si="2"/>
        <v>62350</v>
      </c>
      <c r="U9" s="3">
        <f t="shared" ref="U9:U28" si="8">ROUND(T9*19%,0)</f>
        <v>11847</v>
      </c>
      <c r="V9" s="19">
        <f>(T9+U9)*F9</f>
        <v>74197</v>
      </c>
      <c r="W9" s="3">
        <f t="shared" si="3"/>
        <v>60000</v>
      </c>
      <c r="X9" s="3">
        <f t="shared" ref="X9:X28" si="9">W9*19%</f>
        <v>11400</v>
      </c>
      <c r="Y9" s="19">
        <f>ROUND((W9+X9)*F9,0)</f>
        <v>71400</v>
      </c>
      <c r="Z9" s="3">
        <f t="shared" si="4"/>
        <v>45231</v>
      </c>
      <c r="AA9" s="3">
        <f t="shared" si="5"/>
        <v>80800</v>
      </c>
      <c r="AB9" s="3">
        <f>ROUND(AVERAGE(G9,H9,I9,J9),0)</f>
        <v>62350</v>
      </c>
      <c r="AC9" s="3">
        <f t="shared" ref="AC9:AC28" si="10">ROUND(AB9*19%,0)</f>
        <v>11847</v>
      </c>
      <c r="AD9" s="19">
        <f t="shared" ref="AD9:AD27" si="11">(AB9+AC9)*F9</f>
        <v>74197</v>
      </c>
    </row>
    <row r="10" spans="2:30" ht="19.5" customHeight="1" x14ac:dyDescent="0.25">
      <c r="B10" s="44"/>
      <c r="C10" s="37"/>
      <c r="D10" s="33" t="s">
        <v>10</v>
      </c>
      <c r="E10" s="2" t="s">
        <v>6</v>
      </c>
      <c r="F10" s="7">
        <v>891</v>
      </c>
      <c r="G10" s="23">
        <v>55000</v>
      </c>
      <c r="H10" s="24">
        <v>65000</v>
      </c>
      <c r="I10" s="25">
        <v>42000</v>
      </c>
      <c r="J10" s="23">
        <v>71400</v>
      </c>
      <c r="K10" s="23">
        <v>85000</v>
      </c>
      <c r="L10" s="23">
        <v>30923</v>
      </c>
      <c r="M10" s="25">
        <v>65000</v>
      </c>
      <c r="N10" s="23">
        <v>25000</v>
      </c>
      <c r="O10" s="13">
        <f t="shared" si="6"/>
        <v>54915</v>
      </c>
      <c r="P10" s="3">
        <f t="shared" ref="P10:P28" si="12">ROUND(O10*19%,0)</f>
        <v>10434</v>
      </c>
      <c r="Q10" s="19">
        <f t="shared" si="7"/>
        <v>58225959</v>
      </c>
      <c r="R10" s="17">
        <f t="shared" si="0"/>
        <v>19421.652343051941</v>
      </c>
      <c r="S10" s="18">
        <f>(R10/Q10)</f>
        <v>3.3355659016370929E-4</v>
      </c>
      <c r="T10" s="3">
        <f>ROUND(TRIMMEAN(G10:N10,0.5),0)</f>
        <v>56750</v>
      </c>
      <c r="U10" s="3">
        <f t="shared" si="8"/>
        <v>10783</v>
      </c>
      <c r="V10" s="19">
        <f t="shared" ref="V10:V28" si="13">(T10+U10)*F10</f>
        <v>60171903</v>
      </c>
      <c r="W10" s="3">
        <f t="shared" si="3"/>
        <v>60000</v>
      </c>
      <c r="X10" s="3">
        <f t="shared" si="9"/>
        <v>11400</v>
      </c>
      <c r="Y10" s="19">
        <f t="shared" ref="Y10:Y28" si="14">ROUND((W10+X10)*F10,0)</f>
        <v>63617400</v>
      </c>
      <c r="Z10" s="3">
        <f t="shared" si="4"/>
        <v>39231</v>
      </c>
      <c r="AA10" s="3">
        <f t="shared" si="5"/>
        <v>66600</v>
      </c>
      <c r="AB10" s="3">
        <f>ROUND(AVERAGE(G10,H10,I10,M10),0)</f>
        <v>56750</v>
      </c>
      <c r="AC10" s="3">
        <f t="shared" si="10"/>
        <v>10783</v>
      </c>
      <c r="AD10" s="19">
        <f t="shared" si="11"/>
        <v>60171903</v>
      </c>
    </row>
    <row r="11" spans="2:30" ht="19.5" customHeight="1" x14ac:dyDescent="0.25">
      <c r="B11" s="44"/>
      <c r="C11" s="37"/>
      <c r="D11" s="34"/>
      <c r="E11" s="2" t="s">
        <v>7</v>
      </c>
      <c r="F11" s="7">
        <v>88</v>
      </c>
      <c r="G11" s="23">
        <v>55000</v>
      </c>
      <c r="H11" s="24">
        <v>65000</v>
      </c>
      <c r="I11" s="25">
        <v>42000</v>
      </c>
      <c r="J11" s="23">
        <v>71400</v>
      </c>
      <c r="K11" s="23">
        <v>85000</v>
      </c>
      <c r="L11" s="23">
        <v>30923</v>
      </c>
      <c r="M11" s="25">
        <v>65000</v>
      </c>
      <c r="N11" s="23">
        <v>25000</v>
      </c>
      <c r="O11" s="13">
        <f t="shared" si="6"/>
        <v>54915</v>
      </c>
      <c r="P11" s="3">
        <f t="shared" si="12"/>
        <v>10434</v>
      </c>
      <c r="Q11" s="19">
        <f t="shared" si="7"/>
        <v>5750712</v>
      </c>
      <c r="R11" s="17">
        <f t="shared" si="0"/>
        <v>19421.652343051941</v>
      </c>
      <c r="S11" s="18">
        <f t="shared" si="1"/>
        <v>3.3772604754075566E-3</v>
      </c>
      <c r="T11" s="3">
        <f t="shared" si="2"/>
        <v>56750</v>
      </c>
      <c r="U11" s="3">
        <f t="shared" si="8"/>
        <v>10783</v>
      </c>
      <c r="V11" s="19">
        <f t="shared" si="13"/>
        <v>5942904</v>
      </c>
      <c r="W11" s="3">
        <f t="shared" si="3"/>
        <v>60000</v>
      </c>
      <c r="X11" s="3">
        <f t="shared" si="9"/>
        <v>11400</v>
      </c>
      <c r="Y11" s="19">
        <f t="shared" si="14"/>
        <v>6283200</v>
      </c>
      <c r="Z11" s="3">
        <f t="shared" si="4"/>
        <v>39231</v>
      </c>
      <c r="AA11" s="3">
        <f t="shared" si="5"/>
        <v>66600</v>
      </c>
      <c r="AB11" s="3">
        <f>ROUND(AVERAGE(G11,H11,I11,M11),0)</f>
        <v>56750</v>
      </c>
      <c r="AC11" s="3">
        <f t="shared" si="10"/>
        <v>10783</v>
      </c>
      <c r="AD11" s="19">
        <f t="shared" si="11"/>
        <v>5942904</v>
      </c>
    </row>
    <row r="12" spans="2:30" ht="19.5" customHeight="1" x14ac:dyDescent="0.25">
      <c r="B12" s="44"/>
      <c r="C12" s="37"/>
      <c r="D12" s="33" t="s">
        <v>11</v>
      </c>
      <c r="E12" s="2" t="s">
        <v>6</v>
      </c>
      <c r="F12" s="7">
        <v>19</v>
      </c>
      <c r="G12" s="23">
        <v>55000</v>
      </c>
      <c r="H12" s="24">
        <v>65000</v>
      </c>
      <c r="I12" s="25">
        <v>45000</v>
      </c>
      <c r="J12" s="23">
        <v>71400</v>
      </c>
      <c r="K12" s="23">
        <v>95000</v>
      </c>
      <c r="L12" s="23">
        <v>30923</v>
      </c>
      <c r="M12" s="25">
        <v>80000</v>
      </c>
      <c r="N12" s="23">
        <v>25000</v>
      </c>
      <c r="O12" s="13">
        <f t="shared" si="6"/>
        <v>58415</v>
      </c>
      <c r="P12" s="3">
        <f t="shared" si="12"/>
        <v>11099</v>
      </c>
      <c r="Q12" s="19">
        <f t="shared" si="7"/>
        <v>1320766</v>
      </c>
      <c r="R12" s="17">
        <f t="shared" si="0"/>
        <v>22584.130595052247</v>
      </c>
      <c r="S12" s="18">
        <f t="shared" si="1"/>
        <v>1.709926708822929E-2</v>
      </c>
      <c r="T12" s="3">
        <f t="shared" si="2"/>
        <v>59100</v>
      </c>
      <c r="U12" s="3">
        <f t="shared" si="8"/>
        <v>11229</v>
      </c>
      <c r="V12" s="19">
        <f t="shared" si="13"/>
        <v>1336251</v>
      </c>
      <c r="W12" s="3">
        <f t="shared" si="3"/>
        <v>60000</v>
      </c>
      <c r="X12" s="3">
        <f>W12*19%</f>
        <v>11400</v>
      </c>
      <c r="Y12" s="19">
        <f t="shared" si="14"/>
        <v>1356600</v>
      </c>
      <c r="Z12" s="3">
        <f t="shared" si="4"/>
        <v>41481</v>
      </c>
      <c r="AA12" s="3">
        <f t="shared" si="5"/>
        <v>73550</v>
      </c>
      <c r="AB12" s="3">
        <f>ROUND(AVERAGE(G12,H12,I12,J12),0)</f>
        <v>59100</v>
      </c>
      <c r="AC12" s="3">
        <f t="shared" si="10"/>
        <v>11229</v>
      </c>
      <c r="AD12" s="19">
        <f t="shared" si="11"/>
        <v>1336251</v>
      </c>
    </row>
    <row r="13" spans="2:30" ht="19.5" customHeight="1" x14ac:dyDescent="0.25">
      <c r="B13" s="44"/>
      <c r="C13" s="37"/>
      <c r="D13" s="34"/>
      <c r="E13" s="2" t="s">
        <v>7</v>
      </c>
      <c r="F13" s="7">
        <v>1</v>
      </c>
      <c r="G13" s="23">
        <v>55000</v>
      </c>
      <c r="H13" s="24">
        <v>65000</v>
      </c>
      <c r="I13" s="25">
        <v>45000</v>
      </c>
      <c r="J13" s="23">
        <v>71400</v>
      </c>
      <c r="K13" s="23">
        <v>95000</v>
      </c>
      <c r="L13" s="23">
        <v>30923</v>
      </c>
      <c r="M13" s="25">
        <v>80000</v>
      </c>
      <c r="N13" s="23">
        <v>25000</v>
      </c>
      <c r="O13" s="13">
        <f t="shared" si="6"/>
        <v>58415</v>
      </c>
      <c r="P13" s="3">
        <f t="shared" si="12"/>
        <v>11099</v>
      </c>
      <c r="Q13" s="19">
        <f t="shared" si="7"/>
        <v>69514</v>
      </c>
      <c r="R13" s="17">
        <f t="shared" si="0"/>
        <v>22584.130595052247</v>
      </c>
      <c r="S13" s="18">
        <f t="shared" si="1"/>
        <v>0.32488607467635655</v>
      </c>
      <c r="T13" s="3">
        <f t="shared" si="2"/>
        <v>59100</v>
      </c>
      <c r="U13" s="3">
        <f>ROUND(T13*19%,0)</f>
        <v>11229</v>
      </c>
      <c r="V13" s="19">
        <f t="shared" si="13"/>
        <v>70329</v>
      </c>
      <c r="W13" s="3">
        <f t="shared" si="3"/>
        <v>60000</v>
      </c>
      <c r="X13" s="3">
        <f t="shared" si="9"/>
        <v>11400</v>
      </c>
      <c r="Y13" s="19">
        <f t="shared" si="14"/>
        <v>71400</v>
      </c>
      <c r="Z13" s="3">
        <f t="shared" si="4"/>
        <v>41481</v>
      </c>
      <c r="AA13" s="3">
        <f t="shared" si="5"/>
        <v>73550</v>
      </c>
      <c r="AB13" s="3">
        <f>ROUND(AVERAGE(G13,H13,I13,J13),0)</f>
        <v>59100</v>
      </c>
      <c r="AC13" s="3">
        <f t="shared" si="10"/>
        <v>11229</v>
      </c>
      <c r="AD13" s="19">
        <f>(AB13+AC13)*F13</f>
        <v>70329</v>
      </c>
    </row>
    <row r="14" spans="2:30" ht="19.5" customHeight="1" x14ac:dyDescent="0.25">
      <c r="B14" s="44"/>
      <c r="C14" s="37"/>
      <c r="D14" s="4" t="s">
        <v>12</v>
      </c>
      <c r="E14" s="2" t="s">
        <v>18</v>
      </c>
      <c r="F14" s="7">
        <v>17</v>
      </c>
      <c r="G14" s="23">
        <v>55000</v>
      </c>
      <c r="H14" s="24">
        <v>65000</v>
      </c>
      <c r="I14" s="25">
        <v>42000</v>
      </c>
      <c r="J14" s="23">
        <v>79400</v>
      </c>
      <c r="K14" s="23">
        <v>95000</v>
      </c>
      <c r="L14" s="23">
        <v>30923</v>
      </c>
      <c r="M14" s="25">
        <v>85000</v>
      </c>
      <c r="N14" s="23">
        <v>25000</v>
      </c>
      <c r="O14" s="13">
        <f t="shared" si="6"/>
        <v>59665</v>
      </c>
      <c r="P14" s="3">
        <f t="shared" si="12"/>
        <v>11336</v>
      </c>
      <c r="Q14" s="19">
        <f t="shared" si="7"/>
        <v>1207017</v>
      </c>
      <c r="R14" s="17">
        <f t="shared" si="0"/>
        <v>24160.753656175028</v>
      </c>
      <c r="S14" s="18">
        <f t="shared" si="1"/>
        <v>2.0016912484393367E-2</v>
      </c>
      <c r="T14" s="3">
        <f t="shared" si="2"/>
        <v>60350</v>
      </c>
      <c r="U14" s="3">
        <f t="shared" si="8"/>
        <v>11467</v>
      </c>
      <c r="V14" s="19">
        <f t="shared" si="13"/>
        <v>1220889</v>
      </c>
      <c r="W14" s="3">
        <f t="shared" si="3"/>
        <v>60000</v>
      </c>
      <c r="X14" s="3">
        <f t="shared" si="9"/>
        <v>11400</v>
      </c>
      <c r="Y14" s="19">
        <f t="shared" si="14"/>
        <v>1213800</v>
      </c>
      <c r="Z14" s="3">
        <f t="shared" si="4"/>
        <v>39231</v>
      </c>
      <c r="AA14" s="3">
        <f t="shared" si="5"/>
        <v>80800</v>
      </c>
      <c r="AB14" s="3">
        <f>ROUND(AVERAGE(G14,H14,I14,J14),0)</f>
        <v>60350</v>
      </c>
      <c r="AC14" s="3">
        <f t="shared" si="10"/>
        <v>11467</v>
      </c>
      <c r="AD14" s="19">
        <f t="shared" si="11"/>
        <v>1220889</v>
      </c>
    </row>
    <row r="15" spans="2:30" ht="19.5" customHeight="1" x14ac:dyDescent="0.25">
      <c r="B15" s="44"/>
      <c r="C15" s="37"/>
      <c r="D15" s="33" t="s">
        <v>13</v>
      </c>
      <c r="E15" s="2" t="s">
        <v>6</v>
      </c>
      <c r="F15" s="7">
        <v>13</v>
      </c>
      <c r="G15" s="23">
        <v>55000</v>
      </c>
      <c r="H15" s="24">
        <v>65000</v>
      </c>
      <c r="I15" s="25">
        <v>45000</v>
      </c>
      <c r="J15" s="23">
        <v>79400</v>
      </c>
      <c r="K15" s="23">
        <v>100000</v>
      </c>
      <c r="L15" s="23">
        <v>30923</v>
      </c>
      <c r="M15" s="25">
        <v>80000</v>
      </c>
      <c r="N15" s="23">
        <v>25000</v>
      </c>
      <c r="O15" s="13">
        <f t="shared" si="6"/>
        <v>60040</v>
      </c>
      <c r="P15" s="3">
        <f t="shared" si="12"/>
        <v>11408</v>
      </c>
      <c r="Q15" s="19">
        <f t="shared" si="7"/>
        <v>928824</v>
      </c>
      <c r="R15" s="17">
        <f t="shared" si="0"/>
        <v>24294.595303984279</v>
      </c>
      <c r="S15" s="18">
        <f t="shared" si="1"/>
        <v>2.6156295814906031E-2</v>
      </c>
      <c r="T15" s="3">
        <f t="shared" si="2"/>
        <v>61100</v>
      </c>
      <c r="U15" s="3">
        <f t="shared" si="8"/>
        <v>11609</v>
      </c>
      <c r="V15" s="19">
        <f t="shared" si="13"/>
        <v>945217</v>
      </c>
      <c r="W15" s="3">
        <f t="shared" si="3"/>
        <v>60000</v>
      </c>
      <c r="X15" s="3">
        <f t="shared" si="9"/>
        <v>11400</v>
      </c>
      <c r="Y15" s="19">
        <f t="shared" si="14"/>
        <v>928200</v>
      </c>
      <c r="Z15" s="3">
        <f t="shared" si="4"/>
        <v>41481</v>
      </c>
      <c r="AA15" s="3">
        <f t="shared" si="5"/>
        <v>79550</v>
      </c>
      <c r="AB15" s="3">
        <f>ROUND(AVERAGE(G15,H15,I15),0)</f>
        <v>55000</v>
      </c>
      <c r="AC15" s="3">
        <f t="shared" si="10"/>
        <v>10450</v>
      </c>
      <c r="AD15" s="19">
        <f>(AB15+AC15)*F15</f>
        <v>850850</v>
      </c>
    </row>
    <row r="16" spans="2:30" ht="19.5" customHeight="1" x14ac:dyDescent="0.25">
      <c r="B16" s="44"/>
      <c r="C16" s="37"/>
      <c r="D16" s="34"/>
      <c r="E16" s="2" t="s">
        <v>7</v>
      </c>
      <c r="F16" s="7">
        <v>1</v>
      </c>
      <c r="G16" s="23">
        <v>55000</v>
      </c>
      <c r="H16" s="24">
        <v>65000</v>
      </c>
      <c r="I16" s="25">
        <v>45000</v>
      </c>
      <c r="J16" s="23">
        <v>79400</v>
      </c>
      <c r="K16" s="23">
        <v>100000</v>
      </c>
      <c r="L16" s="23">
        <v>30923</v>
      </c>
      <c r="M16" s="25">
        <v>80000</v>
      </c>
      <c r="N16" s="23">
        <v>25000</v>
      </c>
      <c r="O16" s="13">
        <f t="shared" si="6"/>
        <v>60040</v>
      </c>
      <c r="P16" s="3">
        <f t="shared" si="12"/>
        <v>11408</v>
      </c>
      <c r="Q16" s="19">
        <f t="shared" si="7"/>
        <v>71448</v>
      </c>
      <c r="R16" s="17">
        <f t="shared" si="0"/>
        <v>24294.595303984279</v>
      </c>
      <c r="S16" s="18">
        <f t="shared" si="1"/>
        <v>0.34003184559377841</v>
      </c>
      <c r="T16" s="3">
        <f t="shared" si="2"/>
        <v>61100</v>
      </c>
      <c r="U16" s="3">
        <f t="shared" si="8"/>
        <v>11609</v>
      </c>
      <c r="V16" s="19">
        <f t="shared" si="13"/>
        <v>72709</v>
      </c>
      <c r="W16" s="3">
        <f t="shared" si="3"/>
        <v>60000</v>
      </c>
      <c r="X16" s="3">
        <f t="shared" si="9"/>
        <v>11400</v>
      </c>
      <c r="Y16" s="19">
        <f t="shared" si="14"/>
        <v>71400</v>
      </c>
      <c r="Z16" s="3">
        <f t="shared" si="4"/>
        <v>41481</v>
      </c>
      <c r="AA16" s="3">
        <f t="shared" si="5"/>
        <v>79550</v>
      </c>
      <c r="AB16" s="3">
        <f>ROUND(AVERAGE(G16,H16,I16,J16),0)</f>
        <v>61100</v>
      </c>
      <c r="AC16" s="3">
        <f t="shared" si="10"/>
        <v>11609</v>
      </c>
      <c r="AD16" s="19">
        <f t="shared" si="11"/>
        <v>72709</v>
      </c>
    </row>
    <row r="17" spans="2:30" ht="19.5" customHeight="1" x14ac:dyDescent="0.25">
      <c r="B17" s="44"/>
      <c r="C17" s="37"/>
      <c r="D17" s="5" t="s">
        <v>14</v>
      </c>
      <c r="E17" s="2" t="s">
        <v>6</v>
      </c>
      <c r="F17" s="7">
        <v>3</v>
      </c>
      <c r="G17" s="23">
        <v>55000</v>
      </c>
      <c r="H17" s="24">
        <v>65000</v>
      </c>
      <c r="I17" s="25">
        <v>50000</v>
      </c>
      <c r="J17" s="23">
        <v>79400</v>
      </c>
      <c r="K17" s="23">
        <v>100000</v>
      </c>
      <c r="L17" s="23">
        <v>30923</v>
      </c>
      <c r="M17" s="25">
        <v>120000</v>
      </c>
      <c r="N17" s="23">
        <v>25000</v>
      </c>
      <c r="O17" s="13">
        <f t="shared" si="6"/>
        <v>65665</v>
      </c>
      <c r="P17" s="3">
        <f t="shared" si="12"/>
        <v>12476</v>
      </c>
      <c r="Q17" s="19">
        <f t="shared" si="7"/>
        <v>234423</v>
      </c>
      <c r="R17" s="17">
        <f t="shared" si="0"/>
        <v>30700.285295651163</v>
      </c>
      <c r="S17" s="18">
        <f t="shared" si="1"/>
        <v>0.13096106310238825</v>
      </c>
      <c r="T17" s="3">
        <f t="shared" si="2"/>
        <v>62350</v>
      </c>
      <c r="U17" s="3">
        <f t="shared" si="8"/>
        <v>11847</v>
      </c>
      <c r="V17" s="19">
        <f t="shared" si="13"/>
        <v>222591</v>
      </c>
      <c r="W17" s="3">
        <f t="shared" si="3"/>
        <v>60000</v>
      </c>
      <c r="X17" s="3">
        <f t="shared" si="9"/>
        <v>11400</v>
      </c>
      <c r="Y17" s="19">
        <f t="shared" si="14"/>
        <v>214200</v>
      </c>
      <c r="Z17" s="3">
        <f t="shared" si="4"/>
        <v>45231</v>
      </c>
      <c r="AA17" s="3">
        <f t="shared" si="5"/>
        <v>84550</v>
      </c>
      <c r="AB17" s="3">
        <f>ROUND(AVERAGE(G17,H17,I17,J17),0)</f>
        <v>62350</v>
      </c>
      <c r="AC17" s="3">
        <f t="shared" si="10"/>
        <v>11847</v>
      </c>
      <c r="AD17" s="19">
        <f t="shared" si="11"/>
        <v>222591</v>
      </c>
    </row>
    <row r="18" spans="2:30" ht="19.5" customHeight="1" x14ac:dyDescent="0.25">
      <c r="B18" s="44"/>
      <c r="C18" s="37"/>
      <c r="D18" s="4" t="s">
        <v>15</v>
      </c>
      <c r="E18" s="2" t="s">
        <v>18</v>
      </c>
      <c r="F18" s="7">
        <v>10</v>
      </c>
      <c r="G18" s="23">
        <v>55000</v>
      </c>
      <c r="H18" s="24">
        <v>80000</v>
      </c>
      <c r="I18" s="25">
        <v>110000</v>
      </c>
      <c r="J18" s="23">
        <v>79400</v>
      </c>
      <c r="K18" s="23">
        <v>120000</v>
      </c>
      <c r="L18" s="23">
        <v>30923</v>
      </c>
      <c r="M18" s="25">
        <v>100000</v>
      </c>
      <c r="N18" s="23">
        <v>4200000</v>
      </c>
      <c r="O18" s="13">
        <f t="shared" si="6"/>
        <v>596915</v>
      </c>
      <c r="P18" s="3">
        <f t="shared" si="12"/>
        <v>113414</v>
      </c>
      <c r="Q18" s="19">
        <f t="shared" si="7"/>
        <v>7103290</v>
      </c>
      <c r="R18" s="17">
        <f t="shared" si="0"/>
        <v>1362108.7453209213</v>
      </c>
      <c r="S18" s="18">
        <f t="shared" si="1"/>
        <v>0.19175744553874632</v>
      </c>
      <c r="T18" s="3">
        <f t="shared" si="2"/>
        <v>92350</v>
      </c>
      <c r="U18" s="3">
        <f t="shared" si="8"/>
        <v>17547</v>
      </c>
      <c r="V18" s="19">
        <f t="shared" si="13"/>
        <v>1098970</v>
      </c>
      <c r="W18" s="3">
        <f t="shared" si="3"/>
        <v>90000</v>
      </c>
      <c r="X18" s="3">
        <f t="shared" si="9"/>
        <v>17100</v>
      </c>
      <c r="Y18" s="19">
        <f t="shared" si="14"/>
        <v>1071000</v>
      </c>
      <c r="Z18" s="3">
        <f t="shared" si="4"/>
        <v>73300</v>
      </c>
      <c r="AA18" s="3">
        <f t="shared" si="5"/>
        <v>112500</v>
      </c>
      <c r="AB18" s="3">
        <f>ROUND(AVERAGE(H18,I18,J18,M18),0)</f>
        <v>92350</v>
      </c>
      <c r="AC18" s="3">
        <f t="shared" si="10"/>
        <v>17547</v>
      </c>
      <c r="AD18" s="19">
        <f t="shared" si="11"/>
        <v>1098970</v>
      </c>
    </row>
    <row r="19" spans="2:30" ht="19.5" customHeight="1" x14ac:dyDescent="0.25">
      <c r="B19" s="44"/>
      <c r="C19" s="37"/>
      <c r="D19" s="33" t="s">
        <v>16</v>
      </c>
      <c r="E19" s="2" t="s">
        <v>6</v>
      </c>
      <c r="F19" s="7">
        <v>10</v>
      </c>
      <c r="G19" s="23">
        <v>55000</v>
      </c>
      <c r="H19" s="24">
        <v>80000</v>
      </c>
      <c r="I19" s="25">
        <v>110000</v>
      </c>
      <c r="J19" s="23">
        <v>79400</v>
      </c>
      <c r="K19" s="23">
        <v>120000</v>
      </c>
      <c r="L19" s="23">
        <v>30923</v>
      </c>
      <c r="M19" s="25">
        <v>95000</v>
      </c>
      <c r="N19" s="23">
        <v>4200000</v>
      </c>
      <c r="O19" s="13">
        <f t="shared" si="6"/>
        <v>596290</v>
      </c>
      <c r="P19" s="3">
        <f t="shared" si="12"/>
        <v>113295</v>
      </c>
      <c r="Q19" s="19">
        <f t="shared" si="7"/>
        <v>7095850</v>
      </c>
      <c r="R19" s="17">
        <f t="shared" si="0"/>
        <v>1362337.7381080964</v>
      </c>
      <c r="S19" s="18">
        <f t="shared" si="1"/>
        <v>0.19199077462292699</v>
      </c>
      <c r="T19" s="3">
        <f t="shared" si="2"/>
        <v>91100</v>
      </c>
      <c r="U19" s="3">
        <f t="shared" si="8"/>
        <v>17309</v>
      </c>
      <c r="V19" s="19">
        <f t="shared" si="13"/>
        <v>1084090</v>
      </c>
      <c r="W19" s="3">
        <f t="shared" si="3"/>
        <v>87500</v>
      </c>
      <c r="X19" s="3">
        <f t="shared" si="9"/>
        <v>16625</v>
      </c>
      <c r="Y19" s="19">
        <f t="shared" si="14"/>
        <v>1041250</v>
      </c>
      <c r="Z19" s="3">
        <f t="shared" si="4"/>
        <v>73300</v>
      </c>
      <c r="AA19" s="3">
        <f t="shared" si="5"/>
        <v>112500</v>
      </c>
      <c r="AB19" s="3">
        <f>ROUND(AVERAGE(H19,I19,J19,M19),0)</f>
        <v>91100</v>
      </c>
      <c r="AC19" s="3">
        <f t="shared" si="10"/>
        <v>17309</v>
      </c>
      <c r="AD19" s="19">
        <f t="shared" si="11"/>
        <v>1084090</v>
      </c>
    </row>
    <row r="20" spans="2:30" ht="19.5" customHeight="1" x14ac:dyDescent="0.25">
      <c r="B20" s="44"/>
      <c r="C20" s="37"/>
      <c r="D20" s="34"/>
      <c r="E20" s="2" t="s">
        <v>7</v>
      </c>
      <c r="F20" s="7">
        <v>1</v>
      </c>
      <c r="G20" s="23">
        <v>55000</v>
      </c>
      <c r="H20" s="24">
        <v>80000</v>
      </c>
      <c r="I20" s="25">
        <v>110000</v>
      </c>
      <c r="J20" s="23">
        <v>79400</v>
      </c>
      <c r="K20" s="23">
        <v>120000</v>
      </c>
      <c r="L20" s="23">
        <v>30923</v>
      </c>
      <c r="M20" s="25">
        <v>95000</v>
      </c>
      <c r="N20" s="23">
        <v>4200000</v>
      </c>
      <c r="O20" s="13">
        <f t="shared" si="6"/>
        <v>596290</v>
      </c>
      <c r="P20" s="3">
        <f t="shared" si="12"/>
        <v>113295</v>
      </c>
      <c r="Q20" s="19">
        <f t="shared" si="7"/>
        <v>709585</v>
      </c>
      <c r="R20" s="17">
        <f t="shared" si="0"/>
        <v>1362337.7381080964</v>
      </c>
      <c r="S20" s="18">
        <f t="shared" si="1"/>
        <v>1.9199077462292697</v>
      </c>
      <c r="T20" s="3">
        <f t="shared" si="2"/>
        <v>91100</v>
      </c>
      <c r="U20" s="3">
        <f t="shared" si="8"/>
        <v>17309</v>
      </c>
      <c r="V20" s="19">
        <f t="shared" si="13"/>
        <v>108409</v>
      </c>
      <c r="W20" s="3">
        <f t="shared" si="3"/>
        <v>87500</v>
      </c>
      <c r="X20" s="3">
        <f t="shared" si="9"/>
        <v>16625</v>
      </c>
      <c r="Y20" s="19">
        <f t="shared" si="14"/>
        <v>104125</v>
      </c>
      <c r="Z20" s="3">
        <f t="shared" si="4"/>
        <v>73300</v>
      </c>
      <c r="AA20" s="3">
        <f t="shared" si="5"/>
        <v>112500</v>
      </c>
      <c r="AB20" s="3">
        <f>ROUND(AVERAGE(H20,I20,J20,M20),0)</f>
        <v>91100</v>
      </c>
      <c r="AC20" s="3">
        <f t="shared" si="10"/>
        <v>17309</v>
      </c>
      <c r="AD20" s="19">
        <f t="shared" si="11"/>
        <v>108409</v>
      </c>
    </row>
    <row r="21" spans="2:30" ht="19.5" customHeight="1" x14ac:dyDescent="0.25">
      <c r="B21" s="44"/>
      <c r="C21" s="37"/>
      <c r="D21" s="4" t="s">
        <v>23</v>
      </c>
      <c r="E21" s="2" t="s">
        <v>6</v>
      </c>
      <c r="F21" s="7">
        <v>16</v>
      </c>
      <c r="G21" s="23">
        <v>55000</v>
      </c>
      <c r="H21" s="24">
        <v>65000</v>
      </c>
      <c r="I21" s="25">
        <v>42000</v>
      </c>
      <c r="J21" s="23">
        <v>71400</v>
      </c>
      <c r="K21" s="23">
        <v>95000</v>
      </c>
      <c r="L21" s="23">
        <v>30923</v>
      </c>
      <c r="M21" s="25">
        <v>80000</v>
      </c>
      <c r="N21" s="23">
        <v>25000</v>
      </c>
      <c r="O21" s="13">
        <f t="shared" si="6"/>
        <v>58040</v>
      </c>
      <c r="P21" s="3">
        <f t="shared" si="12"/>
        <v>11028</v>
      </c>
      <c r="Q21" s="19">
        <f t="shared" si="7"/>
        <v>1105088</v>
      </c>
      <c r="R21" s="17">
        <f t="shared" si="0"/>
        <v>22827.370873238448</v>
      </c>
      <c r="S21" s="18">
        <f t="shared" si="1"/>
        <v>2.0656609132701148E-2</v>
      </c>
      <c r="T21" s="3">
        <f t="shared" si="2"/>
        <v>58350</v>
      </c>
      <c r="U21" s="3">
        <f t="shared" si="8"/>
        <v>11087</v>
      </c>
      <c r="V21" s="19">
        <f>(T21+U21)*F21</f>
        <v>1110992</v>
      </c>
      <c r="W21" s="3">
        <f t="shared" si="3"/>
        <v>60000</v>
      </c>
      <c r="X21" s="3">
        <f t="shared" si="9"/>
        <v>11400</v>
      </c>
      <c r="Y21" s="19">
        <f t="shared" si="14"/>
        <v>1142400</v>
      </c>
      <c r="Z21" s="3">
        <f t="shared" si="4"/>
        <v>39231</v>
      </c>
      <c r="AA21" s="3">
        <f t="shared" si="5"/>
        <v>73550</v>
      </c>
      <c r="AB21" s="3">
        <f>ROUND(AVERAGE(G21,H21,I21,J21),0)</f>
        <v>58350</v>
      </c>
      <c r="AC21" s="3">
        <f t="shared" si="10"/>
        <v>11087</v>
      </c>
      <c r="AD21" s="19">
        <f t="shared" si="11"/>
        <v>1110992</v>
      </c>
    </row>
    <row r="22" spans="2:30" ht="19.5" customHeight="1" x14ac:dyDescent="0.25">
      <c r="B22" s="44"/>
      <c r="C22" s="37"/>
      <c r="D22" s="35" t="s">
        <v>17</v>
      </c>
      <c r="E22" s="2" t="s">
        <v>6</v>
      </c>
      <c r="F22" s="7">
        <v>13</v>
      </c>
      <c r="G22" s="23">
        <v>55000</v>
      </c>
      <c r="H22" s="24">
        <v>65000</v>
      </c>
      <c r="I22" s="25">
        <v>42000</v>
      </c>
      <c r="J22" s="23">
        <v>71400</v>
      </c>
      <c r="K22" s="23">
        <v>95000</v>
      </c>
      <c r="L22" s="23">
        <v>30923</v>
      </c>
      <c r="M22" s="25">
        <v>80000</v>
      </c>
      <c r="N22" s="23">
        <v>25000</v>
      </c>
      <c r="O22" s="13">
        <f t="shared" si="6"/>
        <v>58040</v>
      </c>
      <c r="P22" s="3">
        <f t="shared" si="12"/>
        <v>11028</v>
      </c>
      <c r="Q22" s="19">
        <f t="shared" si="7"/>
        <v>897884</v>
      </c>
      <c r="R22" s="17">
        <f t="shared" si="0"/>
        <v>22827.370873238448</v>
      </c>
      <c r="S22" s="18">
        <f t="shared" si="1"/>
        <v>2.5423518932555261E-2</v>
      </c>
      <c r="T22" s="3">
        <f t="shared" si="2"/>
        <v>58350</v>
      </c>
      <c r="U22" s="3">
        <f t="shared" si="8"/>
        <v>11087</v>
      </c>
      <c r="V22" s="19">
        <f t="shared" si="13"/>
        <v>902681</v>
      </c>
      <c r="W22" s="3">
        <f t="shared" si="3"/>
        <v>60000</v>
      </c>
      <c r="X22" s="3">
        <f t="shared" si="9"/>
        <v>11400</v>
      </c>
      <c r="Y22" s="19">
        <f t="shared" si="14"/>
        <v>928200</v>
      </c>
      <c r="Z22" s="3">
        <f t="shared" si="4"/>
        <v>39231</v>
      </c>
      <c r="AA22" s="3">
        <f t="shared" si="5"/>
        <v>73550</v>
      </c>
      <c r="AB22" s="3">
        <f>ROUND(AVERAGE(G22,H22,I22,J22),0)</f>
        <v>58350</v>
      </c>
      <c r="AC22" s="3">
        <f t="shared" si="10"/>
        <v>11087</v>
      </c>
      <c r="AD22" s="19">
        <f t="shared" si="11"/>
        <v>902681</v>
      </c>
    </row>
    <row r="23" spans="2:30" ht="19.5" customHeight="1" x14ac:dyDescent="0.25">
      <c r="B23" s="44"/>
      <c r="C23" s="38"/>
      <c r="D23" s="36"/>
      <c r="E23" s="2" t="s">
        <v>7</v>
      </c>
      <c r="F23" s="7">
        <v>1</v>
      </c>
      <c r="G23" s="23">
        <v>55000</v>
      </c>
      <c r="H23" s="24">
        <v>65000</v>
      </c>
      <c r="I23" s="25">
        <v>42000</v>
      </c>
      <c r="J23" s="23">
        <v>71400</v>
      </c>
      <c r="K23" s="23">
        <v>95000</v>
      </c>
      <c r="L23" s="23">
        <v>30923</v>
      </c>
      <c r="M23" s="25">
        <v>80000</v>
      </c>
      <c r="N23" s="23">
        <v>25000</v>
      </c>
      <c r="O23" s="13">
        <f t="shared" si="6"/>
        <v>58040</v>
      </c>
      <c r="P23" s="3">
        <f t="shared" si="12"/>
        <v>11028</v>
      </c>
      <c r="Q23" s="19">
        <f t="shared" si="7"/>
        <v>69068</v>
      </c>
      <c r="R23" s="17">
        <f t="shared" si="0"/>
        <v>22827.370873238448</v>
      </c>
      <c r="S23" s="18">
        <f t="shared" si="1"/>
        <v>0.33050574612321837</v>
      </c>
      <c r="T23" s="3">
        <f t="shared" si="2"/>
        <v>58350</v>
      </c>
      <c r="U23" s="3">
        <f t="shared" si="8"/>
        <v>11087</v>
      </c>
      <c r="V23" s="19">
        <f t="shared" si="13"/>
        <v>69437</v>
      </c>
      <c r="W23" s="3">
        <f t="shared" si="3"/>
        <v>60000</v>
      </c>
      <c r="X23" s="3">
        <f t="shared" si="9"/>
        <v>11400</v>
      </c>
      <c r="Y23" s="19">
        <f t="shared" si="14"/>
        <v>71400</v>
      </c>
      <c r="Z23" s="3">
        <f t="shared" si="4"/>
        <v>39231</v>
      </c>
      <c r="AA23" s="3">
        <f t="shared" si="5"/>
        <v>73550</v>
      </c>
      <c r="AB23" s="3">
        <f>ROUND(AVERAGE(G23,H23,I23,J23,M23),0)</f>
        <v>62680</v>
      </c>
      <c r="AC23" s="3">
        <f t="shared" si="10"/>
        <v>11909</v>
      </c>
      <c r="AD23" s="19">
        <f t="shared" si="11"/>
        <v>74589</v>
      </c>
    </row>
    <row r="24" spans="2:30" ht="19.5" customHeight="1" x14ac:dyDescent="0.25">
      <c r="B24" s="16">
        <v>3</v>
      </c>
      <c r="C24" s="45" t="s">
        <v>3</v>
      </c>
      <c r="D24" s="46"/>
      <c r="E24" s="46"/>
      <c r="F24" s="7">
        <v>1</v>
      </c>
      <c r="G24" s="23">
        <v>1500000</v>
      </c>
      <c r="H24" s="24">
        <v>2000000</v>
      </c>
      <c r="I24" s="25">
        <v>60000</v>
      </c>
      <c r="J24" s="23">
        <v>4800000</v>
      </c>
      <c r="K24" s="23">
        <v>8500000</v>
      </c>
      <c r="L24" s="23">
        <v>2550000</v>
      </c>
      <c r="M24" s="25">
        <v>7500000</v>
      </c>
      <c r="N24" s="23">
        <v>5500000</v>
      </c>
      <c r="O24" s="13">
        <f t="shared" si="6"/>
        <v>4051250</v>
      </c>
      <c r="P24" s="3">
        <f t="shared" si="12"/>
        <v>769738</v>
      </c>
      <c r="Q24" s="19">
        <f t="shared" si="7"/>
        <v>4820988</v>
      </c>
      <c r="R24" s="17">
        <f t="shared" si="0"/>
        <v>2811696.2740488169</v>
      </c>
      <c r="S24" s="18">
        <f t="shared" si="1"/>
        <v>0.58321992795850497</v>
      </c>
      <c r="T24" s="3">
        <f t="shared" si="2"/>
        <v>3712500</v>
      </c>
      <c r="U24" s="3">
        <f t="shared" si="8"/>
        <v>705375</v>
      </c>
      <c r="V24" s="19">
        <f t="shared" si="13"/>
        <v>4417875</v>
      </c>
      <c r="W24" s="3">
        <f t="shared" si="3"/>
        <v>3675000</v>
      </c>
      <c r="X24" s="3">
        <f t="shared" si="9"/>
        <v>698250</v>
      </c>
      <c r="Y24" s="19">
        <f t="shared" si="14"/>
        <v>4373250</v>
      </c>
      <c r="Z24" s="3">
        <f t="shared" si="4"/>
        <v>1875000</v>
      </c>
      <c r="AA24" s="3">
        <f t="shared" si="5"/>
        <v>6000000</v>
      </c>
      <c r="AB24" s="3">
        <f>ROUND(AVERAGE(H24,J24,L24),0)</f>
        <v>3116667</v>
      </c>
      <c r="AC24" s="3">
        <f>ROUND(AB24*19%,0)</f>
        <v>592167</v>
      </c>
      <c r="AD24" s="19">
        <f t="shared" si="11"/>
        <v>3708834</v>
      </c>
    </row>
    <row r="25" spans="2:30" ht="19.5" customHeight="1" x14ac:dyDescent="0.25">
      <c r="B25" s="16">
        <v>4</v>
      </c>
      <c r="C25" s="45" t="s">
        <v>4</v>
      </c>
      <c r="D25" s="46"/>
      <c r="E25" s="46"/>
      <c r="F25" s="7">
        <v>4</v>
      </c>
      <c r="G25" s="23">
        <v>120000</v>
      </c>
      <c r="H25" s="24">
        <v>500000</v>
      </c>
      <c r="I25" s="25">
        <v>42000</v>
      </c>
      <c r="J25" s="23">
        <v>4100000</v>
      </c>
      <c r="K25" s="23">
        <v>1200000</v>
      </c>
      <c r="L25" s="23">
        <v>826668</v>
      </c>
      <c r="M25" s="25">
        <v>1505000</v>
      </c>
      <c r="N25" s="23">
        <v>1550000</v>
      </c>
      <c r="O25" s="13">
        <f t="shared" si="6"/>
        <v>1230459</v>
      </c>
      <c r="P25" s="3">
        <f t="shared" si="12"/>
        <v>233787</v>
      </c>
      <c r="Q25" s="19">
        <f t="shared" si="7"/>
        <v>5856984</v>
      </c>
      <c r="R25" s="17">
        <f t="shared" si="0"/>
        <v>1212169.7498930378</v>
      </c>
      <c r="S25" s="18">
        <f t="shared" si="1"/>
        <v>0.20696142415499819</v>
      </c>
      <c r="T25" s="3">
        <f t="shared" si="2"/>
        <v>1007917</v>
      </c>
      <c r="U25" s="3">
        <f t="shared" si="8"/>
        <v>191504</v>
      </c>
      <c r="V25" s="19">
        <f t="shared" si="13"/>
        <v>4797684</v>
      </c>
      <c r="W25" s="3">
        <f t="shared" si="3"/>
        <v>1013334</v>
      </c>
      <c r="X25" s="3">
        <f t="shared" si="9"/>
        <v>192533.46</v>
      </c>
      <c r="Y25" s="19">
        <f t="shared" si="14"/>
        <v>4823470</v>
      </c>
      <c r="Z25" s="3">
        <f t="shared" si="4"/>
        <v>405000</v>
      </c>
      <c r="AA25" s="3">
        <f t="shared" si="5"/>
        <v>1516250</v>
      </c>
      <c r="AB25" s="3">
        <f>ROUND(AVERAGE(H25,K25,L25,M25,N25),0)</f>
        <v>1116334</v>
      </c>
      <c r="AC25" s="3">
        <f t="shared" si="10"/>
        <v>212103</v>
      </c>
      <c r="AD25" s="19">
        <f t="shared" si="11"/>
        <v>5313748</v>
      </c>
    </row>
    <row r="26" spans="2:30" ht="19.5" customHeight="1" x14ac:dyDescent="0.25">
      <c r="B26" s="15">
        <v>5</v>
      </c>
      <c r="C26" s="45" t="s">
        <v>20</v>
      </c>
      <c r="D26" s="46"/>
      <c r="E26" s="46"/>
      <c r="F26" s="7">
        <v>31</v>
      </c>
      <c r="G26" s="23">
        <v>100000</v>
      </c>
      <c r="H26" s="24">
        <v>500000</v>
      </c>
      <c r="I26" s="25">
        <v>62000</v>
      </c>
      <c r="J26" s="23">
        <v>380000</v>
      </c>
      <c r="K26" s="23">
        <v>350000</v>
      </c>
      <c r="L26" s="23">
        <v>206700</v>
      </c>
      <c r="M26" s="25">
        <v>130000</v>
      </c>
      <c r="N26" s="23">
        <v>350000</v>
      </c>
      <c r="O26" s="13">
        <f t="shared" si="6"/>
        <v>259838</v>
      </c>
      <c r="P26" s="3">
        <f t="shared" si="12"/>
        <v>49369</v>
      </c>
      <c r="Q26" s="19">
        <f t="shared" si="7"/>
        <v>9585417</v>
      </c>
      <c r="R26" s="17">
        <f t="shared" si="0"/>
        <v>146945.85684445139</v>
      </c>
      <c r="S26" s="18">
        <f t="shared" si="1"/>
        <v>1.5330147540211489E-2</v>
      </c>
      <c r="T26" s="3">
        <f t="shared" si="2"/>
        <v>259175</v>
      </c>
      <c r="U26" s="3">
        <f t="shared" si="8"/>
        <v>49243</v>
      </c>
      <c r="V26" s="19">
        <f t="shared" si="13"/>
        <v>9560958</v>
      </c>
      <c r="W26" s="3">
        <f t="shared" si="3"/>
        <v>278350</v>
      </c>
      <c r="X26" s="3">
        <f t="shared" si="9"/>
        <v>52886.5</v>
      </c>
      <c r="Y26" s="19">
        <f t="shared" si="14"/>
        <v>10268332</v>
      </c>
      <c r="Z26" s="3">
        <f t="shared" si="4"/>
        <v>122500</v>
      </c>
      <c r="AA26" s="3">
        <f t="shared" si="5"/>
        <v>357500</v>
      </c>
      <c r="AB26" s="3">
        <f>ROUND(AVERAGE(K26,L26,M26,N26),0)</f>
        <v>259175</v>
      </c>
      <c r="AC26" s="3">
        <f t="shared" si="10"/>
        <v>49243</v>
      </c>
      <c r="AD26" s="19">
        <f t="shared" si="11"/>
        <v>9560958</v>
      </c>
    </row>
    <row r="27" spans="2:30" ht="19.5" customHeight="1" x14ac:dyDescent="0.25">
      <c r="B27" s="39">
        <v>6</v>
      </c>
      <c r="C27" s="29" t="s">
        <v>22</v>
      </c>
      <c r="D27" s="30"/>
      <c r="E27" s="30"/>
      <c r="F27" s="7">
        <v>1</v>
      </c>
      <c r="G27" s="23">
        <v>400000</v>
      </c>
      <c r="H27" s="24">
        <v>1000000</v>
      </c>
      <c r="I27" s="25">
        <v>60000</v>
      </c>
      <c r="J27" s="23">
        <v>4500000</v>
      </c>
      <c r="K27" s="23">
        <v>7500000</v>
      </c>
      <c r="L27" s="23">
        <v>1870000</v>
      </c>
      <c r="M27" s="25">
        <v>5500000</v>
      </c>
      <c r="N27" s="23">
        <v>5500000</v>
      </c>
      <c r="O27" s="13">
        <f t="shared" si="6"/>
        <v>3291250</v>
      </c>
      <c r="P27" s="3">
        <f t="shared" si="12"/>
        <v>625338</v>
      </c>
      <c r="Q27" s="19">
        <f t="shared" si="7"/>
        <v>3916588</v>
      </c>
      <c r="R27" s="17">
        <f t="shared" si="0"/>
        <v>2622067.1115553086</v>
      </c>
      <c r="S27" s="18">
        <f t="shared" si="1"/>
        <v>0.66947738990042061</v>
      </c>
      <c r="T27" s="3">
        <f t="shared" si="2"/>
        <v>3217500</v>
      </c>
      <c r="U27" s="3">
        <f t="shared" si="8"/>
        <v>611325</v>
      </c>
      <c r="V27" s="19">
        <f t="shared" si="13"/>
        <v>3828825</v>
      </c>
      <c r="W27" s="3">
        <f t="shared" si="3"/>
        <v>3185000</v>
      </c>
      <c r="X27" s="3">
        <f t="shared" si="9"/>
        <v>605150</v>
      </c>
      <c r="Y27" s="19">
        <f t="shared" si="14"/>
        <v>3790150</v>
      </c>
      <c r="Z27" s="3">
        <f t="shared" si="4"/>
        <v>850000</v>
      </c>
      <c r="AA27" s="3">
        <f t="shared" si="5"/>
        <v>5500000</v>
      </c>
      <c r="AB27" s="3">
        <f>ROUND(AVERAGE(H27,J27,L27,M27,N27),0)</f>
        <v>3674000</v>
      </c>
      <c r="AC27" s="3">
        <f t="shared" si="10"/>
        <v>698060</v>
      </c>
      <c r="AD27" s="19">
        <f t="shared" si="11"/>
        <v>4372060</v>
      </c>
    </row>
    <row r="28" spans="2:30" ht="19.5" hidden="1" customHeight="1" x14ac:dyDescent="0.25">
      <c r="B28" s="40"/>
      <c r="C28" s="29" t="s">
        <v>21</v>
      </c>
      <c r="D28" s="30"/>
      <c r="E28" s="30"/>
      <c r="F28" s="7">
        <v>1</v>
      </c>
      <c r="G28" s="23">
        <v>200000</v>
      </c>
      <c r="H28" s="24">
        <v>250000</v>
      </c>
      <c r="I28" s="25">
        <v>60000</v>
      </c>
      <c r="J28" s="23">
        <v>3800000</v>
      </c>
      <c r="K28" s="23">
        <v>7500000</v>
      </c>
      <c r="L28" s="23">
        <v>850000</v>
      </c>
      <c r="M28" s="25">
        <v>3500000</v>
      </c>
      <c r="N28" s="23">
        <v>4800000</v>
      </c>
      <c r="O28" s="13">
        <f t="shared" si="6"/>
        <v>2620000</v>
      </c>
      <c r="P28" s="3">
        <f t="shared" si="12"/>
        <v>497800</v>
      </c>
      <c r="Q28" s="19">
        <f>(O28+P28)*F28</f>
        <v>3117800</v>
      </c>
      <c r="R28" s="17">
        <f t="shared" si="0"/>
        <v>2546895.1686317991</v>
      </c>
      <c r="S28" s="18">
        <f t="shared" si="1"/>
        <v>0.81688856521643438</v>
      </c>
      <c r="T28" s="3">
        <f t="shared" si="2"/>
        <v>2100000</v>
      </c>
      <c r="U28" s="3">
        <f t="shared" si="8"/>
        <v>399000</v>
      </c>
      <c r="V28" s="19">
        <f t="shared" si="13"/>
        <v>2499000</v>
      </c>
      <c r="W28" s="3">
        <f t="shared" si="3"/>
        <v>2175000</v>
      </c>
      <c r="X28" s="3">
        <f t="shared" si="9"/>
        <v>413250</v>
      </c>
      <c r="Y28" s="19">
        <f t="shared" si="14"/>
        <v>2588250</v>
      </c>
      <c r="Z28" s="3">
        <f t="shared" si="4"/>
        <v>237500</v>
      </c>
      <c r="AA28" s="3">
        <f t="shared" si="5"/>
        <v>4050000</v>
      </c>
      <c r="AB28" s="3">
        <f>ROUND(AVERAGE(H28,J28,L28:M28),0)</f>
        <v>2100000</v>
      </c>
      <c r="AC28" s="3">
        <f t="shared" si="10"/>
        <v>399000</v>
      </c>
      <c r="AD28" s="19">
        <f>(AB28+AC28)*F28</f>
        <v>2499000</v>
      </c>
    </row>
    <row r="29" spans="2:30" ht="17.100000000000001" customHeight="1" x14ac:dyDescent="0.25">
      <c r="B29" s="3"/>
      <c r="C29" s="41"/>
      <c r="D29" s="42"/>
      <c r="E29" s="43"/>
      <c r="F29" s="3"/>
      <c r="G29" s="3"/>
      <c r="H29" s="3"/>
      <c r="I29" s="3"/>
      <c r="J29" s="3"/>
      <c r="K29" s="3"/>
      <c r="L29" s="3"/>
      <c r="M29" s="3"/>
      <c r="N29" s="3"/>
      <c r="O29" s="3"/>
      <c r="P29" s="10"/>
      <c r="Q29" s="10">
        <f>SUM(Q6:Q27)</f>
        <v>114281973</v>
      </c>
      <c r="R29" s="17"/>
      <c r="S29" s="10"/>
      <c r="T29" s="3"/>
      <c r="U29" s="3"/>
      <c r="V29" s="10">
        <f>SUM(V6:V27)</f>
        <v>101358129</v>
      </c>
      <c r="W29" s="10"/>
      <c r="X29" s="3"/>
      <c r="Y29" s="10">
        <f>SUM(Y6:Y27)</f>
        <v>105506777</v>
      </c>
      <c r="Z29" s="3"/>
      <c r="AA29" s="3"/>
      <c r="AB29" s="3"/>
      <c r="AC29" s="3"/>
      <c r="AD29" s="10">
        <f>SUM(AD6:AD27)</f>
        <v>101619172</v>
      </c>
    </row>
    <row r="30" spans="2:30" ht="17.100000000000001" customHeight="1" x14ac:dyDescent="0.25"/>
    <row r="31" spans="2:30" hidden="1" x14ac:dyDescent="0.25">
      <c r="Q31" s="1">
        <f>(Q29-Q27)+Q28</f>
        <v>113483185</v>
      </c>
      <c r="V31" s="1">
        <f>(V29-V27)+V28</f>
        <v>100028304</v>
      </c>
      <c r="Y31" s="1">
        <f>(Y29-Y27)+Y28</f>
        <v>104304877</v>
      </c>
      <c r="AD31" s="1">
        <f>(AD29-AD27)+AD28</f>
        <v>99746112</v>
      </c>
    </row>
  </sheetData>
  <sheetProtection algorithmName="SHA-512" hashValue="AbTRLVMfOqtocqKgFo9eQy0xqwOHxVzzuISINQpWBksq1n7CzXIXJYNUVCKsyQjXr4lzUvlvwBqolmDVgdJI9g==" saltValue="OHUtGz3M/SNOoxrx+st0BQ==" spinCount="100000" sheet="1" objects="1" scenarios="1" selectLockedCells="1" selectUnlockedCells="1"/>
  <mergeCells count="47">
    <mergeCell ref="AC4:AC5"/>
    <mergeCell ref="AD4:AD5"/>
    <mergeCell ref="Z3:AD3"/>
    <mergeCell ref="O4:O5"/>
    <mergeCell ref="B3:B5"/>
    <mergeCell ref="C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O3:Q3"/>
    <mergeCell ref="S3:S5"/>
    <mergeCell ref="T3:V3"/>
    <mergeCell ref="W3:Y3"/>
    <mergeCell ref="AB4:AB5"/>
    <mergeCell ref="Q4:Q5"/>
    <mergeCell ref="T4:T5"/>
    <mergeCell ref="U4:U5"/>
    <mergeCell ref="V4:V5"/>
    <mergeCell ref="R3:R5"/>
    <mergeCell ref="AA4:AA5"/>
    <mergeCell ref="W4:W5"/>
    <mergeCell ref="X4:X5"/>
    <mergeCell ref="Y4:Y5"/>
    <mergeCell ref="Z4:Z5"/>
    <mergeCell ref="B27:B28"/>
    <mergeCell ref="C29:E29"/>
    <mergeCell ref="B7:B23"/>
    <mergeCell ref="C24:E24"/>
    <mergeCell ref="C25:E25"/>
    <mergeCell ref="C26:E26"/>
    <mergeCell ref="C6:E6"/>
    <mergeCell ref="P4:P5"/>
    <mergeCell ref="C28:E28"/>
    <mergeCell ref="D8:D9"/>
    <mergeCell ref="D10:D11"/>
    <mergeCell ref="D12:D13"/>
    <mergeCell ref="D15:D16"/>
    <mergeCell ref="C27:E27"/>
    <mergeCell ref="D19:D20"/>
    <mergeCell ref="D22:D23"/>
    <mergeCell ref="C7:C23"/>
  </mergeCells>
  <pageMargins left="0.23622047244094491" right="0.23622047244094491" top="0.74803149606299213" bottom="0.74803149606299213" header="0.31496062992125984" footer="0.31496062992125984"/>
  <pageSetup paperSize="14" scale="25" orientation="landscape" r:id="rId1"/>
  <ignoredErrors>
    <ignoredError sqref="U25:V28 U6:V6 U8:V24 U7 Q29 V29" unlockedFormula="1"/>
    <ignoredError sqref="AA6:AD14 AA25:AD28 W6:Z24 W25:Z28 AA29:AC29 O6:T6 O8:T28 O7:P7 R7:T7 AA16:AD24 AA15 AC15:AD15" formulaRange="1" unlockedFormula="1"/>
    <ignoredError sqref="W29:Z29" formulaRange="1"/>
    <ignoredError sqref="V7" formula="1" unlockedFormula="1"/>
    <ignoredError sqref="Q7 AB15" formula="1" formulaRange="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8328a9-993f-43e7-b8b9-37a7ac1efd1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BA3640A15424488C92C64B82458FC2" ma:contentTypeVersion="16" ma:contentTypeDescription="Crear nuevo documento." ma:contentTypeScope="" ma:versionID="ff756477f2360dcab8c3134c8475ad43">
  <xsd:schema xmlns:xsd="http://www.w3.org/2001/XMLSchema" xmlns:xs="http://www.w3.org/2001/XMLSchema" xmlns:p="http://schemas.microsoft.com/office/2006/metadata/properties" xmlns:ns3="a98328a9-993f-43e7-b8b9-37a7ac1efd1b" xmlns:ns4="ce54f1a5-e4ef-41c1-b4cb-b72e57ae3354" targetNamespace="http://schemas.microsoft.com/office/2006/metadata/properties" ma:root="true" ma:fieldsID="e4e5f56d660c7712e6d0c7b207c84d5c" ns3:_="" ns4:_="">
    <xsd:import namespace="a98328a9-993f-43e7-b8b9-37a7ac1efd1b"/>
    <xsd:import namespace="ce54f1a5-e4ef-41c1-b4cb-b72e57ae335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8328a9-993f-43e7-b8b9-37a7ac1efd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54f1a5-e4ef-41c1-b4cb-b72e57ae335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D0FFEE-195A-40A3-8A11-7E4D246EC360}">
  <ds:schemaRefs>
    <ds:schemaRef ds:uri="http://www.w3.org/XML/1998/namespace"/>
    <ds:schemaRef ds:uri="a98328a9-993f-43e7-b8b9-37a7ac1efd1b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ce54f1a5-e4ef-41c1-b4cb-b72e57ae335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B40FC3F-A492-422B-AC18-414DF2136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8328a9-993f-43e7-b8b9-37a7ac1efd1b"/>
    <ds:schemaRef ds:uri="ce54f1a5-e4ef-41c1-b4cb-b72e57ae3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DC4DED-11FF-48E3-BF69-FF091E9898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Yulieth Elizabeth Sanchez Jurado</dc:creator>
  <cp:lastModifiedBy>Luz Adriana Garavito Rozo</cp:lastModifiedBy>
  <cp:lastPrinted>2026-05-27T15:50:33Z</cp:lastPrinted>
  <dcterms:created xsi:type="dcterms:W3CDTF">2026-03-11T01:30:35Z</dcterms:created>
  <dcterms:modified xsi:type="dcterms:W3CDTF">2026-06-03T00:13:43Z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0x01010028BA3640A15424488C92C64B82458FC2</vt:lpwstr>
  </property>
</Properties>
</file>