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WINDOWS 10\Documents\Alcaldia\2026\"/>
    </mc:Choice>
  </mc:AlternateContent>
  <xr:revisionPtr revIDLastSave="0" documentId="13_ncr:1_{6C24FB5A-33BE-4CAE-BE83-47EC14094470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1. Datos Base" sheetId="1" r:id="rId1"/>
    <sheet name="2. Resumen Ejecutivo" sheetId="2" r:id="rId2"/>
    <sheet name="3. Análisis por Género" sheetId="3" r:id="rId3"/>
    <sheet name="4. Distribución Calificaciones" sheetId="4" r:id="rId4"/>
    <sheet name="5. Análisis por Tema" sheetId="5" r:id="rId5"/>
    <sheet name="6. Temas Sugeridos" sheetId="6" r:id="rId6"/>
    <sheet name="7. Análisis Narrativo" sheetId="8" r:id="rId7"/>
    <sheet name="7. Guía de Fórmulas" sheetId="7" state="hidden" r:id="rId8"/>
  </sheets>
  <definedNames>
    <definedName name="_xlchart.v1.0" hidden="1">'3. Análisis por Género'!$B$5:$B$6</definedName>
    <definedName name="_xlchart.v1.1" hidden="1">'3. Análisis por Género'!$C$4</definedName>
    <definedName name="_xlchart.v1.2" hidden="1">'3. Análisis por Género'!$C$5:$C$6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2" i="5" l="1"/>
  <c r="H11" i="5"/>
  <c r="I11" i="5" s="1"/>
  <c r="C11" i="5"/>
  <c r="H10" i="5"/>
  <c r="C10" i="5"/>
  <c r="I10" i="5" s="1"/>
  <c r="H9" i="5"/>
  <c r="I9" i="5" s="1"/>
  <c r="C9" i="5"/>
  <c r="H8" i="5"/>
  <c r="C8" i="5"/>
  <c r="H7" i="5"/>
  <c r="C7" i="5"/>
  <c r="I7" i="5" s="1"/>
  <c r="H6" i="5"/>
  <c r="I6" i="5" s="1"/>
  <c r="C6" i="5"/>
  <c r="H5" i="5"/>
  <c r="I5" i="5" s="1"/>
  <c r="C5" i="5"/>
  <c r="F29" i="4"/>
  <c r="E29" i="4"/>
  <c r="D29" i="4"/>
  <c r="C29" i="4"/>
  <c r="F28" i="4"/>
  <c r="E28" i="4"/>
  <c r="D28" i="4"/>
  <c r="C28" i="4"/>
  <c r="F27" i="4"/>
  <c r="E27" i="4"/>
  <c r="D27" i="4"/>
  <c r="C27" i="4"/>
  <c r="F22" i="4"/>
  <c r="G22" i="4" s="1"/>
  <c r="E22" i="4"/>
  <c r="C22" i="4"/>
  <c r="D22" i="4" s="1"/>
  <c r="F21" i="4"/>
  <c r="E21" i="4"/>
  <c r="C21" i="4"/>
  <c r="D21" i="4" s="1"/>
  <c r="F20" i="4"/>
  <c r="G20" i="4" s="1"/>
  <c r="E20" i="4"/>
  <c r="C20" i="4"/>
  <c r="D20" i="4" s="1"/>
  <c r="F19" i="4"/>
  <c r="G19" i="4" s="1"/>
  <c r="E19" i="4"/>
  <c r="D19" i="4"/>
  <c r="C19" i="4"/>
  <c r="F15" i="4"/>
  <c r="E15" i="4"/>
  <c r="C15" i="4"/>
  <c r="D15" i="4" s="1"/>
  <c r="F14" i="4"/>
  <c r="G14" i="4" s="1"/>
  <c r="E14" i="4"/>
  <c r="C14" i="4"/>
  <c r="D14" i="4" s="1"/>
  <c r="F13" i="4"/>
  <c r="E13" i="4"/>
  <c r="D13" i="4"/>
  <c r="C13" i="4"/>
  <c r="G13" i="4" s="1"/>
  <c r="F12" i="4"/>
  <c r="G12" i="4" s="1"/>
  <c r="E12" i="4"/>
  <c r="C12" i="4"/>
  <c r="D12" i="4" s="1"/>
  <c r="F8" i="4"/>
  <c r="E8" i="4"/>
  <c r="C8" i="4"/>
  <c r="D8" i="4" s="1"/>
  <c r="F7" i="4"/>
  <c r="G7" i="4" s="1"/>
  <c r="E7" i="4"/>
  <c r="C7" i="4"/>
  <c r="D7" i="4" s="1"/>
  <c r="F6" i="4"/>
  <c r="G6" i="4" s="1"/>
  <c r="E6" i="4"/>
  <c r="C6" i="4"/>
  <c r="D6" i="4" s="1"/>
  <c r="F5" i="4"/>
  <c r="E5" i="4"/>
  <c r="C5" i="4"/>
  <c r="D5" i="4" s="1"/>
  <c r="D16" i="3"/>
  <c r="C16" i="3"/>
  <c r="D15" i="3"/>
  <c r="C15" i="3"/>
  <c r="D14" i="3"/>
  <c r="C14" i="3"/>
  <c r="E14" i="3" s="1"/>
  <c r="F14" i="3" s="1"/>
  <c r="D13" i="3"/>
  <c r="C13" i="3"/>
  <c r="E13" i="3" s="1"/>
  <c r="F13" i="3" s="1"/>
  <c r="D12" i="3"/>
  <c r="C12" i="3"/>
  <c r="E12" i="3" s="1"/>
  <c r="E11" i="3"/>
  <c r="F11" i="3" s="1"/>
  <c r="D11" i="3"/>
  <c r="C11" i="3"/>
  <c r="D10" i="3"/>
  <c r="C10" i="3"/>
  <c r="C6" i="3"/>
  <c r="G6" i="3" s="1"/>
  <c r="G5" i="3"/>
  <c r="C5" i="3"/>
  <c r="C23" i="2"/>
  <c r="G23" i="2" s="1"/>
  <c r="C22" i="2"/>
  <c r="G22" i="2" s="1"/>
  <c r="C21" i="2"/>
  <c r="G21" i="2" s="1"/>
  <c r="C20" i="2"/>
  <c r="G20" i="2" s="1"/>
  <c r="C19" i="2"/>
  <c r="G19" i="2" s="1"/>
  <c r="C18" i="2"/>
  <c r="G18" i="2" s="1"/>
  <c r="C17" i="2"/>
  <c r="G17" i="2" s="1"/>
  <c r="F13" i="2"/>
  <c r="E13" i="2"/>
  <c r="D13" i="2"/>
  <c r="F12" i="2"/>
  <c r="E12" i="2"/>
  <c r="D12" i="2"/>
  <c r="F11" i="2"/>
  <c r="E11" i="2"/>
  <c r="D11" i="2"/>
  <c r="E6" i="2"/>
  <c r="D6" i="2"/>
  <c r="C6" i="2"/>
  <c r="C7" i="2" s="1"/>
  <c r="B6" i="2"/>
  <c r="I134" i="1"/>
  <c r="H134" i="1"/>
  <c r="G134" i="1"/>
  <c r="J134" i="1" s="1"/>
  <c r="I133" i="1"/>
  <c r="H133" i="1"/>
  <c r="G133" i="1"/>
  <c r="I132" i="1"/>
  <c r="H132" i="1"/>
  <c r="G132" i="1"/>
  <c r="J132" i="1" s="1"/>
  <c r="I131" i="1"/>
  <c r="J131" i="1" s="1"/>
  <c r="H131" i="1"/>
  <c r="G131" i="1"/>
  <c r="I130" i="1"/>
  <c r="H130" i="1"/>
  <c r="G130" i="1"/>
  <c r="I129" i="1"/>
  <c r="H129" i="1"/>
  <c r="G129" i="1"/>
  <c r="I128" i="1"/>
  <c r="H128" i="1"/>
  <c r="G128" i="1"/>
  <c r="J128" i="1" s="1"/>
  <c r="I127" i="1"/>
  <c r="H127" i="1"/>
  <c r="J127" i="1" s="1"/>
  <c r="G127" i="1"/>
  <c r="I126" i="1"/>
  <c r="H126" i="1"/>
  <c r="G126" i="1"/>
  <c r="J126" i="1" s="1"/>
  <c r="I125" i="1"/>
  <c r="H125" i="1"/>
  <c r="G125" i="1"/>
  <c r="J125" i="1" s="1"/>
  <c r="I124" i="1"/>
  <c r="H124" i="1"/>
  <c r="G124" i="1"/>
  <c r="I123" i="1"/>
  <c r="H123" i="1"/>
  <c r="G123" i="1"/>
  <c r="J123" i="1" s="1"/>
  <c r="I122" i="1"/>
  <c r="J122" i="1" s="1"/>
  <c r="H122" i="1"/>
  <c r="G122" i="1"/>
  <c r="I121" i="1"/>
  <c r="H121" i="1"/>
  <c r="G121" i="1"/>
  <c r="J121" i="1" s="1"/>
  <c r="I120" i="1"/>
  <c r="H120" i="1"/>
  <c r="G120" i="1"/>
  <c r="I119" i="1"/>
  <c r="H119" i="1"/>
  <c r="G119" i="1"/>
  <c r="J119" i="1" s="1"/>
  <c r="I118" i="1"/>
  <c r="H118" i="1"/>
  <c r="G118" i="1"/>
  <c r="I117" i="1"/>
  <c r="H117" i="1"/>
  <c r="G117" i="1"/>
  <c r="J117" i="1" s="1"/>
  <c r="I116" i="1"/>
  <c r="H116" i="1"/>
  <c r="G116" i="1"/>
  <c r="J116" i="1" s="1"/>
  <c r="I115" i="1"/>
  <c r="H115" i="1"/>
  <c r="G115" i="1"/>
  <c r="I114" i="1"/>
  <c r="H114" i="1"/>
  <c r="G114" i="1"/>
  <c r="J114" i="1" s="1"/>
  <c r="I113" i="1"/>
  <c r="J113" i="1" s="1"/>
  <c r="H113" i="1"/>
  <c r="G113" i="1"/>
  <c r="I112" i="1"/>
  <c r="H112" i="1"/>
  <c r="G112" i="1"/>
  <c r="J112" i="1" s="1"/>
  <c r="I111" i="1"/>
  <c r="H111" i="1"/>
  <c r="G111" i="1"/>
  <c r="I110" i="1"/>
  <c r="H110" i="1"/>
  <c r="G110" i="1"/>
  <c r="J110" i="1" s="1"/>
  <c r="I109" i="1"/>
  <c r="H109" i="1"/>
  <c r="G109" i="1"/>
  <c r="I108" i="1"/>
  <c r="H108" i="1"/>
  <c r="G108" i="1"/>
  <c r="J108" i="1" s="1"/>
  <c r="I107" i="1"/>
  <c r="H107" i="1"/>
  <c r="G107" i="1"/>
  <c r="J107" i="1" s="1"/>
  <c r="I106" i="1"/>
  <c r="H106" i="1"/>
  <c r="G106" i="1"/>
  <c r="I105" i="1"/>
  <c r="H105" i="1"/>
  <c r="G105" i="1"/>
  <c r="J105" i="1" s="1"/>
  <c r="I104" i="1"/>
  <c r="J104" i="1" s="1"/>
  <c r="H104" i="1"/>
  <c r="G104" i="1"/>
  <c r="I103" i="1"/>
  <c r="H103" i="1"/>
  <c r="G103" i="1"/>
  <c r="J103" i="1" s="1"/>
  <c r="I102" i="1"/>
  <c r="H102" i="1"/>
  <c r="G102" i="1"/>
  <c r="I101" i="1"/>
  <c r="H101" i="1"/>
  <c r="G101" i="1"/>
  <c r="J101" i="1" s="1"/>
  <c r="I100" i="1"/>
  <c r="H100" i="1"/>
  <c r="G100" i="1"/>
  <c r="I99" i="1"/>
  <c r="H99" i="1"/>
  <c r="G99" i="1"/>
  <c r="J99" i="1" s="1"/>
  <c r="I98" i="1"/>
  <c r="H98" i="1"/>
  <c r="G98" i="1"/>
  <c r="J98" i="1" s="1"/>
  <c r="I97" i="1"/>
  <c r="H97" i="1"/>
  <c r="G97" i="1"/>
  <c r="I96" i="1"/>
  <c r="H96" i="1"/>
  <c r="G96" i="1"/>
  <c r="J96" i="1" s="1"/>
  <c r="I95" i="1"/>
  <c r="J95" i="1" s="1"/>
  <c r="H95" i="1"/>
  <c r="G95" i="1"/>
  <c r="I94" i="1"/>
  <c r="H94" i="1"/>
  <c r="G94" i="1"/>
  <c r="J94" i="1" s="1"/>
  <c r="I93" i="1"/>
  <c r="H93" i="1"/>
  <c r="G93" i="1"/>
  <c r="I92" i="1"/>
  <c r="H92" i="1"/>
  <c r="G92" i="1"/>
  <c r="J92" i="1" s="1"/>
  <c r="I91" i="1"/>
  <c r="H91" i="1"/>
  <c r="G91" i="1"/>
  <c r="I90" i="1"/>
  <c r="H90" i="1"/>
  <c r="G90" i="1"/>
  <c r="J90" i="1" s="1"/>
  <c r="I89" i="1"/>
  <c r="H89" i="1"/>
  <c r="G89" i="1"/>
  <c r="J89" i="1" s="1"/>
  <c r="I88" i="1"/>
  <c r="H88" i="1"/>
  <c r="G88" i="1"/>
  <c r="I87" i="1"/>
  <c r="H87" i="1"/>
  <c r="G87" i="1"/>
  <c r="J87" i="1" s="1"/>
  <c r="I86" i="1"/>
  <c r="J86" i="1" s="1"/>
  <c r="H86" i="1"/>
  <c r="G86" i="1"/>
  <c r="I85" i="1"/>
  <c r="H85" i="1"/>
  <c r="G85" i="1"/>
  <c r="J85" i="1" s="1"/>
  <c r="I84" i="1"/>
  <c r="H84" i="1"/>
  <c r="G84" i="1"/>
  <c r="I83" i="1"/>
  <c r="H83" i="1"/>
  <c r="G83" i="1"/>
  <c r="J83" i="1" s="1"/>
  <c r="I82" i="1"/>
  <c r="H82" i="1"/>
  <c r="G82" i="1"/>
  <c r="I81" i="1"/>
  <c r="H81" i="1"/>
  <c r="G81" i="1"/>
  <c r="J81" i="1" s="1"/>
  <c r="I80" i="1"/>
  <c r="H80" i="1"/>
  <c r="G80" i="1"/>
  <c r="I79" i="1"/>
  <c r="H79" i="1"/>
  <c r="G79" i="1"/>
  <c r="I78" i="1"/>
  <c r="H78" i="1"/>
  <c r="G78" i="1"/>
  <c r="J78" i="1" s="1"/>
  <c r="I77" i="1"/>
  <c r="J77" i="1" s="1"/>
  <c r="H77" i="1"/>
  <c r="G77" i="1"/>
  <c r="I76" i="1"/>
  <c r="H76" i="1"/>
  <c r="G76" i="1"/>
  <c r="J76" i="1" s="1"/>
  <c r="I75" i="1"/>
  <c r="H75" i="1"/>
  <c r="G75" i="1"/>
  <c r="I74" i="1"/>
  <c r="H74" i="1"/>
  <c r="G74" i="1"/>
  <c r="J74" i="1" s="1"/>
  <c r="I73" i="1"/>
  <c r="H73" i="1"/>
  <c r="G73" i="1"/>
  <c r="I72" i="1"/>
  <c r="H72" i="1"/>
  <c r="G72" i="1"/>
  <c r="J72" i="1" s="1"/>
  <c r="I71" i="1"/>
  <c r="H71" i="1"/>
  <c r="G71" i="1"/>
  <c r="D18" i="2" s="1"/>
  <c r="I70" i="1"/>
  <c r="H70" i="1"/>
  <c r="G70" i="1"/>
  <c r="I69" i="1"/>
  <c r="H69" i="1"/>
  <c r="G69" i="1"/>
  <c r="J69" i="1" s="1"/>
  <c r="I68" i="1"/>
  <c r="H68" i="1"/>
  <c r="G68" i="1"/>
  <c r="I67" i="1"/>
  <c r="H67" i="1"/>
  <c r="G67" i="1"/>
  <c r="J67" i="1" s="1"/>
  <c r="I66" i="1"/>
  <c r="H66" i="1"/>
  <c r="G66" i="1"/>
  <c r="I65" i="1"/>
  <c r="H65" i="1"/>
  <c r="G65" i="1"/>
  <c r="I64" i="1"/>
  <c r="H64" i="1"/>
  <c r="G64" i="1"/>
  <c r="I63" i="1"/>
  <c r="H63" i="1"/>
  <c r="G63" i="1"/>
  <c r="I62" i="1"/>
  <c r="H62" i="1"/>
  <c r="G62" i="1"/>
  <c r="I61" i="1"/>
  <c r="H61" i="1"/>
  <c r="G61" i="1"/>
  <c r="J61" i="1" s="1"/>
  <c r="I60" i="1"/>
  <c r="H60" i="1"/>
  <c r="G60" i="1"/>
  <c r="I59" i="1"/>
  <c r="H59" i="1"/>
  <c r="G59" i="1"/>
  <c r="I58" i="1"/>
  <c r="H58" i="1"/>
  <c r="E19" i="2" s="1"/>
  <c r="G58" i="1"/>
  <c r="I57" i="1"/>
  <c r="H57" i="1"/>
  <c r="G57" i="1"/>
  <c r="J57" i="1" s="1"/>
  <c r="I56" i="1"/>
  <c r="H56" i="1"/>
  <c r="G56" i="1"/>
  <c r="I55" i="1"/>
  <c r="H55" i="1"/>
  <c r="G55" i="1"/>
  <c r="J55" i="1" s="1"/>
  <c r="I54" i="1"/>
  <c r="H54" i="1"/>
  <c r="G54" i="1"/>
  <c r="I53" i="1"/>
  <c r="H53" i="1"/>
  <c r="G53" i="1"/>
  <c r="I52" i="1"/>
  <c r="H52" i="1"/>
  <c r="G52" i="1"/>
  <c r="I51" i="1"/>
  <c r="H51" i="1"/>
  <c r="G51" i="1"/>
  <c r="J51" i="1" s="1"/>
  <c r="I50" i="1"/>
  <c r="H50" i="1"/>
  <c r="G50" i="1"/>
  <c r="I49" i="1"/>
  <c r="H49" i="1"/>
  <c r="G49" i="1"/>
  <c r="J49" i="1" s="1"/>
  <c r="I48" i="1"/>
  <c r="H48" i="1"/>
  <c r="G48" i="1"/>
  <c r="I47" i="1"/>
  <c r="H47" i="1"/>
  <c r="G47" i="1"/>
  <c r="I46" i="1"/>
  <c r="H46" i="1"/>
  <c r="G46" i="1"/>
  <c r="I45" i="1"/>
  <c r="H45" i="1"/>
  <c r="G45" i="1"/>
  <c r="J45" i="1" s="1"/>
  <c r="I44" i="1"/>
  <c r="H44" i="1"/>
  <c r="G44" i="1"/>
  <c r="I43" i="1"/>
  <c r="H43" i="1"/>
  <c r="G43" i="1"/>
  <c r="J43" i="1" s="1"/>
  <c r="I42" i="1"/>
  <c r="H42" i="1"/>
  <c r="G42" i="1"/>
  <c r="I41" i="1"/>
  <c r="H41" i="1"/>
  <c r="G41" i="1"/>
  <c r="I40" i="1"/>
  <c r="H40" i="1"/>
  <c r="G40" i="1"/>
  <c r="I39" i="1"/>
  <c r="H39" i="1"/>
  <c r="G39" i="1"/>
  <c r="J39" i="1" s="1"/>
  <c r="I38" i="1"/>
  <c r="H38" i="1"/>
  <c r="G38" i="1"/>
  <c r="I37" i="1"/>
  <c r="H37" i="1"/>
  <c r="G37" i="1"/>
  <c r="J37" i="1" s="1"/>
  <c r="I36" i="1"/>
  <c r="H36" i="1"/>
  <c r="G36" i="1"/>
  <c r="I35" i="1"/>
  <c r="H35" i="1"/>
  <c r="G35" i="1"/>
  <c r="I34" i="1"/>
  <c r="H34" i="1"/>
  <c r="G34" i="1"/>
  <c r="I33" i="1"/>
  <c r="H33" i="1"/>
  <c r="G33" i="1"/>
  <c r="J33" i="1" s="1"/>
  <c r="I32" i="1"/>
  <c r="H32" i="1"/>
  <c r="G32" i="1"/>
  <c r="I31" i="1"/>
  <c r="H31" i="1"/>
  <c r="G31" i="1"/>
  <c r="J31" i="1" s="1"/>
  <c r="I30" i="1"/>
  <c r="H30" i="1"/>
  <c r="G30" i="1"/>
  <c r="I29" i="1"/>
  <c r="H29" i="1"/>
  <c r="G29" i="1"/>
  <c r="I28" i="1"/>
  <c r="H28" i="1"/>
  <c r="G28" i="1"/>
  <c r="I27" i="1"/>
  <c r="H27" i="1"/>
  <c r="G27" i="1"/>
  <c r="J27" i="1" s="1"/>
  <c r="I26" i="1"/>
  <c r="H26" i="1"/>
  <c r="G26" i="1"/>
  <c r="I25" i="1"/>
  <c r="H25" i="1"/>
  <c r="G25" i="1"/>
  <c r="J25" i="1" s="1"/>
  <c r="I24" i="1"/>
  <c r="H24" i="1"/>
  <c r="G24" i="1"/>
  <c r="I23" i="1"/>
  <c r="H23" i="1"/>
  <c r="G23" i="1"/>
  <c r="I22" i="1"/>
  <c r="H22" i="1"/>
  <c r="G22" i="1"/>
  <c r="I21" i="1"/>
  <c r="H21" i="1"/>
  <c r="G21" i="1"/>
  <c r="J21" i="1" s="1"/>
  <c r="I20" i="1"/>
  <c r="H20" i="1"/>
  <c r="G20" i="1"/>
  <c r="I19" i="1"/>
  <c r="H19" i="1"/>
  <c r="G19" i="1"/>
  <c r="J19" i="1" s="1"/>
  <c r="I18" i="1"/>
  <c r="H18" i="1"/>
  <c r="G18" i="1"/>
  <c r="I17" i="1"/>
  <c r="H17" i="1"/>
  <c r="G17" i="1"/>
  <c r="I16" i="1"/>
  <c r="H16" i="1"/>
  <c r="G16" i="1"/>
  <c r="I15" i="1"/>
  <c r="H15" i="1"/>
  <c r="G15" i="1"/>
  <c r="J15" i="1" s="1"/>
  <c r="I14" i="1"/>
  <c r="H14" i="1"/>
  <c r="G14" i="1"/>
  <c r="I13" i="1"/>
  <c r="H13" i="1"/>
  <c r="G13" i="1"/>
  <c r="J13" i="1" s="1"/>
  <c r="I12" i="1"/>
  <c r="H12" i="1"/>
  <c r="G12" i="1"/>
  <c r="I11" i="1"/>
  <c r="H11" i="1"/>
  <c r="G11" i="1"/>
  <c r="I10" i="1"/>
  <c r="H10" i="1"/>
  <c r="G10" i="1"/>
  <c r="I9" i="1"/>
  <c r="H9" i="1"/>
  <c r="G9" i="1"/>
  <c r="J9" i="1" s="1"/>
  <c r="I8" i="1"/>
  <c r="H8" i="1"/>
  <c r="E17" i="2" s="1"/>
  <c r="G8" i="1"/>
  <c r="I7" i="1"/>
  <c r="H7" i="1"/>
  <c r="G7" i="1"/>
  <c r="I6" i="1"/>
  <c r="H6" i="1"/>
  <c r="G6" i="1"/>
  <c r="I5" i="1"/>
  <c r="H5" i="1"/>
  <c r="G5" i="1"/>
  <c r="I4" i="1"/>
  <c r="H4" i="1"/>
  <c r="E22" i="2" s="1"/>
  <c r="G4" i="1"/>
  <c r="I3" i="1"/>
  <c r="H3" i="1"/>
  <c r="G3" i="1"/>
  <c r="J26" i="1" l="1"/>
  <c r="G8" i="4"/>
  <c r="D9" i="5"/>
  <c r="D7" i="2"/>
  <c r="E10" i="5"/>
  <c r="E23" i="2"/>
  <c r="E8" i="5"/>
  <c r="E18" i="2"/>
  <c r="J73" i="1"/>
  <c r="E9" i="5"/>
  <c r="J82" i="1"/>
  <c r="J91" i="1"/>
  <c r="J100" i="1"/>
  <c r="J109" i="1"/>
  <c r="J118" i="1"/>
  <c r="E7" i="2"/>
  <c r="E10" i="3"/>
  <c r="F10" i="3" s="1"/>
  <c r="E15" i="3"/>
  <c r="F15" i="3" s="1"/>
  <c r="G5" i="4"/>
  <c r="G21" i="4"/>
  <c r="I8" i="5"/>
  <c r="J14" i="1"/>
  <c r="J32" i="1"/>
  <c r="J38" i="1"/>
  <c r="J44" i="1"/>
  <c r="J50" i="1"/>
  <c r="J56" i="1"/>
  <c r="D8" i="5"/>
  <c r="J130" i="1"/>
  <c r="F6" i="3"/>
  <c r="F11" i="5"/>
  <c r="J11" i="1"/>
  <c r="J17" i="1"/>
  <c r="J23" i="1"/>
  <c r="J29" i="1"/>
  <c r="J35" i="1"/>
  <c r="J41" i="1"/>
  <c r="J47" i="1"/>
  <c r="J59" i="1"/>
  <c r="F20" i="2"/>
  <c r="J65" i="1"/>
  <c r="F18" i="2"/>
  <c r="J75" i="1"/>
  <c r="F9" i="5"/>
  <c r="J93" i="1"/>
  <c r="J111" i="1"/>
  <c r="G15" i="4"/>
  <c r="J20" i="1"/>
  <c r="J62" i="1"/>
  <c r="J68" i="1"/>
  <c r="D6" i="5"/>
  <c r="F5" i="3"/>
  <c r="J84" i="1"/>
  <c r="J102" i="1"/>
  <c r="J120" i="1"/>
  <c r="J129" i="1"/>
  <c r="J6" i="1"/>
  <c r="J10" i="1"/>
  <c r="J12" i="1"/>
  <c r="J16" i="1"/>
  <c r="J18" i="1"/>
  <c r="J22" i="1"/>
  <c r="J24" i="1"/>
  <c r="J28" i="1"/>
  <c r="J30" i="1"/>
  <c r="J34" i="1"/>
  <c r="J36" i="1"/>
  <c r="J40" i="1"/>
  <c r="J42" i="1"/>
  <c r="J46" i="1"/>
  <c r="J48" i="1"/>
  <c r="J52" i="1"/>
  <c r="J54" i="1"/>
  <c r="J60" i="1"/>
  <c r="J64" i="1"/>
  <c r="J66" i="1"/>
  <c r="J70" i="1"/>
  <c r="J71" i="1"/>
  <c r="J79" i="1"/>
  <c r="J80" i="1"/>
  <c r="J88" i="1"/>
  <c r="J97" i="1"/>
  <c r="J106" i="1"/>
  <c r="J115" i="1"/>
  <c r="J124" i="1"/>
  <c r="J133" i="1"/>
  <c r="E16" i="3"/>
  <c r="F16" i="3" s="1"/>
  <c r="D11" i="5"/>
  <c r="J7" i="1"/>
  <c r="D23" i="2"/>
  <c r="J4" i="1"/>
  <c r="D5" i="3"/>
  <c r="C11" i="2"/>
  <c r="G11" i="2" s="1"/>
  <c r="J5" i="1"/>
  <c r="D22" i="2"/>
  <c r="D6" i="3"/>
  <c r="J8" i="1"/>
  <c r="F5" i="5"/>
  <c r="F17" i="2"/>
  <c r="F19" i="2"/>
  <c r="F12" i="3"/>
  <c r="F23" i="2"/>
  <c r="J53" i="1"/>
  <c r="D5" i="5"/>
  <c r="G5" i="5" s="1"/>
  <c r="J58" i="1"/>
  <c r="D19" i="2"/>
  <c r="D7" i="5"/>
  <c r="D21" i="2"/>
  <c r="E5" i="5"/>
  <c r="F10" i="5"/>
  <c r="E11" i="5"/>
  <c r="J3" i="1"/>
  <c r="G6" i="2" s="1"/>
  <c r="J63" i="1"/>
  <c r="D20" i="2"/>
  <c r="E21" i="2"/>
  <c r="F22" i="2"/>
  <c r="E6" i="5"/>
  <c r="E20" i="2"/>
  <c r="F21" i="2"/>
  <c r="F6" i="5"/>
  <c r="E7" i="5"/>
  <c r="F7" i="5"/>
  <c r="C13" i="2"/>
  <c r="G13" i="2" s="1"/>
  <c r="D17" i="2"/>
  <c r="E5" i="3"/>
  <c r="F8" i="5"/>
  <c r="G8" i="5" s="1"/>
  <c r="D10" i="5"/>
  <c r="E6" i="3"/>
  <c r="C12" i="2"/>
  <c r="G12" i="2" s="1"/>
  <c r="G6" i="5" l="1"/>
  <c r="G9" i="5"/>
  <c r="G10" i="5"/>
  <c r="G7" i="5"/>
  <c r="G11" i="5"/>
</calcChain>
</file>

<file path=xl/sharedStrings.xml><?xml version="1.0" encoding="utf-8"?>
<sst xmlns="http://schemas.openxmlformats.org/spreadsheetml/2006/main" count="1427" uniqueCount="367">
  <si>
    <t>BASE DE DATOS – ENCUESTA DE SATISFACCIÓN DE CAPACITACIONES</t>
  </si>
  <si>
    <t>Nombre</t>
  </si>
  <si>
    <t>Género</t>
  </si>
  <si>
    <t>Tema Capacitación</t>
  </si>
  <si>
    <t>Interés/Experiencia</t>
  </si>
  <si>
    <t>Expositor</t>
  </si>
  <si>
    <t>Organización/Lugar</t>
  </si>
  <si>
    <t>Score Interés</t>
  </si>
  <si>
    <t>Score Expositor</t>
  </si>
  <si>
    <t>Score Organiz.</t>
  </si>
  <si>
    <t>Prom. Individual</t>
  </si>
  <si>
    <t>Cumplió Expectativas</t>
  </si>
  <si>
    <t>Bryan Andrés Pérez Hernández</t>
  </si>
  <si>
    <t>Hombre</t>
  </si>
  <si>
    <t>Modelo de Negocio / Canvas</t>
  </si>
  <si>
    <t>Excelente</t>
  </si>
  <si>
    <t>Si</t>
  </si>
  <si>
    <t>Gustavo Adolfo Quintero Bacca</t>
  </si>
  <si>
    <t>Buena</t>
  </si>
  <si>
    <t>Karen Raquel Páez Hernández</t>
  </si>
  <si>
    <t>Mujer</t>
  </si>
  <si>
    <t>Yaneiris Rua Quintero</t>
  </si>
  <si>
    <t>Zuly viloria zining</t>
  </si>
  <si>
    <t>Otro</t>
  </si>
  <si>
    <t>Diana Carolina castilla guerrero</t>
  </si>
  <si>
    <t>Fortalecimiento Empresarial</t>
  </si>
  <si>
    <t>Yvonne Gallardo</t>
  </si>
  <si>
    <t>Madelein rosario salas montes</t>
  </si>
  <si>
    <t>Georgeth Samira mata taban</t>
  </si>
  <si>
    <t>Keren carcamo</t>
  </si>
  <si>
    <t>Carmelo Jabid Yanuzi Anaya</t>
  </si>
  <si>
    <t>axel alberto serje quintero</t>
  </si>
  <si>
    <t>Michelle Paola Gomez Herrera</t>
  </si>
  <si>
    <t>Vanessa Esther Montenegro</t>
  </si>
  <si>
    <t>Laura Pineda Niebles</t>
  </si>
  <si>
    <t>Ana Maria Angulo Angulo</t>
  </si>
  <si>
    <t>Arturo Posada</t>
  </si>
  <si>
    <t>Regular</t>
  </si>
  <si>
    <t>Belkis Iraida Laurens Mieles</t>
  </si>
  <si>
    <t>Jossin Alfonso Serrano Cantillo</t>
  </si>
  <si>
    <t>Yaniris Deulofeut Polo</t>
  </si>
  <si>
    <t>Geraldinne Paola Arregui caballero</t>
  </si>
  <si>
    <t>Luz Ely Romero De La Hoz</t>
  </si>
  <si>
    <t>Maria Laura</t>
  </si>
  <si>
    <t>Cleira Andrea Mercado Bermejo</t>
  </si>
  <si>
    <t>Danna Paola de la hoz cera</t>
  </si>
  <si>
    <t>Keinis Maria Rojas Guerra</t>
  </si>
  <si>
    <t>Sandra Milena ríos Camargo</t>
  </si>
  <si>
    <t>Martha Saavedra Arevalo</t>
  </si>
  <si>
    <t>Yamile</t>
  </si>
  <si>
    <t>Anyur Yanina Herrera Polo</t>
  </si>
  <si>
    <t>Adela Esther Guevara Delgado</t>
  </si>
  <si>
    <t>Stefania Fernández</t>
  </si>
  <si>
    <t>Juan Miguel Santana Orozco</t>
  </si>
  <si>
    <t>Aura Esther Jiménez González</t>
  </si>
  <si>
    <t>Francisco Carlos Pérez Díaz</t>
  </si>
  <si>
    <t>Lissette Ramirez Garcia</t>
  </si>
  <si>
    <t>Marjhory López Garcia</t>
  </si>
  <si>
    <t>Rina maolis Peñaloza coronado</t>
  </si>
  <si>
    <t>Saby Esther Oliveros Hernandez</t>
  </si>
  <si>
    <t>Eduvigues Elena serrano zumaque</t>
  </si>
  <si>
    <t>Wilfrido Segundo Acuña Valle</t>
  </si>
  <si>
    <t>Carlysbely Michel Manosalva Medina</t>
  </si>
  <si>
    <t>Katerines milena perez ramos</t>
  </si>
  <si>
    <t>Jahel sanjuanelo paz</t>
  </si>
  <si>
    <t>nelson alberto vega barreto</t>
  </si>
  <si>
    <t>YORIANA EMMUSKA VARGAS DE MOYA</t>
  </si>
  <si>
    <t>Katya grajales</t>
  </si>
  <si>
    <t>Faris Alfonso Medina Torres</t>
  </si>
  <si>
    <t>Martha Marchena Rodríguez</t>
  </si>
  <si>
    <t>IVONNE STELLA MEDINA BALLESTEROS</t>
  </si>
  <si>
    <t>Maryoli natalia Guerrero Gallo</t>
  </si>
  <si>
    <t>Jennifer Paola Sánchez Villegas</t>
  </si>
  <si>
    <t>Alexandra Cruz López</t>
  </si>
  <si>
    <t>Saray Contreras Arroyo</t>
  </si>
  <si>
    <t>IA – Herramientas y Principios</t>
  </si>
  <si>
    <t>Jennifer Paola Patiño Alean</t>
  </si>
  <si>
    <t>Stephany Bula</t>
  </si>
  <si>
    <t>Mailyn Genes Castilla</t>
  </si>
  <si>
    <t>Johana Patricia Díaz Santamaría</t>
  </si>
  <si>
    <t>ALAN CAMPO FERNANDEZ</t>
  </si>
  <si>
    <t>IA – Organización y Datos</t>
  </si>
  <si>
    <t>Andres Rodriguez Perez</t>
  </si>
  <si>
    <t>Antenor Jose Prent Ramirez</t>
  </si>
  <si>
    <t>Ariana Olivero Pacheco</t>
  </si>
  <si>
    <t>Cristian Antonio Solano</t>
  </si>
  <si>
    <t>Daniel Molina Narvaez</t>
  </si>
  <si>
    <t>Carlos Manuel Badillo</t>
  </si>
  <si>
    <t>David Silva Vasquez</t>
  </si>
  <si>
    <t>LICEL BENITEZ YORYO</t>
  </si>
  <si>
    <t>IA – General</t>
  </si>
  <si>
    <t>MARGARITA MORA</t>
  </si>
  <si>
    <t>Heather Peña Orozco</t>
  </si>
  <si>
    <t>Jeiseer de Jesus Wilches</t>
  </si>
  <si>
    <t>José David González P.</t>
  </si>
  <si>
    <t>Juan Luis Campo Simanca</t>
  </si>
  <si>
    <t>Kenny Meza Romero</t>
  </si>
  <si>
    <t>Juan Pablo Gutierrez</t>
  </si>
  <si>
    <t>Joangelis Pérez Rodríguez</t>
  </si>
  <si>
    <t>Anthony Lambertines</t>
  </si>
  <si>
    <t>IA – Redacción de Documentos</t>
  </si>
  <si>
    <t>Adrián Ugarne</t>
  </si>
  <si>
    <t>Ebis Peña</t>
  </si>
  <si>
    <t>Jonathan Herrera Pico</t>
  </si>
  <si>
    <t>Gustavo Ruiz</t>
  </si>
  <si>
    <t>Jennyfer Vargas</t>
  </si>
  <si>
    <t>Edin Byochar</t>
  </si>
  <si>
    <t>Susana Díaz Rojas</t>
  </si>
  <si>
    <t>Ingrid Torres</t>
  </si>
  <si>
    <t>Euclides Gutiérrez</t>
  </si>
  <si>
    <t>Maik Mendoza Redondo</t>
  </si>
  <si>
    <t>Andres Felipe Davila Jimeno</t>
  </si>
  <si>
    <t>Angelys De Jesus Granados Rico</t>
  </si>
  <si>
    <t>Daniela Caballero Pelaez</t>
  </si>
  <si>
    <t>Diomedes GregorioBuelvas Colon</t>
  </si>
  <si>
    <t>Leonardo molina rhenals</t>
  </si>
  <si>
    <t>No</t>
  </si>
  <si>
    <t>Victor manuel Sierra Cabarique</t>
  </si>
  <si>
    <t>Neiver Almarales Buzon</t>
  </si>
  <si>
    <t>Santiago de Jesús Bermeo Castro</t>
  </si>
  <si>
    <t>Stephany Sabrina González Ospina</t>
  </si>
  <si>
    <t>Deyanira Taboada Montes</t>
  </si>
  <si>
    <t>Martha Patricia Name Dominguez</t>
  </si>
  <si>
    <t>Adrianys María Martínez Guerra</t>
  </si>
  <si>
    <t>Ana Isabel Correa Chaves</t>
  </si>
  <si>
    <t>Aury Vanessa requena Ruiz</t>
  </si>
  <si>
    <t>Avley Daniel talero González</t>
  </si>
  <si>
    <t>Camilo Andrés Goez Restrepo</t>
  </si>
  <si>
    <t>Carlos jose Hernández quezada</t>
  </si>
  <si>
    <t>Dahir Antonio Calvo Balza</t>
  </si>
  <si>
    <t>Daniela Patricia Rebolledo carpintero</t>
  </si>
  <si>
    <t>Deysi Jhoana Rodelo Gutiérrez</t>
  </si>
  <si>
    <t>Edwin Miguel Aguilar Zabaleta</t>
  </si>
  <si>
    <t>Eilin adriana García Rodríguez</t>
  </si>
  <si>
    <t>Federico Cervantes Silvera</t>
  </si>
  <si>
    <t>Gabriel Enrique Barraza Díaz</t>
  </si>
  <si>
    <t>Gabriela de Jesús Padilla Cano</t>
  </si>
  <si>
    <t>Jorge Enrique Jiménez Córdoba</t>
  </si>
  <si>
    <t>Julio Rafael Vargas Salgado</t>
  </si>
  <si>
    <t>Kanner david Torres Gutiérrez</t>
  </si>
  <si>
    <t>Katerin andrea Reyes Vásquez</t>
  </si>
  <si>
    <t>Keidimar Guillén Fuenmayor</t>
  </si>
  <si>
    <t>Kevin zamir Ferrer Martínez</t>
  </si>
  <si>
    <t>Nathaly Anghely González Acosta</t>
  </si>
  <si>
    <t>Nikoll Carvajal donado</t>
  </si>
  <si>
    <t>Paula Andrea Rocha Meza</t>
  </si>
  <si>
    <t>Sayoa liseth Mejia Mejia</t>
  </si>
  <si>
    <t>Shiley de Jesús Blanco Barros</t>
  </si>
  <si>
    <t>Stiven David Pallares Porta</t>
  </si>
  <si>
    <t>Valerie maria Thomas Gutiérrez</t>
  </si>
  <si>
    <t>Axel Camilo Field Díaz</t>
  </si>
  <si>
    <t>Dahira ines Burgos Yepes</t>
  </si>
  <si>
    <t>José miguel de la Rosa</t>
  </si>
  <si>
    <t>Juan David De León Meriño</t>
  </si>
  <si>
    <t>Paula Andrea Madariaga gomez</t>
  </si>
  <si>
    <t>liliana alvarez Mercado</t>
  </si>
  <si>
    <t>RESUMEN EJECUTIVO – SATISFACCIÓN DE CAPACITACIONES</t>
  </si>
  <si>
    <t>Programa de Fortalecimiento, Incubación y Apalancamiento | Barranquilla 2026</t>
  </si>
  <si>
    <t>INDICADORES CLAVE DE SATISFACCIÓN</t>
  </si>
  <si>
    <t>TOTAL ENCUESTADOS</t>
  </si>
  <si>
    <t>MUJERES</t>
  </si>
  <si>
    <t>HOMBRES</t>
  </si>
  <si>
    <t>CUMPLIÓ EXPECTATIVAS</t>
  </si>
  <si>
    <t>PROM. GENERAL</t>
  </si>
  <si>
    <t>PROMEDIOS DE SATISFACCIÓN POR DIMENSIÓN</t>
  </si>
  <si>
    <t>Dimensión</t>
  </si>
  <si>
    <t>Promedio</t>
  </si>
  <si>
    <t>% Excelente</t>
  </si>
  <si>
    <t>% Buena</t>
  </si>
  <si>
    <t>% Regular</t>
  </si>
  <si>
    <t>Equivalencia</t>
  </si>
  <si>
    <t>Interés / Experiencia</t>
  </si>
  <si>
    <t>Calificación al Expositor</t>
  </si>
  <si>
    <t>Organización / Lugar</t>
  </si>
  <si>
    <t>RESUMEN POR TEMA – FÓRMULAS COUNTIF / AVERAGEIF</t>
  </si>
  <si>
    <t>Tema</t>
  </si>
  <si>
    <t># Participantes</t>
  </si>
  <si>
    <t>Prom. Interés</t>
  </si>
  <si>
    <t>Prom. Expositor</t>
  </si>
  <si>
    <t>Prom. Organiz.</t>
  </si>
  <si>
    <t>% Expectativas Si</t>
  </si>
  <si>
    <t>ANÁLISIS DE SATISFACCIÓN POR GÉNERO</t>
  </si>
  <si>
    <t>INDICADORES POR GÉNERO – FÓRMULAS COUNTIF / AVERAGEIF</t>
  </si>
  <si>
    <t>Prom. Organización</t>
  </si>
  <si>
    <t>% Expectativas Cumplidas</t>
  </si>
  <si>
    <t>PARTICIPANTES POR TEMA Y GÉNERO – FÓRMULA COUNTIFS</t>
  </si>
  <si>
    <t># Hombres</t>
  </si>
  <si>
    <t># Mujeres</t>
  </si>
  <si>
    <t>Total Tema</t>
  </si>
  <si>
    <t>% Mujeres</t>
  </si>
  <si>
    <t>DISTRIBUCIÓN DETALLADA DE CALIFICACIONES – COUNTIF</t>
  </si>
  <si>
    <t>INTERÉS Y EXPERIENCIA EN LA CAPACITACIÓN</t>
  </si>
  <si>
    <t>Calificación</t>
  </si>
  <si>
    <t># Total</t>
  </si>
  <si>
    <t>% Total</t>
  </si>
  <si>
    <t>% Mujeres del Cat.</t>
  </si>
  <si>
    <t>Deficiente</t>
  </si>
  <si>
    <t>CALIFICACIÓN AL EXPOSITOR</t>
  </si>
  <si>
    <t>ORGANIZACIÓN / LUGAR / PLATAFORMA</t>
  </si>
  <si>
    <t>Organización</t>
  </si>
  <si>
    <t>ANÁLISIS DETALLADO POR TEMA – COUNTIF / AVERAGEIF / COUNTIFS</t>
  </si>
  <si>
    <t>TABLA MAESTRA POR TEMA</t>
  </si>
  <si>
    <t># Part.</t>
  </si>
  <si>
    <t>Prom. General</t>
  </si>
  <si>
    <t># Expectativas Si</t>
  </si>
  <si>
    <t>% Expectativas</t>
  </si>
  <si>
    <t>TOTAL GENERAL</t>
  </si>
  <si>
    <t>TEMAS SUGERIDOS POR PARTICIPANTES</t>
  </si>
  <si>
    <t>Sugerencia</t>
  </si>
  <si>
    <t xml:space="preserve">Karen Raquel Páez Hernández </t>
  </si>
  <si>
    <t xml:space="preserve">Finanzas </t>
  </si>
  <si>
    <t xml:space="preserve">Zuly viloria zining </t>
  </si>
  <si>
    <t xml:space="preserve">Estrategia de marketing </t>
  </si>
  <si>
    <t xml:space="preserve">Madelein rosario salas montes </t>
  </si>
  <si>
    <t xml:space="preserve">Servicio al cliente </t>
  </si>
  <si>
    <t xml:space="preserve">Georgeth Samira mata taban </t>
  </si>
  <si>
    <t>Mejoramiento de ventas</t>
  </si>
  <si>
    <t>Sobre cómo podemos mostrar nuestro negocio en redes sociales de manera efectiva q hacer? Cómo?</t>
  </si>
  <si>
    <t xml:space="preserve">Carmelo Jabid Yanuzi Anaya </t>
  </si>
  <si>
    <t xml:space="preserve">Marketing digital </t>
  </si>
  <si>
    <t>SEGUIR APOYANDO Y APORTANDO AL CRECIMIENTO EMPRESARIAL Y APOYO A LOS EMPRENDEDORES</t>
  </si>
  <si>
    <t xml:space="preserve">Michelle Paola Gomez Herrera </t>
  </si>
  <si>
    <t>finanzas para emprendedores, programas o aplicaciones para llevar la contabilidad del negocio de forma practica y segura</t>
  </si>
  <si>
    <t xml:space="preserve">Vanessa Esther Montenegro </t>
  </si>
  <si>
    <t>Organización del negocio en finanzas</t>
  </si>
  <si>
    <t>Posibilidad de feria de emprendimiento para impulsar las ideas.</t>
  </si>
  <si>
    <t xml:space="preserve">Arturo Posada </t>
  </si>
  <si>
    <t xml:space="preserve">Sugiero que las charlas o capacitaciones sean presenciales mejor porque es muy complicado el tema de la virtualidad por el internet, concentración y otros factores </t>
  </si>
  <si>
    <t>Liderazgo</t>
  </si>
  <si>
    <t xml:space="preserve">Geraldinne Paola Arregui caballero </t>
  </si>
  <si>
    <t>Marketing digital</t>
  </si>
  <si>
    <t>El tema psicológico y emocional del emprendedor, fortalecer el Ser, emprender es muy duro más cuando no tienes apoyo emocional, financiero…</t>
  </si>
  <si>
    <t xml:space="preserve">Sandra Milena ríos Camargo </t>
  </si>
  <si>
    <t xml:space="preserve">Martha Saavedra Arevalo </t>
  </si>
  <si>
    <t xml:space="preserve">Como sacar los presupuestos de cobro y ganancias </t>
  </si>
  <si>
    <t xml:space="preserve">Yamile </t>
  </si>
  <si>
    <t>Marketing,  manejo de rede sociales</t>
  </si>
  <si>
    <t xml:space="preserve">Anyur Yanina Herrera Polo </t>
  </si>
  <si>
    <t xml:space="preserve">Creación de campañas de publicidad </t>
  </si>
  <si>
    <t xml:space="preserve">Stefania Fernández </t>
  </si>
  <si>
    <t xml:space="preserve">Organización en la estructura de negocios </t>
  </si>
  <si>
    <t xml:space="preserve">Aura Esther Jiménez González </t>
  </si>
  <si>
    <t xml:space="preserve">Atención al cliente </t>
  </si>
  <si>
    <t xml:space="preserve">Francisco Carlos Pérez Díaz </t>
  </si>
  <si>
    <t xml:space="preserve">Otros temas serían fortalecimiento de cada unidad productiva </t>
  </si>
  <si>
    <t xml:space="preserve">Rina maolis Peñaloza coronado </t>
  </si>
  <si>
    <t xml:space="preserve">El arte de vender </t>
  </si>
  <si>
    <t xml:space="preserve">Jossin Alfonso Serrano Cantillo </t>
  </si>
  <si>
    <t>Liderazgo y expresión verbal y oral.</t>
  </si>
  <si>
    <t>financiación de emprendimiento</t>
  </si>
  <si>
    <t xml:space="preserve">Carlysbely Michel Manosalva Medina </t>
  </si>
  <si>
    <t xml:space="preserve">Me gustaría hablar más sobre los números y la rentabilidad de los emprendimientos, cómo saber si estamos siendo rentables, saber cómo invertir, etc... </t>
  </si>
  <si>
    <t xml:space="preserve">Katerines milena perez ramos </t>
  </si>
  <si>
    <t>Sobre las marcas y logos</t>
  </si>
  <si>
    <t xml:space="preserve">manejo de las redes sociales </t>
  </si>
  <si>
    <t xml:space="preserve">creación de marca propia y desarrollo de ideas innovadoras. </t>
  </si>
  <si>
    <t>Usos de recursos como meet debido a que hay varios participantes con falencias en el manejo de la herramienta.</t>
  </si>
  <si>
    <t xml:space="preserve">IVONNE STELLA MEDINA BALLESTEROS </t>
  </si>
  <si>
    <t>Estrategias de mercado</t>
  </si>
  <si>
    <t xml:space="preserve">Jennifer Paola Sánchez Villegas </t>
  </si>
  <si>
    <t xml:space="preserve">Creo q es un  programa completo </t>
  </si>
  <si>
    <t xml:space="preserve">Finanzas rápidas con IA </t>
  </si>
  <si>
    <t>sobre ia aplicada a programación de computadoras</t>
  </si>
  <si>
    <t>TEMAS DE INNOVACIÓN TECNOLOGICAS</t>
  </si>
  <si>
    <t>QUIER APRENDER LEARNING MACHINE, ANALISIS PREDICTIVOS, APRENDIZAJE AUTOMATICO Y OTRAS TECNOLOGIAS</t>
  </si>
  <si>
    <t>CREACION DE SOFTWARE</t>
  </si>
  <si>
    <t>CIBERSEGURIDAD</t>
  </si>
  <si>
    <t>CIBERSEGURIDAD PERSONAL</t>
  </si>
  <si>
    <t>IA PARA PROTECCION DE DATOS PERSONALES</t>
  </si>
  <si>
    <t xml:space="preserve">VENTAJAS Y DESVENTAJAS DE LA INTELIGENCIA ARTIFICIAL EN MEDIO ELECTRONICO PARA LOS JOVENES DE LAS INSTITUCIONES. </t>
  </si>
  <si>
    <t>quiere seguir profundizando en ia, en analisis de datos Y phyton</t>
  </si>
  <si>
    <t>ia para proyectos y lenguaje de programación</t>
  </si>
  <si>
    <t>profundizar en ia</t>
  </si>
  <si>
    <t>ia para programar y analisis de datos</t>
  </si>
  <si>
    <t>PROFUNDIZAR EN IA PARA CASOS REALES Y EMPRESIALES PRACTICOS</t>
  </si>
  <si>
    <t>INTELIGENCIA ARTIFICIAL EN ENTORNO CON LA TECNOLOGIA Y LA HUMANIDAD</t>
  </si>
  <si>
    <t>INTELIGENCIA ARTIFICIAL EN UN FUTURO PARA CON EL EMPLEO DIGITAL</t>
  </si>
  <si>
    <t>SEGURIDAD DIGITAL</t>
  </si>
  <si>
    <t>CREAR PRODUCTOS CON IA Y ANALISIS CON IA</t>
  </si>
  <si>
    <t>TEMAS DE DERECHO Y LEGALES CON IA PARA EMPRENDER</t>
  </si>
  <si>
    <t xml:space="preserve">PROFUNDIZAR MAS EN IA </t>
  </si>
  <si>
    <t>PROGRAMACION E INTEGRACION DE DATOS, JAVA Y PHYTON</t>
  </si>
  <si>
    <t xml:space="preserve">Stephany Sabrina González Ospina </t>
  </si>
  <si>
    <t>La seguridad de datos</t>
  </si>
  <si>
    <t>aprendar y profundizar en ia</t>
  </si>
  <si>
    <t>ia aplicada a procesos logisticos</t>
  </si>
  <si>
    <t>aprender programacion y software</t>
  </si>
  <si>
    <t>mejoramineto de promt en ia</t>
  </si>
  <si>
    <t>Profundizar en promt de ia</t>
  </si>
  <si>
    <t>Mejorar opciones de la ia, no solo chat gpt y quiere aprender diseño grafico con ia</t>
  </si>
  <si>
    <t>profundizar los promt de ia e interactuar eficazmente</t>
  </si>
  <si>
    <t>profundizar en opciones de ia y prompt</t>
  </si>
  <si>
    <t>profundizar en ia y tecnologias</t>
  </si>
  <si>
    <t>mejorar el uso efectivo del prompt</t>
  </si>
  <si>
    <t>profundizar en herramientas de ia</t>
  </si>
  <si>
    <t>profundizar en las aplicaciones de la ia</t>
  </si>
  <si>
    <t>profundizar mas en otras ia</t>
  </si>
  <si>
    <t>creacion de video con ia</t>
  </si>
  <si>
    <t xml:space="preserve"> poco confianza y seguridad del expositor en el tema y el manejo de las diapositivas no fue el mejor, actividad poco participativa. mal manejo de la exposicion ante el publico</t>
  </si>
  <si>
    <t>aprender power BI</t>
  </si>
  <si>
    <t>profundizar ia en sector empresarial</t>
  </si>
  <si>
    <t>desorden al inico del curso, salon no era y ademas plataforma e internet lento</t>
  </si>
  <si>
    <t>profundizar la interaccion con la ia</t>
  </si>
  <si>
    <t>trabajo en equipo en ambientes tecnologicos</t>
  </si>
  <si>
    <t>sostenibilidad empresarial</t>
  </si>
  <si>
    <t>aprendizaje del idioma ingles</t>
  </si>
  <si>
    <t>capacitacion con pocas personas, demorada para empezar por el aforo y no llamaron para confirmar la asistencia, poco tiempo de aprendizaje</t>
  </si>
  <si>
    <t>Categoría Temática</t>
  </si>
  <si>
    <t># Menciones Aprox.</t>
  </si>
  <si>
    <t>Marketing Digital / Redes Sociales</t>
  </si>
  <si>
    <t>Finanzas / Rentabilidad / Inversión</t>
  </si>
  <si>
    <t>IA Avanzada (ML, Python, Data)</t>
  </si>
  <si>
    <t>Ventas / Atención al Cliente</t>
  </si>
  <si>
    <t>Liderazgo / Habilidades Blandas</t>
  </si>
  <si>
    <t>Ciberseguridad / Seguridad Digital</t>
  </si>
  <si>
    <t>Otros temas específicos</t>
  </si>
  <si>
    <t>GUÍA COMPLETA DE FÓRMULAS UTILIZADAS</t>
  </si>
  <si>
    <t>Fórmula / Función</t>
  </si>
  <si>
    <t>Sintaxis Ejemplo</t>
  </si>
  <si>
    <t>Qué calcula / Para qué sirve</t>
  </si>
  <si>
    <t>IF anidado (Score)</t>
  </si>
  <si>
    <t>'=IF(D3="Excelente",3,IF(D3="Buena",2,IF(D3="Regular",1,IF(D3="Deficiente",0,""))))</t>
  </si>
  <si>
    <t>Convierte calificación de texto a número (Excelente=3, Buena=2, Regular=1, Deficiente=0). Usado en cols G, H, I de la hoja Datos Base.</t>
  </si>
  <si>
    <t>IFERROR</t>
  </si>
  <si>
    <t>'=IFERROR(AVERAGE(G3:I3),"")</t>
  </si>
  <si>
    <t>Convierte calificacion de texto a numero (Excelente=3, Buena=2, Regular=1, Deficiente=0). Usado en columnas G, H, I de la hoja Datos Base.</t>
  </si>
  <si>
    <t>AVERAGE</t>
  </si>
  <si>
    <t>'=AVERAGE(G3:I3)</t>
  </si>
  <si>
    <t>Promedio de los 3 scores (Interés, Expositor, Organización) de cada persona. Columna J = promedio individual.</t>
  </si>
  <si>
    <t>COUNTA</t>
  </si>
  <si>
    <t>'=COUNTA('1. Datos Base'!A3:A134)</t>
  </si>
  <si>
    <t>Cuenta todas las celdas no vacías. Usado para obtener el total de encuestados (ignora blancos).</t>
  </si>
  <si>
    <t>COUNTIF</t>
  </si>
  <si>
    <t>'=COUNTIF('1. Datos Base'!B3:B134,"Mujer")</t>
  </si>
  <si>
    <t>Cuenta celdas que cumplen UNA condición. Ej: cuántas mujeres, cuántas calificaciones 'Excelente' en una columna.</t>
  </si>
  <si>
    <t>COUNTIFS</t>
  </si>
  <si>
    <t>'=COUNTIFS('1. Datos Base'!B3:B134,"Mujer",'1. Datos Base'!K3:K134,"Si")</t>
  </si>
  <si>
    <t>Cuenta celdas que cumplen DOS o más condiciones. Ej: mujeres que dijeron 'Si' a expectativas cumplidas.</t>
  </si>
  <si>
    <t>AVERAGEIF</t>
  </si>
  <si>
    <t>'=AVERAGEIF('1. Datos Base'!C3:C134,"Modelo de Negocio / Canvas",'1. Datos Base'!G3:G134)</t>
  </si>
  <si>
    <t>Promedio condicional: calcula el promedio de scores SOLO para filas donde el Tema coincide con el criterio. Un rango para condición, otro para promediar.</t>
  </si>
  <si>
    <t>% de Total (ratio)</t>
  </si>
  <si>
    <t>'=C6/$B6</t>
  </si>
  <si>
    <t>Divide participantes de un grupo entre el total. Se usa para calcular % de mujeres, % por tema, etc. El $ fija la celda del denominador.</t>
  </si>
  <si>
    <t>% Expectativas cumplidas</t>
  </si>
  <si>
    <t>'=IFERROR(COUNTIFS(tema,"X",expectativas,"Si")/COUNTIF(tema,"X"),"")</t>
  </si>
  <si>
    <t>Cuántas personas del tema X dijeron 'Si' dividido entre total de participantes del tema X. Combina COUNTIFS y COUNTIF.</t>
  </si>
  <si>
    <t>IF de equivalencia</t>
  </si>
  <si>
    <t>'=IF(C11&gt;=2.7,"⭐ Excelente",IF(C11&gt;=1.7,"👍 Buena","⚠ Regular"))</t>
  </si>
  <si>
    <t>Convierte el promedio numérico a etiqueta de texto. Si ≥2.7 = Excelente, ≥1.7 = Buena, resto = Regular.</t>
  </si>
  <si>
    <t>SUM de fila de totales</t>
  </si>
  <si>
    <t>'=SUM(C5:C11)</t>
  </si>
  <si>
    <t>Suma todos los participantes de cada tema para obtener el total general en la fila de totales.</t>
  </si>
  <si>
    <t xml:space="preserve">CATEGORIZACIÓN Y CONTEO DE SUGERENCIAS </t>
  </si>
  <si>
    <t>ANÁLISIS NARRATIVO Y CONCLUSIONES</t>
  </si>
  <si>
    <t>CONTEXTO GENERAL</t>
  </si>
  <si>
    <t>Se analizaron 132 respuestas de la Encuesta de Satisfacción de Capacitaciones del Programa de Fortalecimiento, Incubación y Apalancamiento de Barranquilla. Las encuestas corresponden a sesiones realizadas entre marzo y abril de 2026 en seis categorías temáticas principales.</t>
  </si>
  <si>
    <t>PARTICIPACIÓN POR GÉNERO</t>
  </si>
  <si>
    <t>SATISFACCIÓN GENERAL</t>
  </si>
  <si>
    <t>ANÁLISIS POR TEMA</t>
  </si>
  <si>
    <t>HALLAZGOS CLAVE</t>
  </si>
  <si>
    <t>1. Las capacitaciones de IA fueron las más solicitadas, con un interés creciente en profundizar en herramientas avanzadas (Machine Learning, Python, análisis de datos).
2. Los temas de Marketing Digital y Finanzas son los más demandados como contenido futuro.
3. Algunas sesiones del bloque 'IA – Herramientas y Principios' (Nodo SENA Logística) recibieron críticas sobre organización del espacio, puntualidad y competencia percibida del expositor.
4. La satisfacción general es muy alta (&gt;90% cumplió expectativas) lo que refleja un programa bien estructurado y relevante.</t>
  </si>
  <si>
    <t>RECOMENDACIONES</t>
  </si>
  <si>
    <t>• Incorporar módulos de Marketing Digital y Finanzas para Emprendedores en la próxima versión del programa.
• Reforzar la capacitación de expositores en sesiones de IA aplicada, asegurando dominio técnico y metodología participativa.
• Mejorar la logística de los espacios físicos, especialmente en sesiones con mayor aforo.
• Mantener la modalidad mixta (presencial y virtual) pero garantizar conectividad adecuada para sesiones virtuales.
• Crear sesiones de seguimiento o nivel avanzado para los temas de IA, dado el alto interés en profundización.</t>
  </si>
  <si>
    <t>El 60% de los participantes son mujeres (78 personas) y el 40% son hombres (54 personas). Esto refleja una mayor participación femenina en los programas de capacitación, lo que puede indicar un mayor interés de las mujeres en los procesos de emprendimiento o un alcance diferenciado en las convocatorias.</t>
  </si>
  <si>
    <t>El 95.5% de los encuestados (126 personas) indicó que la capacitación cumplió sus expectativas. El promedio general de interés/experiencia fue 2.77, el del expositor 2.61, y el de organización/lugar 2.50. La dimensión mejor evaluada fue el interés generado en los participantes, mientras que la organización/lugar presentó mayor dispersión.</t>
  </si>
  <si>
    <t>Modelo de Negocio/Canvas: Con 22 participantes, obtuvo un promedio general de 2.71. Muy bien valorado del 95,5%
Fortalecimiento Empresarial: 30 participantes, promedio 2.76 y 100% de expectativas cumplidas. Alta satisfaciòn en general.
IA – Herramientas y Principios: La sesión más extensa con 40 participantes presentó el promedio más bajo (2.41) y algunas observaciones críticas relacionadas con la organización del espacio y el manejo del expositor.
IA – Organización y Datos: 23 participantes con promedio de 2.68/3. Muy positivo con algunas solicitudes de mayor profundización.
IA – Redacción: 6 participantes con promedio de 2.78 y 100% de expectativas cumplidas.
IA – General: 8 participantes con el promedio más alto (2.88).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</si>
</sst>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9" x14ac:knownFonts="1">
    <font>
      <sz val="11"/>
      <color theme="1"/>
      <name val="Calibri"/>
      <family val="2"/>
      <charset val="1"/>
    </font>
    <font>
      <b/>
      <sz val="13"/>
      <color rgb="FFFFFFFF"/>
      <name val="Arial"/>
      <charset val="1"/>
    </font>
    <font>
      <b/>
      <sz val="9"/>
      <color rgb="FFFFFFFF"/>
      <name val="Arial"/>
      <charset val="1"/>
    </font>
    <font>
      <sz val="9"/>
      <color rgb="FF000000"/>
      <name val="Arial"/>
      <charset val="1"/>
    </font>
    <font>
      <sz val="9"/>
      <color rgb="FF2E6DA4"/>
      <name val="Arial"/>
      <charset val="1"/>
    </font>
    <font>
      <b/>
      <sz val="9"/>
      <color rgb="FF217346"/>
      <name val="Arial"/>
      <charset val="1"/>
    </font>
    <font>
      <sz val="9"/>
      <color rgb="FF217346"/>
      <name val="Arial"/>
      <charset val="1"/>
    </font>
    <font>
      <sz val="9"/>
      <color rgb="FF5B2D8E"/>
      <name val="Arial"/>
      <charset val="1"/>
    </font>
    <font>
      <b/>
      <sz val="9"/>
      <color rgb="FFC0392B"/>
      <name val="Arial"/>
      <charset val="1"/>
    </font>
    <font>
      <sz val="9"/>
      <color rgb="FFC0392B"/>
      <name val="Arial"/>
      <charset val="1"/>
    </font>
    <font>
      <i/>
      <sz val="9"/>
      <color rgb="FF1B3A5C"/>
      <name val="Arial"/>
      <charset val="1"/>
    </font>
    <font>
      <b/>
      <sz val="14"/>
      <color rgb="FFFFFFFF"/>
      <name val="Arial"/>
      <charset val="1"/>
    </font>
    <font>
      <i/>
      <sz val="10"/>
      <color rgb="FFFFFFFF"/>
      <name val="Arial"/>
      <charset val="1"/>
    </font>
    <font>
      <b/>
      <sz val="11"/>
      <color rgb="FF1B3A5C"/>
      <name val="Arial"/>
      <charset val="1"/>
    </font>
    <font>
      <b/>
      <sz val="8"/>
      <color rgb="FFFFFFFF"/>
      <name val="Arial"/>
      <charset val="1"/>
    </font>
    <font>
      <b/>
      <sz val="14"/>
      <color rgb="FF2E6DA4"/>
      <name val="Arial"/>
      <charset val="1"/>
    </font>
    <font>
      <b/>
      <sz val="14"/>
      <color rgb="FF5B2D8E"/>
      <name val="Arial"/>
      <charset val="1"/>
    </font>
    <font>
      <b/>
      <sz val="14"/>
      <color rgb="FF217346"/>
      <name val="Arial"/>
      <charset val="1"/>
    </font>
    <font>
      <b/>
      <sz val="14"/>
      <color rgb="FFE67E22"/>
      <name val="Arial"/>
      <charset val="1"/>
    </font>
    <font>
      <sz val="10"/>
      <color rgb="FF000000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b/>
      <sz val="10"/>
      <color rgb="FF2E6DA4"/>
      <name val="Arial"/>
      <charset val="1"/>
    </font>
    <font>
      <b/>
      <sz val="10"/>
      <color rgb="FF5B2D8E"/>
      <name val="Arial"/>
      <charset val="1"/>
    </font>
    <font>
      <b/>
      <sz val="10"/>
      <color rgb="FF217346"/>
      <name val="Arial"/>
      <charset val="1"/>
    </font>
    <font>
      <b/>
      <sz val="10"/>
      <color rgb="FFE67E22"/>
      <name val="Arial"/>
      <charset val="1"/>
    </font>
    <font>
      <b/>
      <sz val="10"/>
      <color rgb="FFC0392B"/>
      <name val="Arial"/>
      <charset val="1"/>
    </font>
    <font>
      <b/>
      <sz val="10"/>
      <color rgb="FF1B3A5C"/>
      <name val="Arial"/>
      <charset val="1"/>
    </font>
    <font>
      <sz val="9"/>
      <color rgb="FF7B2C8E"/>
      <name val="Courier New"/>
      <charset val="1"/>
    </font>
  </fonts>
  <fills count="11">
    <fill>
      <patternFill patternType="none"/>
    </fill>
    <fill>
      <patternFill patternType="gray125"/>
    </fill>
    <fill>
      <patternFill patternType="solid">
        <fgColor rgb="FF1B3A5C"/>
        <bgColor rgb="FF333333"/>
      </patternFill>
    </fill>
    <fill>
      <patternFill patternType="solid">
        <fgColor rgb="FF2E6DA4"/>
        <bgColor rgb="FF4F81BD"/>
      </patternFill>
    </fill>
    <fill>
      <patternFill patternType="solid">
        <fgColor rgb="FFD6E4F0"/>
        <bgColor rgb="FFD9D9D9"/>
      </patternFill>
    </fill>
    <fill>
      <patternFill patternType="solid">
        <fgColor rgb="FFFFF2CC"/>
        <bgColor rgb="FFF9F9F9"/>
      </patternFill>
    </fill>
    <fill>
      <patternFill patternType="solid">
        <fgColor rgb="FFFFFFFF"/>
        <bgColor rgb="FFF9F9F9"/>
      </patternFill>
    </fill>
    <fill>
      <patternFill patternType="solid">
        <fgColor rgb="FF5B2D8E"/>
        <bgColor rgb="FF7B2C8E"/>
      </patternFill>
    </fill>
    <fill>
      <patternFill patternType="solid">
        <fgColor rgb="FF217346"/>
        <bgColor rgb="FF008080"/>
      </patternFill>
    </fill>
    <fill>
      <patternFill patternType="solid">
        <fgColor rgb="FFE67E22"/>
        <bgColor rgb="FFFF9900"/>
      </patternFill>
    </fill>
    <fill>
      <patternFill patternType="solid">
        <fgColor rgb="FFF5F5F5"/>
        <bgColor rgb="FFF9F9F9"/>
      </patternFill>
    </fill>
  </fills>
  <borders count="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0" fillId="3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Border="1" applyAlignment="1"/>
    <xf numFmtId="0" fontId="12" fillId="3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2" fontId="3" fillId="5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1" fontId="15" fillId="0" borderId="1" xfId="0" applyNumberFormat="1" applyFont="1" applyBorder="1" applyAlignment="1">
      <alignment horizontal="center" vertical="center" wrapText="1"/>
    </xf>
    <xf numFmtId="1" fontId="16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2" fontId="18" fillId="0" borderId="1" xfId="0" applyNumberFormat="1" applyFont="1" applyBorder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2" fontId="19" fillId="4" borderId="1" xfId="0" applyNumberFormat="1" applyFont="1" applyFill="1" applyBorder="1" applyAlignment="1">
      <alignment horizontal="center" vertical="center" wrapText="1"/>
    </xf>
    <xf numFmtId="164" fontId="19" fillId="4" borderId="1" xfId="0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left" vertical="center" wrapText="1"/>
    </xf>
    <xf numFmtId="2" fontId="19" fillId="6" borderId="1" xfId="0" applyNumberFormat="1" applyFont="1" applyFill="1" applyBorder="1" applyAlignment="1">
      <alignment horizontal="center" vertical="center" wrapText="1"/>
    </xf>
    <xf numFmtId="164" fontId="19" fillId="6" borderId="1" xfId="0" applyNumberFormat="1" applyFont="1" applyFill="1" applyBorder="1" applyAlignment="1">
      <alignment horizontal="center" vertical="center" wrapText="1"/>
    </xf>
    <xf numFmtId="0" fontId="19" fillId="6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1" fontId="19" fillId="4" borderId="1" xfId="0" applyNumberFormat="1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left" vertical="center" wrapText="1"/>
    </xf>
    <xf numFmtId="1" fontId="19" fillId="6" borderId="1" xfId="0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1" fontId="0" fillId="0" borderId="0" xfId="0" applyNumberFormat="1" applyAlignment="1"/>
    <xf numFmtId="0" fontId="20" fillId="2" borderId="1" xfId="0" applyFont="1" applyFill="1" applyBorder="1" applyAlignment="1">
      <alignment horizontal="left" vertical="center" wrapText="1"/>
    </xf>
    <xf numFmtId="1" fontId="20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/>
    <xf numFmtId="0" fontId="27" fillId="4" borderId="1" xfId="0" applyFont="1" applyFill="1" applyBorder="1" applyAlignment="1">
      <alignment horizontal="left" vertical="center" wrapText="1"/>
    </xf>
    <xf numFmtId="0" fontId="28" fillId="5" borderId="1" xfId="0" applyFont="1" applyFill="1" applyBorder="1" applyAlignment="1">
      <alignment horizontal="left" vertical="top" wrapText="1"/>
    </xf>
    <xf numFmtId="0" fontId="19" fillId="4" borderId="1" xfId="0" applyFont="1" applyFill="1" applyBorder="1" applyAlignment="1">
      <alignment horizontal="left" vertical="top" wrapText="1"/>
    </xf>
    <xf numFmtId="0" fontId="27" fillId="6" borderId="1" xfId="0" applyFont="1" applyFill="1" applyBorder="1" applyAlignment="1">
      <alignment horizontal="left" vertical="center" wrapText="1"/>
    </xf>
    <xf numFmtId="0" fontId="19" fillId="6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20" fillId="3" borderId="0" xfId="0" applyFont="1" applyFill="1" applyAlignment="1">
      <alignment horizontal="left" vertical="center" wrapText="1"/>
    </xf>
    <xf numFmtId="0" fontId="19" fillId="10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217346"/>
      <rgbColor rgb="FFBFBFBF"/>
      <rgbColor rgb="FF878787"/>
      <rgbColor rgb="FF9999FF"/>
      <rgbColor rgb="FF7B2C8E"/>
      <rgbColor rgb="FFFFF2CC"/>
      <rgbColor rgb="FFD6E4F0"/>
      <rgbColor rgb="FF660066"/>
      <rgbColor rgb="FFFF8080"/>
      <rgbColor rgb="FF2E6DA4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9F9F9"/>
      <rgbColor rgb="FFCCFFCC"/>
      <rgbColor rgb="FFFFFF99"/>
      <rgbColor rgb="FF99CCFF"/>
      <rgbColor rgb="FFFF99CC"/>
      <rgbColor rgb="FFCC99FF"/>
      <rgbColor rgb="FFFFCC99"/>
      <rgbColor rgb="FF4F81BD"/>
      <rgbColor rgb="FF33CCCC"/>
      <rgbColor rgb="FF9BBB59"/>
      <rgbColor rgb="FFFFCC00"/>
      <rgbColor rgb="FFFF9900"/>
      <rgbColor rgb="FFE67E22"/>
      <rgbColor rgb="FF8064A2"/>
      <rgbColor rgb="FF969696"/>
      <rgbColor rgb="FF1B3A5C"/>
      <rgbColor rgb="FF339966"/>
      <rgbColor rgb="FF003300"/>
      <rgbColor rgb="FF333300"/>
      <rgbColor rgb="FFC0392B"/>
      <rgbColor rgb="FFC0504D"/>
      <rgbColor rgb="FF5B2D8E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Participantes por Tema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'2. Resumen Ejecutivo'!$C$16</c:f>
              <c:strCache>
                <c:ptCount val="1"/>
                <c:pt idx="0">
                  <c:v># Participantes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Resumen Ejecutivo'!$B$17:$B$23</c:f>
              <c:strCache>
                <c:ptCount val="7"/>
                <c:pt idx="0">
                  <c:v>Fortalecimiento Empresarial</c:v>
                </c:pt>
                <c:pt idx="1">
                  <c:v>IA – General</c:v>
                </c:pt>
                <c:pt idx="2">
                  <c:v>IA – Herramientas y Principios</c:v>
                </c:pt>
                <c:pt idx="3">
                  <c:v>IA – Organización y Datos</c:v>
                </c:pt>
                <c:pt idx="4">
                  <c:v>IA – Redacción de Documentos</c:v>
                </c:pt>
                <c:pt idx="5">
                  <c:v>Modelo de Negocio / Canvas</c:v>
                </c:pt>
                <c:pt idx="6">
                  <c:v>Otro</c:v>
                </c:pt>
              </c:strCache>
            </c:strRef>
          </c:cat>
          <c:val>
            <c:numRef>
              <c:f>'2. Resumen Ejecutivo'!$C$17:$C$23</c:f>
              <c:numCache>
                <c:formatCode>0</c:formatCode>
                <c:ptCount val="7"/>
                <c:pt idx="0">
                  <c:v>30</c:v>
                </c:pt>
                <c:pt idx="1">
                  <c:v>8</c:v>
                </c:pt>
                <c:pt idx="2">
                  <c:v>40</c:v>
                </c:pt>
                <c:pt idx="3">
                  <c:v>22</c:v>
                </c:pt>
                <c:pt idx="4">
                  <c:v>6</c:v>
                </c:pt>
                <c:pt idx="5">
                  <c:v>22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E6-4051-BE37-BA3A30B10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149438"/>
        <c:axId val="92776967"/>
      </c:barChart>
      <c:catAx>
        <c:axId val="14149438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92776967"/>
        <c:crosses val="autoZero"/>
        <c:auto val="1"/>
        <c:lblAlgn val="ctr"/>
        <c:lblOffset val="100"/>
        <c:noMultiLvlLbl val="0"/>
      </c:catAx>
      <c:valAx>
        <c:axId val="92776967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# Participantes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1414943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% Expectativas Cumplidas por Tema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'2. Resumen Ejecutivo'!$G$16</c:f>
              <c:strCache>
                <c:ptCount val="1"/>
                <c:pt idx="0">
                  <c:v>% Expectativas Si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Resumen Ejecutivo'!$B$17:$B$23</c:f>
              <c:strCache>
                <c:ptCount val="7"/>
                <c:pt idx="0">
                  <c:v>Fortalecimiento Empresarial</c:v>
                </c:pt>
                <c:pt idx="1">
                  <c:v>IA – General</c:v>
                </c:pt>
                <c:pt idx="2">
                  <c:v>IA – Herramientas y Principios</c:v>
                </c:pt>
                <c:pt idx="3">
                  <c:v>IA – Organización y Datos</c:v>
                </c:pt>
                <c:pt idx="4">
                  <c:v>IA – Redacción de Documentos</c:v>
                </c:pt>
                <c:pt idx="5">
                  <c:v>Modelo de Negocio / Canvas</c:v>
                </c:pt>
                <c:pt idx="6">
                  <c:v>Otro</c:v>
                </c:pt>
              </c:strCache>
            </c:strRef>
          </c:cat>
          <c:val>
            <c:numRef>
              <c:f>'2. Resumen Ejecutivo'!$G$17:$G$23</c:f>
              <c:numCache>
                <c:formatCode>0.0%</c:formatCode>
                <c:ptCount val="7"/>
                <c:pt idx="0">
                  <c:v>1</c:v>
                </c:pt>
                <c:pt idx="1">
                  <c:v>1</c:v>
                </c:pt>
                <c:pt idx="2">
                  <c:v>0.9</c:v>
                </c:pt>
                <c:pt idx="3">
                  <c:v>0.95454545454545459</c:v>
                </c:pt>
                <c:pt idx="4">
                  <c:v>1</c:v>
                </c:pt>
                <c:pt idx="5">
                  <c:v>0.95454545454545459</c:v>
                </c:pt>
                <c:pt idx="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8F-4080-9735-B84418DBA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6792219"/>
        <c:axId val="36025566"/>
      </c:barChart>
      <c:catAx>
        <c:axId val="26792219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36025566"/>
        <c:crosses val="autoZero"/>
        <c:auto val="1"/>
        <c:lblAlgn val="ctr"/>
        <c:lblOffset val="100"/>
        <c:noMultiLvlLbl val="0"/>
      </c:catAx>
      <c:valAx>
        <c:axId val="36025566"/>
        <c:scaling>
          <c:orientation val="minMax"/>
        </c:scaling>
        <c:delete val="1"/>
        <c:axPos val="b"/>
        <c:numFmt formatCode="0%" sourceLinked="0"/>
        <c:majorTickMark val="none"/>
        <c:minorTickMark val="none"/>
        <c:tickLblPos val="nextTo"/>
        <c:crossAx val="2679221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Distribución por Género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strRef>
              <c:f>'3. Análisis por Género'!$C$4</c:f>
              <c:strCache>
                <c:ptCount val="1"/>
                <c:pt idx="0">
                  <c:v># Participantes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dPt>
            <c:idx val="0"/>
            <c:bubble3D val="0"/>
            <c:spPr>
              <a:solidFill>
                <a:srgbClr val="4F81BD"/>
              </a:solidFill>
              <a:ln w="9360">
                <a:solidFill>
                  <a:srgbClr val="F9F9F9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1-1363-4D36-A611-00A4D274CC5E}"/>
              </c:ext>
            </c:extLst>
          </c:dPt>
          <c:dPt>
            <c:idx val="1"/>
            <c:bubble3D val="0"/>
            <c:spPr>
              <a:solidFill>
                <a:srgbClr val="C0504D"/>
              </a:solidFill>
              <a:ln w="9360">
                <a:solidFill>
                  <a:srgbClr val="F9F9F9"/>
                </a:solidFill>
                <a:round/>
              </a:ln>
            </c:spPr>
            <c:extLst>
              <c:ext xmlns:c16="http://schemas.microsoft.com/office/drawing/2014/chart" uri="{C3380CC4-5D6E-409C-BE32-E72D297353CC}">
                <c16:uniqueId val="{00000003-1363-4D36-A611-00A4D274CC5E}"/>
              </c:ext>
            </c:extLst>
          </c:dPt>
          <c:dLbls>
            <c:dLbl>
              <c:idx val="0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1"/>
              <c:showBubbleSize val="0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363-4D36-A611-00A4D274CC5E}"/>
                </c:ext>
              </c:extLst>
            </c:dLbl>
            <c:dLbl>
              <c:idx val="1"/>
              <c:spPr/>
              <c:txPr>
                <a:bodyPr wrap="square"/>
                <a:lstStyle/>
                <a:p>
                  <a:pPr>
                    <a:defRPr sz="1000" b="0" strike="noStrike" spc="-1">
                      <a:solidFill>
                        <a:srgbClr val="000000"/>
                      </a:solidFill>
                      <a:latin typeface="Arial"/>
                    </a:defRPr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1"/>
              <c:showBubbleSize val="0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363-4D36-A611-00A4D274CC5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; 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'3. Análisis por Género'!$B$5:$B$6</c:f>
              <c:strCache>
                <c:ptCount val="2"/>
                <c:pt idx="0">
                  <c:v>Hombre</c:v>
                </c:pt>
                <c:pt idx="1">
                  <c:v>Mujer</c:v>
                </c:pt>
              </c:strCache>
            </c:strRef>
          </c:cat>
          <c:val>
            <c:numRef>
              <c:f>'3. Análisis por Género'!$C$5:$C$6</c:f>
              <c:numCache>
                <c:formatCode>0</c:formatCode>
                <c:ptCount val="2"/>
                <c:pt idx="0">
                  <c:v>54</c:v>
                </c:pt>
                <c:pt idx="1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363-4D36-A611-00A4D274CC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Promedio Satisfacción por Género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Análisis por Género'!$D$4</c:f>
              <c:strCache>
                <c:ptCount val="1"/>
                <c:pt idx="0">
                  <c:v>Prom. Interés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'3. Análisis por Género'!$B$5:$B$6</c:f>
              <c:strCache>
                <c:ptCount val="2"/>
                <c:pt idx="0">
                  <c:v>Hombre</c:v>
                </c:pt>
                <c:pt idx="1">
                  <c:v>Mujer</c:v>
                </c:pt>
              </c:strCache>
            </c:strRef>
          </c:cat>
          <c:val>
            <c:numRef>
              <c:f>'3. Análisis por Género'!$D$5:$D$6</c:f>
              <c:numCache>
                <c:formatCode>0.00</c:formatCode>
                <c:ptCount val="2"/>
                <c:pt idx="0">
                  <c:v>2.7777777777777777</c:v>
                </c:pt>
                <c:pt idx="1">
                  <c:v>2.7692307692307692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64-4A4C-A045-8BDCE42DD3EE}"/>
            </c:ext>
          </c:extLst>
        </c:ser>
        <c:ser>
          <c:idx val="1"/>
          <c:order val="1"/>
          <c:tx>
            <c:strRef>
              <c:f>'3. Análisis por Género'!$E$4</c:f>
              <c:strCache>
                <c:ptCount val="1"/>
                <c:pt idx="0">
                  <c:v>Prom. Expositor</c:v>
                </c:pt>
              </c:strCache>
            </c:strRef>
          </c:tx>
          <c:spPr>
            <a:solidFill>
              <a:srgbClr val="C0504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'3. Análisis por Género'!$B$5:$B$6</c:f>
              <c:strCache>
                <c:ptCount val="2"/>
                <c:pt idx="0">
                  <c:v>Hombre</c:v>
                </c:pt>
                <c:pt idx="1">
                  <c:v>Mujer</c:v>
                </c:pt>
              </c:strCache>
            </c:strRef>
          </c:cat>
          <c:val>
            <c:numRef>
              <c:f>'3. Análisis por Género'!$E$5:$E$6</c:f>
              <c:numCache>
                <c:formatCode>0.00</c:formatCode>
                <c:ptCount val="2"/>
                <c:pt idx="0">
                  <c:v>2.5185185185185186</c:v>
                </c:pt>
                <c:pt idx="1">
                  <c:v>2.6794871794871793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864-4A4C-A045-8BDCE42DD3EE}"/>
            </c:ext>
          </c:extLst>
        </c:ser>
        <c:ser>
          <c:idx val="2"/>
          <c:order val="2"/>
          <c:tx>
            <c:strRef>
              <c:f>'3. Análisis por Género'!$F$4</c:f>
              <c:strCache>
                <c:ptCount val="1"/>
                <c:pt idx="0">
                  <c:v>Prom. Organización</c:v>
                </c:pt>
              </c:strCache>
            </c:strRef>
          </c:tx>
          <c:spPr>
            <a:solidFill>
              <a:srgbClr val="9BBB59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'3. Análisis por Género'!$B$5:$B$6</c:f>
              <c:strCache>
                <c:ptCount val="2"/>
                <c:pt idx="0">
                  <c:v>Hombre</c:v>
                </c:pt>
                <c:pt idx="1">
                  <c:v>Mujer</c:v>
                </c:pt>
              </c:strCache>
            </c:strRef>
          </c:cat>
          <c:val>
            <c:numRef>
              <c:f>'3. Análisis por Género'!$F$5:$F$6</c:f>
              <c:numCache>
                <c:formatCode>0.00</c:formatCode>
                <c:ptCount val="2"/>
                <c:pt idx="0">
                  <c:v>2.5370370370370372</c:v>
                </c:pt>
                <c:pt idx="1">
                  <c:v>2.4743589743589745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864-4A4C-A045-8BDCE42DD3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551989"/>
        <c:axId val="48211346"/>
      </c:barChart>
      <c:catAx>
        <c:axId val="40551989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48211346"/>
        <c:crosses val="autoZero"/>
        <c:auto val="1"/>
        <c:lblAlgn val="ctr"/>
        <c:lblOffset val="100"/>
        <c:noMultiLvlLbl val="0"/>
      </c:catAx>
      <c:valAx>
        <c:axId val="48211346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Puntuación (máx 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.0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40551989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Distribución de Calificaciones por Dimensión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Distribución Calificaciones'!$C$26</c:f>
              <c:strCache>
                <c:ptCount val="1"/>
                <c:pt idx="0">
                  <c:v>Excelente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Distribución Calificaciones'!$B$27:$B$29</c:f>
              <c:strCache>
                <c:ptCount val="3"/>
                <c:pt idx="0">
                  <c:v>Interés / Experiencia</c:v>
                </c:pt>
                <c:pt idx="1">
                  <c:v>Expositor</c:v>
                </c:pt>
                <c:pt idx="2">
                  <c:v>Organización</c:v>
                </c:pt>
              </c:strCache>
            </c:strRef>
          </c:cat>
          <c:val>
            <c:numRef>
              <c:f>'4. Distribución Calificaciones'!$C$27:$C$29</c:f>
              <c:numCache>
                <c:formatCode>0</c:formatCode>
                <c:ptCount val="3"/>
                <c:pt idx="0">
                  <c:v>106</c:v>
                </c:pt>
                <c:pt idx="1">
                  <c:v>84</c:v>
                </c:pt>
                <c:pt idx="2">
                  <c:v>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5F-43ED-AE2B-555ABE42B8B2}"/>
            </c:ext>
          </c:extLst>
        </c:ser>
        <c:ser>
          <c:idx val="1"/>
          <c:order val="1"/>
          <c:tx>
            <c:strRef>
              <c:f>'4. Distribución Calificaciones'!$D$26</c:f>
              <c:strCache>
                <c:ptCount val="1"/>
                <c:pt idx="0">
                  <c:v>Buena</c:v>
                </c:pt>
              </c:strCache>
            </c:strRef>
          </c:tx>
          <c:spPr>
            <a:solidFill>
              <a:srgbClr val="C0504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'4. Distribución Calificaciones'!$B$27:$B$29</c:f>
              <c:strCache>
                <c:ptCount val="3"/>
                <c:pt idx="0">
                  <c:v>Interés / Experiencia</c:v>
                </c:pt>
                <c:pt idx="1">
                  <c:v>Expositor</c:v>
                </c:pt>
                <c:pt idx="2">
                  <c:v>Organización</c:v>
                </c:pt>
              </c:strCache>
            </c:strRef>
          </c:cat>
          <c:val>
            <c:numRef>
              <c:f>'4. Distribución Calificaciones'!$D$27:$D$29</c:f>
              <c:numCache>
                <c:formatCode>0</c:formatCode>
                <c:ptCount val="3"/>
                <c:pt idx="0">
                  <c:v>22</c:v>
                </c:pt>
                <c:pt idx="1">
                  <c:v>45</c:v>
                </c:pt>
                <c:pt idx="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05F-43ED-AE2B-555ABE42B8B2}"/>
            </c:ext>
          </c:extLst>
        </c:ser>
        <c:ser>
          <c:idx val="2"/>
          <c:order val="2"/>
          <c:tx>
            <c:strRef>
              <c:f>'4. Distribución Calificaciones'!$E$26</c:f>
              <c:strCache>
                <c:ptCount val="1"/>
                <c:pt idx="0">
                  <c:v>Regular</c:v>
                </c:pt>
              </c:strCache>
            </c:strRef>
          </c:tx>
          <c:spPr>
            <a:solidFill>
              <a:srgbClr val="9BBB59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'4. Distribución Calificaciones'!$B$27:$B$29</c:f>
              <c:strCache>
                <c:ptCount val="3"/>
                <c:pt idx="0">
                  <c:v>Interés / Experiencia</c:v>
                </c:pt>
                <c:pt idx="1">
                  <c:v>Expositor</c:v>
                </c:pt>
                <c:pt idx="2">
                  <c:v>Organización</c:v>
                </c:pt>
              </c:strCache>
            </c:strRef>
          </c:cat>
          <c:val>
            <c:numRef>
              <c:f>'4. Distribución Calificaciones'!$E$27:$E$29</c:f>
              <c:numCache>
                <c:formatCode>0</c:formatCode>
                <c:ptCount val="3"/>
                <c:pt idx="0">
                  <c:v>4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05F-43ED-AE2B-555ABE42B8B2}"/>
            </c:ext>
          </c:extLst>
        </c:ser>
        <c:ser>
          <c:idx val="3"/>
          <c:order val="3"/>
          <c:tx>
            <c:strRef>
              <c:f>'4. Distribución Calificaciones'!$F$26</c:f>
              <c:strCache>
                <c:ptCount val="1"/>
                <c:pt idx="0">
                  <c:v>Deficiente</c:v>
                </c:pt>
              </c:strCache>
            </c:strRef>
          </c:tx>
          <c:spPr>
            <a:solidFill>
              <a:srgbClr val="8064A2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'4. Distribución Calificaciones'!$B$27:$B$29</c:f>
              <c:strCache>
                <c:ptCount val="3"/>
                <c:pt idx="0">
                  <c:v>Interés / Experiencia</c:v>
                </c:pt>
                <c:pt idx="1">
                  <c:v>Expositor</c:v>
                </c:pt>
                <c:pt idx="2">
                  <c:v>Organización</c:v>
                </c:pt>
              </c:strCache>
            </c:strRef>
          </c:cat>
          <c:val>
            <c:numRef>
              <c:f>'4. Distribución Calificaciones'!$F$27:$F$29</c:f>
              <c:numCache>
                <c:formatCode>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05F-43ED-AE2B-555ABE42B8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468805"/>
        <c:axId val="28716791"/>
      </c:barChart>
      <c:catAx>
        <c:axId val="97468805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28716791"/>
        <c:crosses val="autoZero"/>
        <c:auto val="1"/>
        <c:lblAlgn val="ctr"/>
        <c:lblOffset val="100"/>
        <c:noMultiLvlLbl val="0"/>
      </c:catAx>
      <c:valAx>
        <c:axId val="28716791"/>
        <c:scaling>
          <c:orientation val="minMax"/>
        </c:scaling>
        <c:delete val="0"/>
        <c:axPos val="l"/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# Respuestas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97468805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es-CO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Promedio General de Satisfacción por Tema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'5. Análisis por Tema'!$G$4</c:f>
              <c:strCache>
                <c:ptCount val="1"/>
                <c:pt idx="0">
                  <c:v>Prom. General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Análisis por Tema'!$B$5:$B$11</c:f>
              <c:strCache>
                <c:ptCount val="7"/>
                <c:pt idx="0">
                  <c:v>Fortalecimiento Empresarial</c:v>
                </c:pt>
                <c:pt idx="1">
                  <c:v>IA – General</c:v>
                </c:pt>
                <c:pt idx="2">
                  <c:v>IA – Herramientas y Principios</c:v>
                </c:pt>
                <c:pt idx="3">
                  <c:v>IA – Organización y Datos</c:v>
                </c:pt>
                <c:pt idx="4">
                  <c:v>IA – Redacción de Documentos</c:v>
                </c:pt>
                <c:pt idx="5">
                  <c:v>Modelo de Negocio / Canvas</c:v>
                </c:pt>
                <c:pt idx="6">
                  <c:v>Otro</c:v>
                </c:pt>
              </c:strCache>
            </c:strRef>
          </c:cat>
          <c:val>
            <c:numRef>
              <c:f>'5. Análisis por Tema'!$G$5:$G$11</c:f>
              <c:numCache>
                <c:formatCode>0.00</c:formatCode>
                <c:ptCount val="7"/>
                <c:pt idx="0">
                  <c:v>2.7555555555555551</c:v>
                </c:pt>
                <c:pt idx="1">
                  <c:v>2.875</c:v>
                </c:pt>
                <c:pt idx="2">
                  <c:v>2.4083333333333332</c:v>
                </c:pt>
                <c:pt idx="3">
                  <c:v>2.6818181818181817</c:v>
                </c:pt>
                <c:pt idx="4">
                  <c:v>2.7777777777777772</c:v>
                </c:pt>
                <c:pt idx="5">
                  <c:v>2.7121212121212124</c:v>
                </c:pt>
                <c:pt idx="6">
                  <c:v>2.4166666666666665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E5-4373-987F-1B40B5AFC7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437598"/>
        <c:axId val="10544238"/>
      </c:barChart>
      <c:catAx>
        <c:axId val="30437598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10544238"/>
        <c:crosses val="autoZero"/>
        <c:auto val="1"/>
        <c:lblAlgn val="ctr"/>
        <c:lblOffset val="100"/>
        <c:noMultiLvlLbl val="0"/>
      </c:catAx>
      <c:valAx>
        <c:axId val="10544238"/>
        <c:scaling>
          <c:orientation val="minMax"/>
        </c:scaling>
        <c:delete val="1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Puntuación (máx 3)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.00" sourceLinked="0"/>
        <c:majorTickMark val="none"/>
        <c:minorTickMark val="none"/>
        <c:tickLblPos val="nextTo"/>
        <c:crossAx val="3043759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3</xdr:row>
      <xdr:rowOff>0</xdr:rowOff>
    </xdr:from>
    <xdr:to>
      <xdr:col>18</xdr:col>
      <xdr:colOff>363960</xdr:colOff>
      <xdr:row>19</xdr:row>
      <xdr:rowOff>261360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0</xdr:colOff>
      <xdr:row>21</xdr:row>
      <xdr:rowOff>0</xdr:rowOff>
    </xdr:from>
    <xdr:to>
      <xdr:col>18</xdr:col>
      <xdr:colOff>363960</xdr:colOff>
      <xdr:row>42</xdr:row>
      <xdr:rowOff>61200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81644</xdr:colOff>
      <xdr:row>0</xdr:row>
      <xdr:rowOff>231323</xdr:rowOff>
    </xdr:from>
    <xdr:to>
      <xdr:col>16</xdr:col>
      <xdr:colOff>367394</xdr:colOff>
      <xdr:row>15</xdr:row>
      <xdr:rowOff>217715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0</xdr:colOff>
      <xdr:row>18</xdr:row>
      <xdr:rowOff>97200</xdr:rowOff>
    </xdr:from>
    <xdr:to>
      <xdr:col>18</xdr:col>
      <xdr:colOff>363600</xdr:colOff>
      <xdr:row>41</xdr:row>
      <xdr:rowOff>34560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19</xdr:col>
      <xdr:colOff>472680</xdr:colOff>
      <xdr:row>22</xdr:row>
      <xdr:rowOff>69120</xdr:rowOff>
    </xdr:to>
    <xdr:graphicFrame macro="">
      <xdr:nvGraphicFramePr>
        <xdr:cNvPr id="4" name="Chart 1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3</xdr:row>
      <xdr:rowOff>0</xdr:rowOff>
    </xdr:from>
    <xdr:to>
      <xdr:col>20</xdr:col>
      <xdr:colOff>472320</xdr:colOff>
      <xdr:row>24</xdr:row>
      <xdr:rowOff>143280</xdr:rowOff>
    </xdr:to>
    <xdr:graphicFrame macro="">
      <xdr:nvGraphicFramePr>
        <xdr:cNvPr id="5" name="Chart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4"/>
  <sheetViews>
    <sheetView tabSelected="1" zoomScaleNormal="100" workbookViewId="0">
      <pane ySplit="2" topLeftCell="A3" activePane="bottomLeft" state="frozen"/>
      <selection pane="bottomLeft" sqref="A1:K1"/>
    </sheetView>
  </sheetViews>
  <sheetFormatPr baseColWidth="10" defaultColWidth="8.7109375" defaultRowHeight="15" x14ac:dyDescent="0.25"/>
  <cols>
    <col min="1" max="1" width="30" style="8" customWidth="1"/>
    <col min="2" max="2" width="12" style="8" customWidth="1"/>
    <col min="3" max="3" width="32" style="8" customWidth="1"/>
    <col min="4" max="6" width="16" style="8" customWidth="1"/>
    <col min="7" max="9" width="8" style="8" customWidth="1"/>
    <col min="10" max="11" width="12" style="8" customWidth="1"/>
  </cols>
  <sheetData>
    <row r="1" spans="1:11" ht="30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ht="30" customHeight="1" x14ac:dyDescent="0.2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</row>
    <row r="3" spans="1:11" ht="15.75" customHeight="1" x14ac:dyDescent="0.25">
      <c r="A3" s="10" t="s">
        <v>12</v>
      </c>
      <c r="B3" s="11" t="s">
        <v>13</v>
      </c>
      <c r="C3" s="10" t="s">
        <v>14</v>
      </c>
      <c r="D3" s="12" t="s">
        <v>15</v>
      </c>
      <c r="E3" s="12" t="s">
        <v>15</v>
      </c>
      <c r="F3" s="12" t="s">
        <v>15</v>
      </c>
      <c r="G3" s="13">
        <f t="shared" ref="G3:G34" si="0">IF(D3="Excelente",3,IF(D3="Buena",2,IF(D3="Regular",1,IF(D3="Deficiente",0,""))))</f>
        <v>3</v>
      </c>
      <c r="H3" s="13">
        <f t="shared" ref="H3:H34" si="1">IF(E3="Excelente",3,IF(E3="Buena",2,IF(E3="Regular",1,IF(E3="Deficiente",0,""))))</f>
        <v>3</v>
      </c>
      <c r="I3" s="13">
        <f t="shared" ref="I3:I34" si="2">IF(F3="Excelente",3,IF(F3="Buena",2,IF(F3="Regular",1,IF(F3="Deficiente",0,""))))</f>
        <v>3</v>
      </c>
      <c r="J3" s="14">
        <f t="shared" ref="J3:J34" si="3">IFERROR(AVERAGE(G3:I3),"")</f>
        <v>3</v>
      </c>
      <c r="K3" s="15" t="s">
        <v>16</v>
      </c>
    </row>
    <row r="4" spans="1:11" ht="15.75" customHeight="1" x14ac:dyDescent="0.25">
      <c r="A4" s="16" t="s">
        <v>17</v>
      </c>
      <c r="B4" s="17" t="s">
        <v>13</v>
      </c>
      <c r="C4" s="16" t="s">
        <v>14</v>
      </c>
      <c r="D4" s="18" t="s">
        <v>15</v>
      </c>
      <c r="E4" s="19" t="s">
        <v>18</v>
      </c>
      <c r="F4" s="18" t="s">
        <v>15</v>
      </c>
      <c r="G4" s="13">
        <f t="shared" si="0"/>
        <v>3</v>
      </c>
      <c r="H4" s="13">
        <f t="shared" si="1"/>
        <v>2</v>
      </c>
      <c r="I4" s="13">
        <f t="shared" si="2"/>
        <v>3</v>
      </c>
      <c r="J4" s="14">
        <f t="shared" si="3"/>
        <v>2.6666666666666665</v>
      </c>
      <c r="K4" s="20" t="s">
        <v>16</v>
      </c>
    </row>
    <row r="5" spans="1:11" ht="15.75" customHeight="1" x14ac:dyDescent="0.25">
      <c r="A5" s="10" t="s">
        <v>19</v>
      </c>
      <c r="B5" s="21" t="s">
        <v>20</v>
      </c>
      <c r="C5" s="10" t="s">
        <v>14</v>
      </c>
      <c r="D5" s="12" t="s">
        <v>15</v>
      </c>
      <c r="E5" s="12" t="s">
        <v>15</v>
      </c>
      <c r="F5" s="12" t="s">
        <v>15</v>
      </c>
      <c r="G5" s="13">
        <f t="shared" si="0"/>
        <v>3</v>
      </c>
      <c r="H5" s="13">
        <f t="shared" si="1"/>
        <v>3</v>
      </c>
      <c r="I5" s="13">
        <f t="shared" si="2"/>
        <v>3</v>
      </c>
      <c r="J5" s="14">
        <f t="shared" si="3"/>
        <v>3</v>
      </c>
      <c r="K5" s="15" t="s">
        <v>16</v>
      </c>
    </row>
    <row r="6" spans="1:11" ht="15.75" customHeight="1" x14ac:dyDescent="0.25">
      <c r="A6" s="16" t="s">
        <v>21</v>
      </c>
      <c r="B6" s="22" t="s">
        <v>20</v>
      </c>
      <c r="C6" s="16" t="s">
        <v>14</v>
      </c>
      <c r="D6" s="18" t="s">
        <v>15</v>
      </c>
      <c r="E6" s="19" t="s">
        <v>18</v>
      </c>
      <c r="F6" s="19" t="s">
        <v>18</v>
      </c>
      <c r="G6" s="13">
        <f t="shared" si="0"/>
        <v>3</v>
      </c>
      <c r="H6" s="13">
        <f t="shared" si="1"/>
        <v>2</v>
      </c>
      <c r="I6" s="13">
        <f t="shared" si="2"/>
        <v>2</v>
      </c>
      <c r="J6" s="14">
        <f t="shared" si="3"/>
        <v>2.3333333333333335</v>
      </c>
      <c r="K6" s="20" t="s">
        <v>16</v>
      </c>
    </row>
    <row r="7" spans="1:11" ht="15.75" customHeight="1" x14ac:dyDescent="0.25">
      <c r="A7" s="10" t="s">
        <v>22</v>
      </c>
      <c r="B7" s="21" t="s">
        <v>20</v>
      </c>
      <c r="C7" s="10" t="s">
        <v>23</v>
      </c>
      <c r="D7" s="12" t="s">
        <v>15</v>
      </c>
      <c r="E7" s="23" t="s">
        <v>18</v>
      </c>
      <c r="F7" s="23" t="s">
        <v>18</v>
      </c>
      <c r="G7" s="13">
        <f t="shared" si="0"/>
        <v>3</v>
      </c>
      <c r="H7" s="13">
        <f t="shared" si="1"/>
        <v>2</v>
      </c>
      <c r="I7" s="13">
        <f t="shared" si="2"/>
        <v>2</v>
      </c>
      <c r="J7" s="14">
        <f t="shared" si="3"/>
        <v>2.3333333333333335</v>
      </c>
      <c r="K7" s="15" t="s">
        <v>16</v>
      </c>
    </row>
    <row r="8" spans="1:11" ht="15.75" customHeight="1" x14ac:dyDescent="0.25">
      <c r="A8" s="16" t="s">
        <v>24</v>
      </c>
      <c r="B8" s="22" t="s">
        <v>20</v>
      </c>
      <c r="C8" s="16" t="s">
        <v>25</v>
      </c>
      <c r="D8" s="18" t="s">
        <v>15</v>
      </c>
      <c r="E8" s="18" t="s">
        <v>15</v>
      </c>
      <c r="F8" s="19" t="s">
        <v>18</v>
      </c>
      <c r="G8" s="13">
        <f t="shared" si="0"/>
        <v>3</v>
      </c>
      <c r="H8" s="13">
        <f t="shared" si="1"/>
        <v>3</v>
      </c>
      <c r="I8" s="13">
        <f t="shared" si="2"/>
        <v>2</v>
      </c>
      <c r="J8" s="14">
        <f t="shared" si="3"/>
        <v>2.6666666666666665</v>
      </c>
      <c r="K8" s="20" t="s">
        <v>16</v>
      </c>
    </row>
    <row r="9" spans="1:11" ht="15.75" customHeight="1" x14ac:dyDescent="0.25">
      <c r="A9" s="10" t="s">
        <v>26</v>
      </c>
      <c r="B9" s="21" t="s">
        <v>20</v>
      </c>
      <c r="C9" s="10" t="s">
        <v>14</v>
      </c>
      <c r="D9" s="12" t="s">
        <v>15</v>
      </c>
      <c r="E9" s="12" t="s">
        <v>15</v>
      </c>
      <c r="F9" s="12" t="s">
        <v>15</v>
      </c>
      <c r="G9" s="13">
        <f t="shared" si="0"/>
        <v>3</v>
      </c>
      <c r="H9" s="13">
        <f t="shared" si="1"/>
        <v>3</v>
      </c>
      <c r="I9" s="13">
        <f t="shared" si="2"/>
        <v>3</v>
      </c>
      <c r="J9" s="14">
        <f t="shared" si="3"/>
        <v>3</v>
      </c>
      <c r="K9" s="15" t="s">
        <v>16</v>
      </c>
    </row>
    <row r="10" spans="1:11" ht="15.75" customHeight="1" x14ac:dyDescent="0.25">
      <c r="A10" s="16" t="s">
        <v>27</v>
      </c>
      <c r="B10" s="22" t="s">
        <v>20</v>
      </c>
      <c r="C10" s="16" t="s">
        <v>23</v>
      </c>
      <c r="D10" s="19" t="s">
        <v>18</v>
      </c>
      <c r="E10" s="19" t="s">
        <v>18</v>
      </c>
      <c r="F10" s="19" t="s">
        <v>18</v>
      </c>
      <c r="G10" s="13">
        <f t="shared" si="0"/>
        <v>2</v>
      </c>
      <c r="H10" s="13">
        <f t="shared" si="1"/>
        <v>2</v>
      </c>
      <c r="I10" s="13">
        <f t="shared" si="2"/>
        <v>2</v>
      </c>
      <c r="J10" s="14">
        <f t="shared" si="3"/>
        <v>2</v>
      </c>
      <c r="K10" s="20" t="s">
        <v>16</v>
      </c>
    </row>
    <row r="11" spans="1:11" ht="15.75" customHeight="1" x14ac:dyDescent="0.25">
      <c r="A11" s="10" t="s">
        <v>28</v>
      </c>
      <c r="B11" s="21" t="s">
        <v>20</v>
      </c>
      <c r="C11" s="10" t="s">
        <v>25</v>
      </c>
      <c r="D11" s="12" t="s">
        <v>15</v>
      </c>
      <c r="E11" s="12" t="s">
        <v>15</v>
      </c>
      <c r="F11" s="12" t="s">
        <v>15</v>
      </c>
      <c r="G11" s="13">
        <f t="shared" si="0"/>
        <v>3</v>
      </c>
      <c r="H11" s="13">
        <f t="shared" si="1"/>
        <v>3</v>
      </c>
      <c r="I11" s="13">
        <f t="shared" si="2"/>
        <v>3</v>
      </c>
      <c r="J11" s="14">
        <f t="shared" si="3"/>
        <v>3</v>
      </c>
      <c r="K11" s="15" t="s">
        <v>16</v>
      </c>
    </row>
    <row r="12" spans="1:11" ht="15.75" customHeight="1" x14ac:dyDescent="0.25">
      <c r="A12" s="16" t="s">
        <v>29</v>
      </c>
      <c r="B12" s="22" t="s">
        <v>20</v>
      </c>
      <c r="C12" s="16" t="s">
        <v>14</v>
      </c>
      <c r="D12" s="19" t="s">
        <v>18</v>
      </c>
      <c r="E12" s="19" t="s">
        <v>18</v>
      </c>
      <c r="F12" s="19" t="s">
        <v>18</v>
      </c>
      <c r="G12" s="13">
        <f t="shared" si="0"/>
        <v>2</v>
      </c>
      <c r="H12" s="13">
        <f t="shared" si="1"/>
        <v>2</v>
      </c>
      <c r="I12" s="13">
        <f t="shared" si="2"/>
        <v>2</v>
      </c>
      <c r="J12" s="14">
        <f t="shared" si="3"/>
        <v>2</v>
      </c>
      <c r="K12" s="20" t="s">
        <v>16</v>
      </c>
    </row>
    <row r="13" spans="1:11" ht="15.75" customHeight="1" x14ac:dyDescent="0.25">
      <c r="A13" s="10" t="s">
        <v>30</v>
      </c>
      <c r="B13" s="11" t="s">
        <v>13</v>
      </c>
      <c r="C13" s="10" t="s">
        <v>14</v>
      </c>
      <c r="D13" s="12" t="s">
        <v>15</v>
      </c>
      <c r="E13" s="23" t="s">
        <v>18</v>
      </c>
      <c r="F13" s="12" t="s">
        <v>15</v>
      </c>
      <c r="G13" s="13">
        <f t="shared" si="0"/>
        <v>3</v>
      </c>
      <c r="H13" s="13">
        <f t="shared" si="1"/>
        <v>2</v>
      </c>
      <c r="I13" s="13">
        <f t="shared" si="2"/>
        <v>3</v>
      </c>
      <c r="J13" s="14">
        <f t="shared" si="3"/>
        <v>2.6666666666666665</v>
      </c>
      <c r="K13" s="15" t="s">
        <v>16</v>
      </c>
    </row>
    <row r="14" spans="1:11" ht="15.75" customHeight="1" x14ac:dyDescent="0.25">
      <c r="A14" s="16" t="s">
        <v>31</v>
      </c>
      <c r="B14" s="17" t="s">
        <v>13</v>
      </c>
      <c r="C14" s="16" t="s">
        <v>25</v>
      </c>
      <c r="D14" s="18" t="s">
        <v>15</v>
      </c>
      <c r="E14" s="19" t="s">
        <v>18</v>
      </c>
      <c r="F14" s="18" t="s">
        <v>15</v>
      </c>
      <c r="G14" s="13">
        <f t="shared" si="0"/>
        <v>3</v>
      </c>
      <c r="H14" s="13">
        <f t="shared" si="1"/>
        <v>2</v>
      </c>
      <c r="I14" s="13">
        <f t="shared" si="2"/>
        <v>3</v>
      </c>
      <c r="J14" s="14">
        <f t="shared" si="3"/>
        <v>2.6666666666666665</v>
      </c>
      <c r="K14" s="20" t="s">
        <v>16</v>
      </c>
    </row>
    <row r="15" spans="1:11" ht="15.75" customHeight="1" x14ac:dyDescent="0.25">
      <c r="A15" s="10" t="s">
        <v>32</v>
      </c>
      <c r="B15" s="21" t="s">
        <v>20</v>
      </c>
      <c r="C15" s="10" t="s">
        <v>25</v>
      </c>
      <c r="D15" s="12" t="s">
        <v>15</v>
      </c>
      <c r="E15" s="12" t="s">
        <v>15</v>
      </c>
      <c r="F15" s="12" t="s">
        <v>15</v>
      </c>
      <c r="G15" s="13">
        <f t="shared" si="0"/>
        <v>3</v>
      </c>
      <c r="H15" s="13">
        <f t="shared" si="1"/>
        <v>3</v>
      </c>
      <c r="I15" s="13">
        <f t="shared" si="2"/>
        <v>3</v>
      </c>
      <c r="J15" s="14">
        <f t="shared" si="3"/>
        <v>3</v>
      </c>
      <c r="K15" s="15" t="s">
        <v>16</v>
      </c>
    </row>
    <row r="16" spans="1:11" ht="15.75" customHeight="1" x14ac:dyDescent="0.25">
      <c r="A16" s="16" t="s">
        <v>33</v>
      </c>
      <c r="B16" s="22" t="s">
        <v>20</v>
      </c>
      <c r="C16" s="16" t="s">
        <v>25</v>
      </c>
      <c r="D16" s="18" t="s">
        <v>15</v>
      </c>
      <c r="E16" s="19" t="s">
        <v>18</v>
      </c>
      <c r="F16" s="18" t="s">
        <v>15</v>
      </c>
      <c r="G16" s="13">
        <f t="shared" si="0"/>
        <v>3</v>
      </c>
      <c r="H16" s="13">
        <f t="shared" si="1"/>
        <v>2</v>
      </c>
      <c r="I16" s="13">
        <f t="shared" si="2"/>
        <v>3</v>
      </c>
      <c r="J16" s="14">
        <f t="shared" si="3"/>
        <v>2.6666666666666665</v>
      </c>
      <c r="K16" s="20" t="s">
        <v>16</v>
      </c>
    </row>
    <row r="17" spans="1:11" ht="15.75" customHeight="1" x14ac:dyDescent="0.25">
      <c r="A17" s="10" t="s">
        <v>34</v>
      </c>
      <c r="B17" s="21" t="s">
        <v>20</v>
      </c>
      <c r="C17" s="10" t="s">
        <v>25</v>
      </c>
      <c r="D17" s="12" t="s">
        <v>15</v>
      </c>
      <c r="E17" s="23" t="s">
        <v>18</v>
      </c>
      <c r="F17" s="12" t="s">
        <v>15</v>
      </c>
      <c r="G17" s="13">
        <f t="shared" si="0"/>
        <v>3</v>
      </c>
      <c r="H17" s="13">
        <f t="shared" si="1"/>
        <v>2</v>
      </c>
      <c r="I17" s="13">
        <f t="shared" si="2"/>
        <v>3</v>
      </c>
      <c r="J17" s="14">
        <f t="shared" si="3"/>
        <v>2.6666666666666665</v>
      </c>
      <c r="K17" s="15" t="s">
        <v>16</v>
      </c>
    </row>
    <row r="18" spans="1:11" ht="15.75" customHeight="1" x14ac:dyDescent="0.25">
      <c r="A18" s="16" t="s">
        <v>35</v>
      </c>
      <c r="B18" s="22" t="s">
        <v>20</v>
      </c>
      <c r="C18" s="16" t="s">
        <v>14</v>
      </c>
      <c r="D18" s="18" t="s">
        <v>15</v>
      </c>
      <c r="E18" s="18" t="s">
        <v>15</v>
      </c>
      <c r="F18" s="18" t="s">
        <v>15</v>
      </c>
      <c r="G18" s="13">
        <f t="shared" si="0"/>
        <v>3</v>
      </c>
      <c r="H18" s="13">
        <f t="shared" si="1"/>
        <v>3</v>
      </c>
      <c r="I18" s="13">
        <f t="shared" si="2"/>
        <v>3</v>
      </c>
      <c r="J18" s="14">
        <f t="shared" si="3"/>
        <v>3</v>
      </c>
      <c r="K18" s="20" t="s">
        <v>16</v>
      </c>
    </row>
    <row r="19" spans="1:11" ht="15.75" customHeight="1" x14ac:dyDescent="0.25">
      <c r="A19" s="10" t="s">
        <v>36</v>
      </c>
      <c r="B19" s="21" t="s">
        <v>20</v>
      </c>
      <c r="C19" s="10" t="s">
        <v>14</v>
      </c>
      <c r="D19" s="12" t="s">
        <v>15</v>
      </c>
      <c r="E19" s="12" t="s">
        <v>15</v>
      </c>
      <c r="F19" s="24" t="s">
        <v>37</v>
      </c>
      <c r="G19" s="13">
        <f t="shared" si="0"/>
        <v>3</v>
      </c>
      <c r="H19" s="13">
        <f t="shared" si="1"/>
        <v>3</v>
      </c>
      <c r="I19" s="13">
        <f t="shared" si="2"/>
        <v>1</v>
      </c>
      <c r="J19" s="14">
        <f t="shared" si="3"/>
        <v>2.3333333333333335</v>
      </c>
      <c r="K19" s="15" t="s">
        <v>16</v>
      </c>
    </row>
    <row r="20" spans="1:11" ht="15.75" customHeight="1" x14ac:dyDescent="0.25">
      <c r="A20" s="16" t="s">
        <v>38</v>
      </c>
      <c r="B20" s="22" t="s">
        <v>20</v>
      </c>
      <c r="C20" s="16" t="s">
        <v>14</v>
      </c>
      <c r="D20" s="18" t="s">
        <v>15</v>
      </c>
      <c r="E20" s="18" t="s">
        <v>15</v>
      </c>
      <c r="F20" s="18" t="s">
        <v>15</v>
      </c>
      <c r="G20" s="13">
        <f t="shared" si="0"/>
        <v>3</v>
      </c>
      <c r="H20" s="13">
        <f t="shared" si="1"/>
        <v>3</v>
      </c>
      <c r="I20" s="13">
        <f t="shared" si="2"/>
        <v>3</v>
      </c>
      <c r="J20" s="14">
        <f t="shared" si="3"/>
        <v>3</v>
      </c>
      <c r="K20" s="20" t="s">
        <v>16</v>
      </c>
    </row>
    <row r="21" spans="1:11" ht="15.75" customHeight="1" x14ac:dyDescent="0.25">
      <c r="A21" s="10" t="s">
        <v>39</v>
      </c>
      <c r="B21" s="11" t="s">
        <v>13</v>
      </c>
      <c r="C21" s="10" t="s">
        <v>25</v>
      </c>
      <c r="D21" s="12" t="s">
        <v>15</v>
      </c>
      <c r="E21" s="12" t="s">
        <v>15</v>
      </c>
      <c r="F21" s="12" t="s">
        <v>15</v>
      </c>
      <c r="G21" s="13">
        <f t="shared" si="0"/>
        <v>3</v>
      </c>
      <c r="H21" s="13">
        <f t="shared" si="1"/>
        <v>3</v>
      </c>
      <c r="I21" s="13">
        <f t="shared" si="2"/>
        <v>3</v>
      </c>
      <c r="J21" s="14">
        <f t="shared" si="3"/>
        <v>3</v>
      </c>
      <c r="K21" s="15" t="s">
        <v>16</v>
      </c>
    </row>
    <row r="22" spans="1:11" ht="15.75" customHeight="1" x14ac:dyDescent="0.25">
      <c r="A22" s="16" t="s">
        <v>40</v>
      </c>
      <c r="B22" s="22" t="s">
        <v>20</v>
      </c>
      <c r="C22" s="16" t="s">
        <v>25</v>
      </c>
      <c r="D22" s="18" t="s">
        <v>15</v>
      </c>
      <c r="E22" s="19" t="s">
        <v>18</v>
      </c>
      <c r="F22" s="18" t="s">
        <v>15</v>
      </c>
      <c r="G22" s="13">
        <f t="shared" si="0"/>
        <v>3</v>
      </c>
      <c r="H22" s="13">
        <f t="shared" si="1"/>
        <v>2</v>
      </c>
      <c r="I22" s="13">
        <f t="shared" si="2"/>
        <v>3</v>
      </c>
      <c r="J22" s="14">
        <f t="shared" si="3"/>
        <v>2.6666666666666665</v>
      </c>
      <c r="K22" s="20" t="s">
        <v>16</v>
      </c>
    </row>
    <row r="23" spans="1:11" ht="15.75" customHeight="1" x14ac:dyDescent="0.25">
      <c r="A23" s="10" t="s">
        <v>41</v>
      </c>
      <c r="B23" s="21" t="s">
        <v>20</v>
      </c>
      <c r="C23" s="10" t="s">
        <v>14</v>
      </c>
      <c r="D23" s="12" t="s">
        <v>15</v>
      </c>
      <c r="E23" s="12" t="s">
        <v>15</v>
      </c>
      <c r="F23" s="12" t="s">
        <v>15</v>
      </c>
      <c r="G23" s="13">
        <f t="shared" si="0"/>
        <v>3</v>
      </c>
      <c r="H23" s="13">
        <f t="shared" si="1"/>
        <v>3</v>
      </c>
      <c r="I23" s="13">
        <f t="shared" si="2"/>
        <v>3</v>
      </c>
      <c r="J23" s="14">
        <f t="shared" si="3"/>
        <v>3</v>
      </c>
      <c r="K23" s="25"/>
    </row>
    <row r="24" spans="1:11" ht="15.75" customHeight="1" x14ac:dyDescent="0.25">
      <c r="A24" s="16" t="s">
        <v>42</v>
      </c>
      <c r="B24" s="22" t="s">
        <v>20</v>
      </c>
      <c r="C24" s="16" t="s">
        <v>25</v>
      </c>
      <c r="D24" s="18" t="s">
        <v>15</v>
      </c>
      <c r="E24" s="18" t="s">
        <v>15</v>
      </c>
      <c r="F24" s="19" t="s">
        <v>18</v>
      </c>
      <c r="G24" s="13">
        <f t="shared" si="0"/>
        <v>3</v>
      </c>
      <c r="H24" s="13">
        <f t="shared" si="1"/>
        <v>3</v>
      </c>
      <c r="I24" s="13">
        <f t="shared" si="2"/>
        <v>2</v>
      </c>
      <c r="J24" s="14">
        <f t="shared" si="3"/>
        <v>2.6666666666666665</v>
      </c>
      <c r="K24" s="20" t="s">
        <v>16</v>
      </c>
    </row>
    <row r="25" spans="1:11" ht="15.75" customHeight="1" x14ac:dyDescent="0.25">
      <c r="A25" s="10" t="s">
        <v>43</v>
      </c>
      <c r="B25" s="21" t="s">
        <v>20</v>
      </c>
      <c r="C25" s="10" t="s">
        <v>25</v>
      </c>
      <c r="D25" s="12" t="s">
        <v>15</v>
      </c>
      <c r="E25" s="23" t="s">
        <v>18</v>
      </c>
      <c r="F25" s="12" t="s">
        <v>15</v>
      </c>
      <c r="G25" s="13">
        <f t="shared" si="0"/>
        <v>3</v>
      </c>
      <c r="H25" s="13">
        <f t="shared" si="1"/>
        <v>2</v>
      </c>
      <c r="I25" s="13">
        <f t="shared" si="2"/>
        <v>3</v>
      </c>
      <c r="J25" s="14">
        <f t="shared" si="3"/>
        <v>2.6666666666666665</v>
      </c>
      <c r="K25" s="15" t="s">
        <v>16</v>
      </c>
    </row>
    <row r="26" spans="1:11" ht="15.75" customHeight="1" x14ac:dyDescent="0.25">
      <c r="A26" s="16" t="s">
        <v>44</v>
      </c>
      <c r="B26" s="22" t="s">
        <v>20</v>
      </c>
      <c r="C26" s="16" t="s">
        <v>14</v>
      </c>
      <c r="D26" s="18" t="s">
        <v>15</v>
      </c>
      <c r="E26" s="18" t="s">
        <v>15</v>
      </c>
      <c r="F26" s="18" t="s">
        <v>15</v>
      </c>
      <c r="G26" s="13">
        <f t="shared" si="0"/>
        <v>3</v>
      </c>
      <c r="H26" s="13">
        <f t="shared" si="1"/>
        <v>3</v>
      </c>
      <c r="I26" s="13">
        <f t="shared" si="2"/>
        <v>3</v>
      </c>
      <c r="J26" s="14">
        <f t="shared" si="3"/>
        <v>3</v>
      </c>
      <c r="K26" s="20" t="s">
        <v>16</v>
      </c>
    </row>
    <row r="27" spans="1:11" ht="15.75" customHeight="1" x14ac:dyDescent="0.25">
      <c r="A27" s="10" t="s">
        <v>45</v>
      </c>
      <c r="B27" s="21" t="s">
        <v>20</v>
      </c>
      <c r="C27" s="10" t="s">
        <v>14</v>
      </c>
      <c r="D27" s="12" t="s">
        <v>15</v>
      </c>
      <c r="E27" s="12" t="s">
        <v>15</v>
      </c>
      <c r="F27" s="12" t="s">
        <v>15</v>
      </c>
      <c r="G27" s="13">
        <f t="shared" si="0"/>
        <v>3</v>
      </c>
      <c r="H27" s="13">
        <f t="shared" si="1"/>
        <v>3</v>
      </c>
      <c r="I27" s="13">
        <f t="shared" si="2"/>
        <v>3</v>
      </c>
      <c r="J27" s="14">
        <f t="shared" si="3"/>
        <v>3</v>
      </c>
      <c r="K27" s="15" t="s">
        <v>16</v>
      </c>
    </row>
    <row r="28" spans="1:11" ht="15.75" customHeight="1" x14ac:dyDescent="0.25">
      <c r="A28" s="16" t="s">
        <v>46</v>
      </c>
      <c r="B28" s="22" t="s">
        <v>20</v>
      </c>
      <c r="C28" s="16" t="s">
        <v>25</v>
      </c>
      <c r="D28" s="18" t="s">
        <v>15</v>
      </c>
      <c r="E28" s="18" t="s">
        <v>15</v>
      </c>
      <c r="F28" s="18" t="s">
        <v>15</v>
      </c>
      <c r="G28" s="13">
        <f t="shared" si="0"/>
        <v>3</v>
      </c>
      <c r="H28" s="13">
        <f t="shared" si="1"/>
        <v>3</v>
      </c>
      <c r="I28" s="13">
        <f t="shared" si="2"/>
        <v>3</v>
      </c>
      <c r="J28" s="14">
        <f t="shared" si="3"/>
        <v>3</v>
      </c>
      <c r="K28" s="20" t="s">
        <v>16</v>
      </c>
    </row>
    <row r="29" spans="1:11" ht="15.75" customHeight="1" x14ac:dyDescent="0.25">
      <c r="A29" s="10" t="s">
        <v>47</v>
      </c>
      <c r="B29" s="21" t="s">
        <v>20</v>
      </c>
      <c r="C29" s="10" t="s">
        <v>25</v>
      </c>
      <c r="D29" s="12" t="s">
        <v>15</v>
      </c>
      <c r="E29" s="12" t="s">
        <v>15</v>
      </c>
      <c r="F29" s="12" t="s">
        <v>15</v>
      </c>
      <c r="G29" s="13">
        <f t="shared" si="0"/>
        <v>3</v>
      </c>
      <c r="H29" s="13">
        <f t="shared" si="1"/>
        <v>3</v>
      </c>
      <c r="I29" s="13">
        <f t="shared" si="2"/>
        <v>3</v>
      </c>
      <c r="J29" s="14">
        <f t="shared" si="3"/>
        <v>3</v>
      </c>
      <c r="K29" s="15" t="s">
        <v>16</v>
      </c>
    </row>
    <row r="30" spans="1:11" ht="15.75" customHeight="1" x14ac:dyDescent="0.25">
      <c r="A30" s="16" t="s">
        <v>48</v>
      </c>
      <c r="B30" s="22" t="s">
        <v>20</v>
      </c>
      <c r="C30" s="16" t="s">
        <v>25</v>
      </c>
      <c r="D30" s="18" t="s">
        <v>15</v>
      </c>
      <c r="E30" s="18" t="s">
        <v>15</v>
      </c>
      <c r="F30" s="18" t="s">
        <v>15</v>
      </c>
      <c r="G30" s="13">
        <f t="shared" si="0"/>
        <v>3</v>
      </c>
      <c r="H30" s="13">
        <f t="shared" si="1"/>
        <v>3</v>
      </c>
      <c r="I30" s="13">
        <f t="shared" si="2"/>
        <v>3</v>
      </c>
      <c r="J30" s="14">
        <f t="shared" si="3"/>
        <v>3</v>
      </c>
      <c r="K30" s="20" t="s">
        <v>16</v>
      </c>
    </row>
    <row r="31" spans="1:11" ht="15.75" customHeight="1" x14ac:dyDescent="0.25">
      <c r="A31" s="10" t="s">
        <v>49</v>
      </c>
      <c r="B31" s="21" t="s">
        <v>20</v>
      </c>
      <c r="C31" s="10" t="s">
        <v>25</v>
      </c>
      <c r="D31" s="12" t="s">
        <v>15</v>
      </c>
      <c r="E31" s="12" t="s">
        <v>15</v>
      </c>
      <c r="F31" s="12" t="s">
        <v>15</v>
      </c>
      <c r="G31" s="13">
        <f t="shared" si="0"/>
        <v>3</v>
      </c>
      <c r="H31" s="13">
        <f t="shared" si="1"/>
        <v>3</v>
      </c>
      <c r="I31" s="13">
        <f t="shared" si="2"/>
        <v>3</v>
      </c>
      <c r="J31" s="14">
        <f t="shared" si="3"/>
        <v>3</v>
      </c>
      <c r="K31" s="15" t="s">
        <v>16</v>
      </c>
    </row>
    <row r="32" spans="1:11" ht="15.75" customHeight="1" x14ac:dyDescent="0.25">
      <c r="A32" s="16" t="s">
        <v>50</v>
      </c>
      <c r="B32" s="22" t="s">
        <v>20</v>
      </c>
      <c r="C32" s="16" t="s">
        <v>14</v>
      </c>
      <c r="D32" s="18" t="s">
        <v>15</v>
      </c>
      <c r="E32" s="18" t="s">
        <v>15</v>
      </c>
      <c r="F32" s="18" t="s">
        <v>15</v>
      </c>
      <c r="G32" s="13">
        <f t="shared" si="0"/>
        <v>3</v>
      </c>
      <c r="H32" s="13">
        <f t="shared" si="1"/>
        <v>3</v>
      </c>
      <c r="I32" s="13">
        <f t="shared" si="2"/>
        <v>3</v>
      </c>
      <c r="J32" s="14">
        <f t="shared" si="3"/>
        <v>3</v>
      </c>
      <c r="K32" s="20" t="s">
        <v>16</v>
      </c>
    </row>
    <row r="33" spans="1:11" ht="15.75" customHeight="1" x14ac:dyDescent="0.25">
      <c r="A33" s="10" t="s">
        <v>51</v>
      </c>
      <c r="B33" s="21" t="s">
        <v>20</v>
      </c>
      <c r="C33" s="10" t="s">
        <v>25</v>
      </c>
      <c r="D33" s="12" t="s">
        <v>15</v>
      </c>
      <c r="E33" s="12" t="s">
        <v>15</v>
      </c>
      <c r="F33" s="12" t="s">
        <v>15</v>
      </c>
      <c r="G33" s="13">
        <f t="shared" si="0"/>
        <v>3</v>
      </c>
      <c r="H33" s="13">
        <f t="shared" si="1"/>
        <v>3</v>
      </c>
      <c r="I33" s="13">
        <f t="shared" si="2"/>
        <v>3</v>
      </c>
      <c r="J33" s="14">
        <f t="shared" si="3"/>
        <v>3</v>
      </c>
      <c r="K33" s="15" t="s">
        <v>16</v>
      </c>
    </row>
    <row r="34" spans="1:11" ht="15.75" customHeight="1" x14ac:dyDescent="0.25">
      <c r="A34" s="16" t="s">
        <v>52</v>
      </c>
      <c r="B34" s="22" t="s">
        <v>20</v>
      </c>
      <c r="C34" s="16" t="s">
        <v>25</v>
      </c>
      <c r="D34" s="18" t="s">
        <v>15</v>
      </c>
      <c r="E34" s="19" t="s">
        <v>18</v>
      </c>
      <c r="F34" s="19" t="s">
        <v>18</v>
      </c>
      <c r="G34" s="13">
        <f t="shared" si="0"/>
        <v>3</v>
      </c>
      <c r="H34" s="13">
        <f t="shared" si="1"/>
        <v>2</v>
      </c>
      <c r="I34" s="13">
        <f t="shared" si="2"/>
        <v>2</v>
      </c>
      <c r="J34" s="14">
        <f t="shared" si="3"/>
        <v>2.3333333333333335</v>
      </c>
      <c r="K34" s="20" t="s">
        <v>16</v>
      </c>
    </row>
    <row r="35" spans="1:11" ht="15.75" customHeight="1" x14ac:dyDescent="0.25">
      <c r="A35" s="10" t="s">
        <v>53</v>
      </c>
      <c r="B35" s="11" t="s">
        <v>13</v>
      </c>
      <c r="C35" s="10" t="s">
        <v>25</v>
      </c>
      <c r="D35" s="23" t="s">
        <v>18</v>
      </c>
      <c r="E35" s="23" t="s">
        <v>18</v>
      </c>
      <c r="F35" s="23" t="s">
        <v>18</v>
      </c>
      <c r="G35" s="13">
        <f t="shared" ref="G35:G66" si="4">IF(D35="Excelente",3,IF(D35="Buena",2,IF(D35="Regular",1,IF(D35="Deficiente",0,""))))</f>
        <v>2</v>
      </c>
      <c r="H35" s="13">
        <f t="shared" ref="H35:H66" si="5">IF(E35="Excelente",3,IF(E35="Buena",2,IF(E35="Regular",1,IF(E35="Deficiente",0,""))))</f>
        <v>2</v>
      </c>
      <c r="I35" s="13">
        <f t="shared" ref="I35:I66" si="6">IF(F35="Excelente",3,IF(F35="Buena",2,IF(F35="Regular",1,IF(F35="Deficiente",0,""))))</f>
        <v>2</v>
      </c>
      <c r="J35" s="14">
        <f t="shared" ref="J35:J66" si="7">IFERROR(AVERAGE(G35:I35),"")</f>
        <v>2</v>
      </c>
      <c r="K35" s="15" t="s">
        <v>16</v>
      </c>
    </row>
    <row r="36" spans="1:11" ht="15.75" customHeight="1" x14ac:dyDescent="0.25">
      <c r="A36" s="16" t="s">
        <v>54</v>
      </c>
      <c r="B36" s="22" t="s">
        <v>20</v>
      </c>
      <c r="C36" s="16" t="s">
        <v>14</v>
      </c>
      <c r="D36" s="18" t="s">
        <v>15</v>
      </c>
      <c r="E36" s="18" t="s">
        <v>15</v>
      </c>
      <c r="F36" s="18" t="s">
        <v>15</v>
      </c>
      <c r="G36" s="13">
        <f t="shared" si="4"/>
        <v>3</v>
      </c>
      <c r="H36" s="13">
        <f t="shared" si="5"/>
        <v>3</v>
      </c>
      <c r="I36" s="13">
        <f t="shared" si="6"/>
        <v>3</v>
      </c>
      <c r="J36" s="14">
        <f t="shared" si="7"/>
        <v>3</v>
      </c>
      <c r="K36" s="20" t="s">
        <v>16</v>
      </c>
    </row>
    <row r="37" spans="1:11" ht="15.75" customHeight="1" x14ac:dyDescent="0.25">
      <c r="A37" s="10" t="s">
        <v>55</v>
      </c>
      <c r="B37" s="11" t="s">
        <v>13</v>
      </c>
      <c r="C37" s="10" t="s">
        <v>25</v>
      </c>
      <c r="D37" s="12" t="s">
        <v>15</v>
      </c>
      <c r="E37" s="23" t="s">
        <v>18</v>
      </c>
      <c r="F37" s="12" t="s">
        <v>15</v>
      </c>
      <c r="G37" s="13">
        <f t="shared" si="4"/>
        <v>3</v>
      </c>
      <c r="H37" s="13">
        <f t="shared" si="5"/>
        <v>2</v>
      </c>
      <c r="I37" s="13">
        <f t="shared" si="6"/>
        <v>3</v>
      </c>
      <c r="J37" s="14">
        <f t="shared" si="7"/>
        <v>2.6666666666666665</v>
      </c>
      <c r="K37" s="15" t="s">
        <v>16</v>
      </c>
    </row>
    <row r="38" spans="1:11" ht="15.75" customHeight="1" x14ac:dyDescent="0.25">
      <c r="A38" s="16" t="s">
        <v>56</v>
      </c>
      <c r="B38" s="22" t="s">
        <v>20</v>
      </c>
      <c r="C38" s="16" t="s">
        <v>25</v>
      </c>
      <c r="D38" s="18" t="s">
        <v>15</v>
      </c>
      <c r="E38" s="19" t="s">
        <v>18</v>
      </c>
      <c r="F38" s="18" t="s">
        <v>15</v>
      </c>
      <c r="G38" s="13">
        <f t="shared" si="4"/>
        <v>3</v>
      </c>
      <c r="H38" s="13">
        <f t="shared" si="5"/>
        <v>2</v>
      </c>
      <c r="I38" s="13">
        <f t="shared" si="6"/>
        <v>3</v>
      </c>
      <c r="J38" s="14">
        <f t="shared" si="7"/>
        <v>2.6666666666666665</v>
      </c>
      <c r="K38" s="20" t="s">
        <v>16</v>
      </c>
    </row>
    <row r="39" spans="1:11" ht="15.75" customHeight="1" x14ac:dyDescent="0.25">
      <c r="A39" s="10" t="s">
        <v>57</v>
      </c>
      <c r="B39" s="21" t="s">
        <v>20</v>
      </c>
      <c r="C39" s="10" t="s">
        <v>14</v>
      </c>
      <c r="D39" s="12" t="s">
        <v>15</v>
      </c>
      <c r="E39" s="12" t="s">
        <v>15</v>
      </c>
      <c r="F39" s="23" t="s">
        <v>18</v>
      </c>
      <c r="G39" s="13">
        <f t="shared" si="4"/>
        <v>3</v>
      </c>
      <c r="H39" s="13">
        <f t="shared" si="5"/>
        <v>3</v>
      </c>
      <c r="I39" s="13">
        <f t="shared" si="6"/>
        <v>2</v>
      </c>
      <c r="J39" s="14">
        <f t="shared" si="7"/>
        <v>2.6666666666666665</v>
      </c>
      <c r="K39" s="15" t="s">
        <v>16</v>
      </c>
    </row>
    <row r="40" spans="1:11" ht="15.75" customHeight="1" x14ac:dyDescent="0.25">
      <c r="A40" s="16" t="s">
        <v>58</v>
      </c>
      <c r="B40" s="22" t="s">
        <v>20</v>
      </c>
      <c r="C40" s="16" t="s">
        <v>14</v>
      </c>
      <c r="D40" s="18" t="s">
        <v>15</v>
      </c>
      <c r="E40" s="18" t="s">
        <v>15</v>
      </c>
      <c r="F40" s="19" t="s">
        <v>18</v>
      </c>
      <c r="G40" s="13">
        <f t="shared" si="4"/>
        <v>3</v>
      </c>
      <c r="H40" s="13">
        <f t="shared" si="5"/>
        <v>3</v>
      </c>
      <c r="I40" s="13">
        <f t="shared" si="6"/>
        <v>2</v>
      </c>
      <c r="J40" s="14">
        <f t="shared" si="7"/>
        <v>2.6666666666666665</v>
      </c>
      <c r="K40" s="20" t="s">
        <v>16</v>
      </c>
    </row>
    <row r="41" spans="1:11" ht="15.75" customHeight="1" x14ac:dyDescent="0.25">
      <c r="A41" s="10" t="s">
        <v>59</v>
      </c>
      <c r="B41" s="21" t="s">
        <v>20</v>
      </c>
      <c r="C41" s="10" t="s">
        <v>14</v>
      </c>
      <c r="D41" s="12" t="s">
        <v>15</v>
      </c>
      <c r="E41" s="23" t="s">
        <v>18</v>
      </c>
      <c r="F41" s="24" t="s">
        <v>37</v>
      </c>
      <c r="G41" s="13">
        <f t="shared" si="4"/>
        <v>3</v>
      </c>
      <c r="H41" s="13">
        <f t="shared" si="5"/>
        <v>2</v>
      </c>
      <c r="I41" s="13">
        <f t="shared" si="6"/>
        <v>1</v>
      </c>
      <c r="J41" s="14">
        <f t="shared" si="7"/>
        <v>2</v>
      </c>
      <c r="K41" s="15" t="s">
        <v>16</v>
      </c>
    </row>
    <row r="42" spans="1:11" ht="15.75" customHeight="1" x14ac:dyDescent="0.25">
      <c r="A42" s="16" t="s">
        <v>39</v>
      </c>
      <c r="B42" s="17" t="s">
        <v>13</v>
      </c>
      <c r="C42" s="16" t="s">
        <v>25</v>
      </c>
      <c r="D42" s="18" t="s">
        <v>15</v>
      </c>
      <c r="E42" s="18" t="s">
        <v>15</v>
      </c>
      <c r="F42" s="18" t="s">
        <v>15</v>
      </c>
      <c r="G42" s="13">
        <f t="shared" si="4"/>
        <v>3</v>
      </c>
      <c r="H42" s="13">
        <f t="shared" si="5"/>
        <v>3</v>
      </c>
      <c r="I42" s="13">
        <f t="shared" si="6"/>
        <v>3</v>
      </c>
      <c r="J42" s="14">
        <f t="shared" si="7"/>
        <v>3</v>
      </c>
      <c r="K42" s="20" t="s">
        <v>16</v>
      </c>
    </row>
    <row r="43" spans="1:11" ht="15.75" customHeight="1" x14ac:dyDescent="0.25">
      <c r="A43" s="10" t="s">
        <v>60</v>
      </c>
      <c r="B43" s="11" t="s">
        <v>13</v>
      </c>
      <c r="C43" s="10" t="s">
        <v>14</v>
      </c>
      <c r="D43" s="23" t="s">
        <v>18</v>
      </c>
      <c r="E43" s="23" t="s">
        <v>18</v>
      </c>
      <c r="F43" s="23" t="s">
        <v>18</v>
      </c>
      <c r="G43" s="13">
        <f t="shared" si="4"/>
        <v>2</v>
      </c>
      <c r="H43" s="13">
        <f t="shared" si="5"/>
        <v>2</v>
      </c>
      <c r="I43" s="13">
        <f t="shared" si="6"/>
        <v>2</v>
      </c>
      <c r="J43" s="14">
        <f t="shared" si="7"/>
        <v>2</v>
      </c>
      <c r="K43" s="15" t="s">
        <v>16</v>
      </c>
    </row>
    <row r="44" spans="1:11" ht="15.75" customHeight="1" x14ac:dyDescent="0.25">
      <c r="A44" s="16" t="s">
        <v>61</v>
      </c>
      <c r="B44" s="17" t="s">
        <v>13</v>
      </c>
      <c r="C44" s="16" t="s">
        <v>25</v>
      </c>
      <c r="D44" s="18" t="s">
        <v>15</v>
      </c>
      <c r="E44" s="18" t="s">
        <v>15</v>
      </c>
      <c r="F44" s="18" t="s">
        <v>15</v>
      </c>
      <c r="G44" s="13">
        <f t="shared" si="4"/>
        <v>3</v>
      </c>
      <c r="H44" s="13">
        <f t="shared" si="5"/>
        <v>3</v>
      </c>
      <c r="I44" s="13">
        <f t="shared" si="6"/>
        <v>3</v>
      </c>
      <c r="J44" s="14">
        <f t="shared" si="7"/>
        <v>3</v>
      </c>
      <c r="K44" s="20" t="s">
        <v>16</v>
      </c>
    </row>
    <row r="45" spans="1:11" ht="15.75" customHeight="1" x14ac:dyDescent="0.25">
      <c r="A45" s="10" t="s">
        <v>62</v>
      </c>
      <c r="B45" s="11" t="s">
        <v>13</v>
      </c>
      <c r="C45" s="10" t="s">
        <v>25</v>
      </c>
      <c r="D45" s="12" t="s">
        <v>15</v>
      </c>
      <c r="E45" s="12" t="s">
        <v>15</v>
      </c>
      <c r="F45" s="23" t="s">
        <v>18</v>
      </c>
      <c r="G45" s="13">
        <f t="shared" si="4"/>
        <v>3</v>
      </c>
      <c r="H45" s="13">
        <f t="shared" si="5"/>
        <v>3</v>
      </c>
      <c r="I45" s="13">
        <f t="shared" si="6"/>
        <v>2</v>
      </c>
      <c r="J45" s="14">
        <f t="shared" si="7"/>
        <v>2.6666666666666665</v>
      </c>
      <c r="K45" s="15" t="s">
        <v>16</v>
      </c>
    </row>
    <row r="46" spans="1:11" ht="15.75" customHeight="1" x14ac:dyDescent="0.25">
      <c r="A46" s="16" t="s">
        <v>63</v>
      </c>
      <c r="B46" s="22" t="s">
        <v>20</v>
      </c>
      <c r="C46" s="16" t="s">
        <v>14</v>
      </c>
      <c r="D46" s="18" t="s">
        <v>15</v>
      </c>
      <c r="E46" s="18" t="s">
        <v>15</v>
      </c>
      <c r="F46" s="18" t="s">
        <v>15</v>
      </c>
      <c r="G46" s="13">
        <f t="shared" si="4"/>
        <v>3</v>
      </c>
      <c r="H46" s="13">
        <f t="shared" si="5"/>
        <v>3</v>
      </c>
      <c r="I46" s="13">
        <f t="shared" si="6"/>
        <v>3</v>
      </c>
      <c r="J46" s="14">
        <f t="shared" si="7"/>
        <v>3</v>
      </c>
      <c r="K46" s="20" t="s">
        <v>16</v>
      </c>
    </row>
    <row r="47" spans="1:11" ht="15.75" customHeight="1" x14ac:dyDescent="0.25">
      <c r="A47" s="10" t="s">
        <v>64</v>
      </c>
      <c r="B47" s="21" t="s">
        <v>20</v>
      </c>
      <c r="C47" s="10" t="s">
        <v>14</v>
      </c>
      <c r="D47" s="23" t="s">
        <v>18</v>
      </c>
      <c r="E47" s="23" t="s">
        <v>18</v>
      </c>
      <c r="F47" s="12" t="s">
        <v>15</v>
      </c>
      <c r="G47" s="13">
        <f t="shared" si="4"/>
        <v>2</v>
      </c>
      <c r="H47" s="13">
        <f t="shared" si="5"/>
        <v>2</v>
      </c>
      <c r="I47" s="13">
        <f t="shared" si="6"/>
        <v>3</v>
      </c>
      <c r="J47" s="14">
        <f t="shared" si="7"/>
        <v>2.3333333333333335</v>
      </c>
      <c r="K47" s="15" t="s">
        <v>16</v>
      </c>
    </row>
    <row r="48" spans="1:11" ht="15.75" customHeight="1" x14ac:dyDescent="0.25">
      <c r="A48" s="16" t="s">
        <v>65</v>
      </c>
      <c r="B48" s="17" t="s">
        <v>13</v>
      </c>
      <c r="C48" s="16" t="s">
        <v>25</v>
      </c>
      <c r="D48" s="18" t="s">
        <v>15</v>
      </c>
      <c r="E48" s="19" t="s">
        <v>18</v>
      </c>
      <c r="F48" s="18" t="s">
        <v>15</v>
      </c>
      <c r="G48" s="13">
        <f t="shared" si="4"/>
        <v>3</v>
      </c>
      <c r="H48" s="13">
        <f t="shared" si="5"/>
        <v>2</v>
      </c>
      <c r="I48" s="13">
        <f t="shared" si="6"/>
        <v>3</v>
      </c>
      <c r="J48" s="14">
        <f t="shared" si="7"/>
        <v>2.6666666666666665</v>
      </c>
      <c r="K48" s="20" t="s">
        <v>16</v>
      </c>
    </row>
    <row r="49" spans="1:11" ht="15.75" customHeight="1" x14ac:dyDescent="0.25">
      <c r="A49" s="10" t="s">
        <v>66</v>
      </c>
      <c r="B49" s="21" t="s">
        <v>20</v>
      </c>
      <c r="C49" s="10" t="s">
        <v>14</v>
      </c>
      <c r="D49" s="12" t="s">
        <v>15</v>
      </c>
      <c r="E49" s="12" t="s">
        <v>15</v>
      </c>
      <c r="F49" s="12" t="s">
        <v>15</v>
      </c>
      <c r="G49" s="13">
        <f t="shared" si="4"/>
        <v>3</v>
      </c>
      <c r="H49" s="13">
        <f t="shared" si="5"/>
        <v>3</v>
      </c>
      <c r="I49" s="13">
        <f t="shared" si="6"/>
        <v>3</v>
      </c>
      <c r="J49" s="14">
        <f t="shared" si="7"/>
        <v>3</v>
      </c>
      <c r="K49" s="15" t="s">
        <v>16</v>
      </c>
    </row>
    <row r="50" spans="1:11" ht="15.75" customHeight="1" x14ac:dyDescent="0.25">
      <c r="A50" s="16" t="s">
        <v>67</v>
      </c>
      <c r="B50" s="22" t="s">
        <v>20</v>
      </c>
      <c r="C50" s="16" t="s">
        <v>25</v>
      </c>
      <c r="D50" s="18" t="s">
        <v>15</v>
      </c>
      <c r="E50" s="18" t="s">
        <v>15</v>
      </c>
      <c r="F50" s="18" t="s">
        <v>15</v>
      </c>
      <c r="G50" s="13">
        <f t="shared" si="4"/>
        <v>3</v>
      </c>
      <c r="H50" s="13">
        <f t="shared" si="5"/>
        <v>3</v>
      </c>
      <c r="I50" s="13">
        <f t="shared" si="6"/>
        <v>3</v>
      </c>
      <c r="J50" s="14">
        <f t="shared" si="7"/>
        <v>3</v>
      </c>
      <c r="K50" s="20" t="s">
        <v>16</v>
      </c>
    </row>
    <row r="51" spans="1:11" ht="15.75" customHeight="1" x14ac:dyDescent="0.25">
      <c r="A51" s="10" t="s">
        <v>68</v>
      </c>
      <c r="B51" s="11" t="s">
        <v>13</v>
      </c>
      <c r="C51" s="10" t="s">
        <v>25</v>
      </c>
      <c r="D51" s="12" t="s">
        <v>15</v>
      </c>
      <c r="E51" s="12" t="s">
        <v>15</v>
      </c>
      <c r="F51" s="23" t="s">
        <v>18</v>
      </c>
      <c r="G51" s="13">
        <f t="shared" si="4"/>
        <v>3</v>
      </c>
      <c r="H51" s="13">
        <f t="shared" si="5"/>
        <v>3</v>
      </c>
      <c r="I51" s="13">
        <f t="shared" si="6"/>
        <v>2</v>
      </c>
      <c r="J51" s="14">
        <f t="shared" si="7"/>
        <v>2.6666666666666665</v>
      </c>
      <c r="K51" s="15" t="s">
        <v>16</v>
      </c>
    </row>
    <row r="52" spans="1:11" ht="15.75" customHeight="1" x14ac:dyDescent="0.25">
      <c r="A52" s="16" t="s">
        <v>69</v>
      </c>
      <c r="B52" s="22" t="s">
        <v>20</v>
      </c>
      <c r="C52" s="16" t="s">
        <v>25</v>
      </c>
      <c r="D52" s="18" t="s">
        <v>15</v>
      </c>
      <c r="E52" s="18" t="s">
        <v>15</v>
      </c>
      <c r="F52" s="19" t="s">
        <v>18</v>
      </c>
      <c r="G52" s="13">
        <f t="shared" si="4"/>
        <v>3</v>
      </c>
      <c r="H52" s="13">
        <f t="shared" si="5"/>
        <v>3</v>
      </c>
      <c r="I52" s="13">
        <f t="shared" si="6"/>
        <v>2</v>
      </c>
      <c r="J52" s="14">
        <f t="shared" si="7"/>
        <v>2.6666666666666665</v>
      </c>
      <c r="K52" s="20" t="s">
        <v>16</v>
      </c>
    </row>
    <row r="53" spans="1:11" ht="15.75" customHeight="1" x14ac:dyDescent="0.25">
      <c r="A53" s="10" t="s">
        <v>70</v>
      </c>
      <c r="B53" s="21" t="s">
        <v>20</v>
      </c>
      <c r="C53" s="10" t="s">
        <v>23</v>
      </c>
      <c r="D53" s="12" t="s">
        <v>15</v>
      </c>
      <c r="E53" s="23" t="s">
        <v>18</v>
      </c>
      <c r="F53" s="12" t="s">
        <v>15</v>
      </c>
      <c r="G53" s="13">
        <f t="shared" si="4"/>
        <v>3</v>
      </c>
      <c r="H53" s="13">
        <f t="shared" si="5"/>
        <v>2</v>
      </c>
      <c r="I53" s="13">
        <f t="shared" si="6"/>
        <v>3</v>
      </c>
      <c r="J53" s="14">
        <f t="shared" si="7"/>
        <v>2.6666666666666665</v>
      </c>
      <c r="K53" s="15" t="s">
        <v>16</v>
      </c>
    </row>
    <row r="54" spans="1:11" ht="15.75" customHeight="1" x14ac:dyDescent="0.25">
      <c r="A54" s="16" t="s">
        <v>71</v>
      </c>
      <c r="B54" s="22" t="s">
        <v>20</v>
      </c>
      <c r="C54" s="16" t="s">
        <v>25</v>
      </c>
      <c r="D54" s="18" t="s">
        <v>15</v>
      </c>
      <c r="E54" s="18" t="s">
        <v>15</v>
      </c>
      <c r="F54" s="18" t="s">
        <v>15</v>
      </c>
      <c r="G54" s="13">
        <f t="shared" si="4"/>
        <v>3</v>
      </c>
      <c r="H54" s="13">
        <f t="shared" si="5"/>
        <v>3</v>
      </c>
      <c r="I54" s="13">
        <f t="shared" si="6"/>
        <v>3</v>
      </c>
      <c r="J54" s="14">
        <f t="shared" si="7"/>
        <v>3</v>
      </c>
      <c r="K54" s="20" t="s">
        <v>16</v>
      </c>
    </row>
    <row r="55" spans="1:11" ht="15.75" customHeight="1" x14ac:dyDescent="0.25">
      <c r="A55" s="10" t="s">
        <v>38</v>
      </c>
      <c r="B55" s="21" t="s">
        <v>20</v>
      </c>
      <c r="C55" s="10" t="s">
        <v>25</v>
      </c>
      <c r="D55" s="12" t="s">
        <v>15</v>
      </c>
      <c r="E55" s="23" t="s">
        <v>18</v>
      </c>
      <c r="F55" s="12" t="s">
        <v>15</v>
      </c>
      <c r="G55" s="13">
        <f t="shared" si="4"/>
        <v>3</v>
      </c>
      <c r="H55" s="13">
        <f t="shared" si="5"/>
        <v>2</v>
      </c>
      <c r="I55" s="13">
        <f t="shared" si="6"/>
        <v>3</v>
      </c>
      <c r="J55" s="14">
        <f t="shared" si="7"/>
        <v>2.6666666666666665</v>
      </c>
      <c r="K55" s="15" t="s">
        <v>16</v>
      </c>
    </row>
    <row r="56" spans="1:11" ht="15.75" customHeight="1" x14ac:dyDescent="0.25">
      <c r="A56" s="16" t="s">
        <v>72</v>
      </c>
      <c r="B56" s="22" t="s">
        <v>20</v>
      </c>
      <c r="C56" s="16" t="s">
        <v>25</v>
      </c>
      <c r="D56" s="18" t="s">
        <v>15</v>
      </c>
      <c r="E56" s="19" t="s">
        <v>18</v>
      </c>
      <c r="F56" s="19" t="s">
        <v>18</v>
      </c>
      <c r="G56" s="13">
        <f t="shared" si="4"/>
        <v>3</v>
      </c>
      <c r="H56" s="13">
        <f t="shared" si="5"/>
        <v>2</v>
      </c>
      <c r="I56" s="13">
        <f t="shared" si="6"/>
        <v>2</v>
      </c>
      <c r="J56" s="14">
        <f t="shared" si="7"/>
        <v>2.3333333333333335</v>
      </c>
      <c r="K56" s="20" t="s">
        <v>16</v>
      </c>
    </row>
    <row r="57" spans="1:11" ht="15.75" customHeight="1" x14ac:dyDescent="0.25">
      <c r="A57" s="10" t="s">
        <v>73</v>
      </c>
      <c r="B57" s="21" t="s">
        <v>20</v>
      </c>
      <c r="C57" s="10" t="s">
        <v>25</v>
      </c>
      <c r="D57" s="12" t="s">
        <v>15</v>
      </c>
      <c r="E57" s="23" t="s">
        <v>18</v>
      </c>
      <c r="F57" s="12" t="s">
        <v>15</v>
      </c>
      <c r="G57" s="13">
        <f t="shared" si="4"/>
        <v>3</v>
      </c>
      <c r="H57" s="13">
        <f t="shared" si="5"/>
        <v>2</v>
      </c>
      <c r="I57" s="13">
        <f t="shared" si="6"/>
        <v>3</v>
      </c>
      <c r="J57" s="14">
        <f t="shared" si="7"/>
        <v>2.6666666666666665</v>
      </c>
      <c r="K57" s="15" t="s">
        <v>16</v>
      </c>
    </row>
    <row r="58" spans="1:11" ht="15.75" customHeight="1" x14ac:dyDescent="0.25">
      <c r="A58" s="16" t="s">
        <v>74</v>
      </c>
      <c r="B58" s="22" t="s">
        <v>20</v>
      </c>
      <c r="C58" s="16" t="s">
        <v>75</v>
      </c>
      <c r="D58" s="18" t="s">
        <v>15</v>
      </c>
      <c r="E58" s="18" t="s">
        <v>15</v>
      </c>
      <c r="F58" s="19" t="s">
        <v>18</v>
      </c>
      <c r="G58" s="13">
        <f t="shared" si="4"/>
        <v>3</v>
      </c>
      <c r="H58" s="13">
        <f t="shared" si="5"/>
        <v>3</v>
      </c>
      <c r="I58" s="13">
        <f t="shared" si="6"/>
        <v>2</v>
      </c>
      <c r="J58" s="14">
        <f t="shared" si="7"/>
        <v>2.6666666666666665</v>
      </c>
      <c r="K58" s="20" t="s">
        <v>16</v>
      </c>
    </row>
    <row r="59" spans="1:11" ht="15.75" customHeight="1" x14ac:dyDescent="0.25">
      <c r="A59" s="10" t="s">
        <v>76</v>
      </c>
      <c r="B59" s="21" t="s">
        <v>20</v>
      </c>
      <c r="C59" s="10" t="s">
        <v>75</v>
      </c>
      <c r="D59" s="12" t="s">
        <v>15</v>
      </c>
      <c r="E59" s="23" t="s">
        <v>18</v>
      </c>
      <c r="F59" s="12" t="s">
        <v>15</v>
      </c>
      <c r="G59" s="13">
        <f t="shared" si="4"/>
        <v>3</v>
      </c>
      <c r="H59" s="13">
        <f t="shared" si="5"/>
        <v>2</v>
      </c>
      <c r="I59" s="13">
        <f t="shared" si="6"/>
        <v>3</v>
      </c>
      <c r="J59" s="14">
        <f t="shared" si="7"/>
        <v>2.6666666666666665</v>
      </c>
      <c r="K59" s="15" t="s">
        <v>16</v>
      </c>
    </row>
    <row r="60" spans="1:11" ht="15.75" customHeight="1" x14ac:dyDescent="0.25">
      <c r="A60" s="16" t="s">
        <v>77</v>
      </c>
      <c r="B60" s="22" t="s">
        <v>20</v>
      </c>
      <c r="C60" s="16" t="s">
        <v>75</v>
      </c>
      <c r="D60" s="19" t="s">
        <v>18</v>
      </c>
      <c r="E60" s="19" t="s">
        <v>18</v>
      </c>
      <c r="F60" s="19" t="s">
        <v>18</v>
      </c>
      <c r="G60" s="13">
        <f t="shared" si="4"/>
        <v>2</v>
      </c>
      <c r="H60" s="13">
        <f t="shared" si="5"/>
        <v>2</v>
      </c>
      <c r="I60" s="13">
        <f t="shared" si="6"/>
        <v>2</v>
      </c>
      <c r="J60" s="14">
        <f t="shared" si="7"/>
        <v>2</v>
      </c>
      <c r="K60" s="20" t="s">
        <v>16</v>
      </c>
    </row>
    <row r="61" spans="1:11" ht="15.75" customHeight="1" x14ac:dyDescent="0.25">
      <c r="A61" s="10" t="s">
        <v>78</v>
      </c>
      <c r="B61" s="21" t="s">
        <v>20</v>
      </c>
      <c r="C61" s="10" t="s">
        <v>75</v>
      </c>
      <c r="D61" s="12" t="s">
        <v>15</v>
      </c>
      <c r="E61" s="12" t="s">
        <v>15</v>
      </c>
      <c r="F61" s="23" t="s">
        <v>18</v>
      </c>
      <c r="G61" s="13">
        <f t="shared" si="4"/>
        <v>3</v>
      </c>
      <c r="H61" s="13">
        <f t="shared" si="5"/>
        <v>3</v>
      </c>
      <c r="I61" s="13">
        <f t="shared" si="6"/>
        <v>2</v>
      </c>
      <c r="J61" s="14">
        <f t="shared" si="7"/>
        <v>2.6666666666666665</v>
      </c>
      <c r="K61" s="15" t="s">
        <v>16</v>
      </c>
    </row>
    <row r="62" spans="1:11" ht="15.75" customHeight="1" x14ac:dyDescent="0.25">
      <c r="A62" s="16" t="s">
        <v>79</v>
      </c>
      <c r="B62" s="22" t="s">
        <v>20</v>
      </c>
      <c r="C62" s="16" t="s">
        <v>75</v>
      </c>
      <c r="D62" s="19" t="s">
        <v>18</v>
      </c>
      <c r="E62" s="19" t="s">
        <v>18</v>
      </c>
      <c r="F62" s="19" t="s">
        <v>18</v>
      </c>
      <c r="G62" s="13">
        <f t="shared" si="4"/>
        <v>2</v>
      </c>
      <c r="H62" s="13">
        <f t="shared" si="5"/>
        <v>2</v>
      </c>
      <c r="I62" s="13">
        <f t="shared" si="6"/>
        <v>2</v>
      </c>
      <c r="J62" s="14">
        <f t="shared" si="7"/>
        <v>2</v>
      </c>
      <c r="K62" s="20" t="s">
        <v>16</v>
      </c>
    </row>
    <row r="63" spans="1:11" ht="15.75" customHeight="1" x14ac:dyDescent="0.25">
      <c r="A63" s="10" t="s">
        <v>80</v>
      </c>
      <c r="B63" s="11" t="s">
        <v>13</v>
      </c>
      <c r="C63" s="10" t="s">
        <v>81</v>
      </c>
      <c r="D63" s="12" t="s">
        <v>15</v>
      </c>
      <c r="E63" s="12" t="s">
        <v>15</v>
      </c>
      <c r="F63" s="23" t="s">
        <v>18</v>
      </c>
      <c r="G63" s="13">
        <f t="shared" si="4"/>
        <v>3</v>
      </c>
      <c r="H63" s="13">
        <f t="shared" si="5"/>
        <v>3</v>
      </c>
      <c r="I63" s="13">
        <f t="shared" si="6"/>
        <v>2</v>
      </c>
      <c r="J63" s="14">
        <f t="shared" si="7"/>
        <v>2.6666666666666665</v>
      </c>
      <c r="K63" s="15" t="s">
        <v>16</v>
      </c>
    </row>
    <row r="64" spans="1:11" ht="15.75" customHeight="1" x14ac:dyDescent="0.25">
      <c r="A64" s="16" t="s">
        <v>82</v>
      </c>
      <c r="B64" s="17" t="s">
        <v>13</v>
      </c>
      <c r="C64" s="16" t="s">
        <v>81</v>
      </c>
      <c r="D64" s="18" t="s">
        <v>15</v>
      </c>
      <c r="E64" s="18" t="s">
        <v>15</v>
      </c>
      <c r="F64" s="19" t="s">
        <v>18</v>
      </c>
      <c r="G64" s="13">
        <f t="shared" si="4"/>
        <v>3</v>
      </c>
      <c r="H64" s="13">
        <f t="shared" si="5"/>
        <v>3</v>
      </c>
      <c r="I64" s="13">
        <f t="shared" si="6"/>
        <v>2</v>
      </c>
      <c r="J64" s="14">
        <f t="shared" si="7"/>
        <v>2.6666666666666665</v>
      </c>
      <c r="K64" s="20" t="s">
        <v>16</v>
      </c>
    </row>
    <row r="65" spans="1:11" ht="15.75" customHeight="1" x14ac:dyDescent="0.25">
      <c r="A65" s="10" t="s">
        <v>83</v>
      </c>
      <c r="B65" s="11" t="s">
        <v>13</v>
      </c>
      <c r="C65" s="10" t="s">
        <v>81</v>
      </c>
      <c r="D65" s="12" t="s">
        <v>15</v>
      </c>
      <c r="E65" s="12" t="s">
        <v>15</v>
      </c>
      <c r="F65" s="12" t="s">
        <v>15</v>
      </c>
      <c r="G65" s="13">
        <f t="shared" si="4"/>
        <v>3</v>
      </c>
      <c r="H65" s="13">
        <f t="shared" si="5"/>
        <v>3</v>
      </c>
      <c r="I65" s="13">
        <f t="shared" si="6"/>
        <v>3</v>
      </c>
      <c r="J65" s="14">
        <f t="shared" si="7"/>
        <v>3</v>
      </c>
      <c r="K65" s="15" t="s">
        <v>16</v>
      </c>
    </row>
    <row r="66" spans="1:11" ht="15.75" customHeight="1" x14ac:dyDescent="0.25">
      <c r="A66" s="16" t="s">
        <v>84</v>
      </c>
      <c r="B66" s="22" t="s">
        <v>20</v>
      </c>
      <c r="C66" s="16" t="s">
        <v>81</v>
      </c>
      <c r="D66" s="18" t="s">
        <v>15</v>
      </c>
      <c r="E66" s="18" t="s">
        <v>15</v>
      </c>
      <c r="F66" s="18" t="s">
        <v>15</v>
      </c>
      <c r="G66" s="13">
        <f t="shared" si="4"/>
        <v>3</v>
      </c>
      <c r="H66" s="13">
        <f t="shared" si="5"/>
        <v>3</v>
      </c>
      <c r="I66" s="13">
        <f t="shared" si="6"/>
        <v>3</v>
      </c>
      <c r="J66" s="14">
        <f t="shared" si="7"/>
        <v>3</v>
      </c>
      <c r="K66" s="20" t="s">
        <v>16</v>
      </c>
    </row>
    <row r="67" spans="1:11" ht="15.75" customHeight="1" x14ac:dyDescent="0.25">
      <c r="A67" s="10" t="s">
        <v>85</v>
      </c>
      <c r="B67" s="11" t="s">
        <v>13</v>
      </c>
      <c r="C67" s="10" t="s">
        <v>81</v>
      </c>
      <c r="D67" s="12" t="s">
        <v>15</v>
      </c>
      <c r="E67" s="23" t="s">
        <v>18</v>
      </c>
      <c r="F67" s="23" t="s">
        <v>18</v>
      </c>
      <c r="G67" s="13">
        <f t="shared" ref="G67:G98" si="8">IF(D67="Excelente",3,IF(D67="Buena",2,IF(D67="Regular",1,IF(D67="Deficiente",0,""))))</f>
        <v>3</v>
      </c>
      <c r="H67" s="13">
        <f t="shared" ref="H67:H98" si="9">IF(E67="Excelente",3,IF(E67="Buena",2,IF(E67="Regular",1,IF(E67="Deficiente",0,""))))</f>
        <v>2</v>
      </c>
      <c r="I67" s="13">
        <f t="shared" ref="I67:I98" si="10">IF(F67="Excelente",3,IF(F67="Buena",2,IF(F67="Regular",1,IF(F67="Deficiente",0,""))))</f>
        <v>2</v>
      </c>
      <c r="J67" s="14">
        <f t="shared" ref="J67:J98" si="11">IFERROR(AVERAGE(G67:I67),"")</f>
        <v>2.3333333333333335</v>
      </c>
      <c r="K67" s="15" t="s">
        <v>16</v>
      </c>
    </row>
    <row r="68" spans="1:11" ht="15.75" customHeight="1" x14ac:dyDescent="0.25">
      <c r="A68" s="16" t="s">
        <v>86</v>
      </c>
      <c r="B68" s="17" t="s">
        <v>13</v>
      </c>
      <c r="C68" s="16" t="s">
        <v>81</v>
      </c>
      <c r="D68" s="18" t="s">
        <v>15</v>
      </c>
      <c r="E68" s="18" t="s">
        <v>15</v>
      </c>
      <c r="F68" s="19" t="s">
        <v>18</v>
      </c>
      <c r="G68" s="13">
        <f t="shared" si="8"/>
        <v>3</v>
      </c>
      <c r="H68" s="13">
        <f t="shared" si="9"/>
        <v>3</v>
      </c>
      <c r="I68" s="13">
        <f t="shared" si="10"/>
        <v>2</v>
      </c>
      <c r="J68" s="14">
        <f t="shared" si="11"/>
        <v>2.6666666666666665</v>
      </c>
      <c r="K68" s="20" t="s">
        <v>16</v>
      </c>
    </row>
    <row r="69" spans="1:11" ht="15.75" customHeight="1" x14ac:dyDescent="0.25">
      <c r="A69" s="10" t="s">
        <v>87</v>
      </c>
      <c r="B69" s="11" t="s">
        <v>13</v>
      </c>
      <c r="C69" s="10" t="s">
        <v>81</v>
      </c>
      <c r="D69" s="12" t="s">
        <v>15</v>
      </c>
      <c r="E69" s="12" t="s">
        <v>15</v>
      </c>
      <c r="F69" s="12" t="s">
        <v>15</v>
      </c>
      <c r="G69" s="13">
        <f t="shared" si="8"/>
        <v>3</v>
      </c>
      <c r="H69" s="13">
        <f t="shared" si="9"/>
        <v>3</v>
      </c>
      <c r="I69" s="13">
        <f t="shared" si="10"/>
        <v>3</v>
      </c>
      <c r="J69" s="14">
        <f t="shared" si="11"/>
        <v>3</v>
      </c>
      <c r="K69" s="15" t="s">
        <v>16</v>
      </c>
    </row>
    <row r="70" spans="1:11" ht="15.75" customHeight="1" x14ac:dyDescent="0.25">
      <c r="A70" s="16" t="s">
        <v>88</v>
      </c>
      <c r="B70" s="17" t="s">
        <v>13</v>
      </c>
      <c r="C70" s="16" t="s">
        <v>81</v>
      </c>
      <c r="D70" s="18" t="s">
        <v>15</v>
      </c>
      <c r="E70" s="18" t="s">
        <v>15</v>
      </c>
      <c r="F70" s="18" t="s">
        <v>15</v>
      </c>
      <c r="G70" s="13">
        <f t="shared" si="8"/>
        <v>3</v>
      </c>
      <c r="H70" s="13">
        <f t="shared" si="9"/>
        <v>3</v>
      </c>
      <c r="I70" s="13">
        <f t="shared" si="10"/>
        <v>3</v>
      </c>
      <c r="J70" s="14">
        <f t="shared" si="11"/>
        <v>3</v>
      </c>
      <c r="K70" s="20" t="s">
        <v>16</v>
      </c>
    </row>
    <row r="71" spans="1:11" ht="15.75" customHeight="1" x14ac:dyDescent="0.25">
      <c r="A71" s="10" t="s">
        <v>89</v>
      </c>
      <c r="B71" s="21" t="s">
        <v>20</v>
      </c>
      <c r="C71" s="10" t="s">
        <v>90</v>
      </c>
      <c r="D71" s="12" t="s">
        <v>15</v>
      </c>
      <c r="E71" s="12" t="s">
        <v>15</v>
      </c>
      <c r="F71" s="23" t="s">
        <v>18</v>
      </c>
      <c r="G71" s="13">
        <f t="shared" si="8"/>
        <v>3</v>
      </c>
      <c r="H71" s="13">
        <f t="shared" si="9"/>
        <v>3</v>
      </c>
      <c r="I71" s="13">
        <f t="shared" si="10"/>
        <v>2</v>
      </c>
      <c r="J71" s="14">
        <f t="shared" si="11"/>
        <v>2.6666666666666665</v>
      </c>
      <c r="K71" s="15" t="s">
        <v>16</v>
      </c>
    </row>
    <row r="72" spans="1:11" ht="15.75" customHeight="1" x14ac:dyDescent="0.25">
      <c r="A72" s="16" t="s">
        <v>91</v>
      </c>
      <c r="B72" s="22" t="s">
        <v>20</v>
      </c>
      <c r="C72" s="16" t="s">
        <v>90</v>
      </c>
      <c r="D72" s="18" t="s">
        <v>15</v>
      </c>
      <c r="E72" s="18" t="s">
        <v>15</v>
      </c>
      <c r="F72" s="18" t="s">
        <v>15</v>
      </c>
      <c r="G72" s="13">
        <f t="shared" si="8"/>
        <v>3</v>
      </c>
      <c r="H72" s="13">
        <f t="shared" si="9"/>
        <v>3</v>
      </c>
      <c r="I72" s="13">
        <f t="shared" si="10"/>
        <v>3</v>
      </c>
      <c r="J72" s="14">
        <f t="shared" si="11"/>
        <v>3</v>
      </c>
      <c r="K72" s="20" t="s">
        <v>16</v>
      </c>
    </row>
    <row r="73" spans="1:11" ht="15.75" customHeight="1" x14ac:dyDescent="0.25">
      <c r="A73" s="10" t="s">
        <v>92</v>
      </c>
      <c r="B73" s="21" t="s">
        <v>20</v>
      </c>
      <c r="C73" s="10" t="s">
        <v>81</v>
      </c>
      <c r="D73" s="12" t="s">
        <v>15</v>
      </c>
      <c r="E73" s="12" t="s">
        <v>15</v>
      </c>
      <c r="F73" s="12" t="s">
        <v>15</v>
      </c>
      <c r="G73" s="13">
        <f t="shared" si="8"/>
        <v>3</v>
      </c>
      <c r="H73" s="13">
        <f t="shared" si="9"/>
        <v>3</v>
      </c>
      <c r="I73" s="13">
        <f t="shared" si="10"/>
        <v>3</v>
      </c>
      <c r="J73" s="14">
        <f t="shared" si="11"/>
        <v>3</v>
      </c>
      <c r="K73" s="15" t="s">
        <v>16</v>
      </c>
    </row>
    <row r="74" spans="1:11" ht="15.75" customHeight="1" x14ac:dyDescent="0.25">
      <c r="A74" s="16" t="s">
        <v>93</v>
      </c>
      <c r="B74" s="17" t="s">
        <v>13</v>
      </c>
      <c r="C74" s="16" t="s">
        <v>81</v>
      </c>
      <c r="D74" s="19" t="s">
        <v>18</v>
      </c>
      <c r="E74" s="18" t="s">
        <v>15</v>
      </c>
      <c r="F74" s="19" t="s">
        <v>18</v>
      </c>
      <c r="G74" s="13">
        <f t="shared" si="8"/>
        <v>2</v>
      </c>
      <c r="H74" s="13">
        <f t="shared" si="9"/>
        <v>3</v>
      </c>
      <c r="I74" s="13">
        <f t="shared" si="10"/>
        <v>2</v>
      </c>
      <c r="J74" s="14">
        <f t="shared" si="11"/>
        <v>2.3333333333333335</v>
      </c>
      <c r="K74" s="20" t="s">
        <v>16</v>
      </c>
    </row>
    <row r="75" spans="1:11" ht="15.75" customHeight="1" x14ac:dyDescent="0.25">
      <c r="A75" s="10" t="s">
        <v>94</v>
      </c>
      <c r="B75" s="11" t="s">
        <v>13</v>
      </c>
      <c r="C75" s="10" t="s">
        <v>81</v>
      </c>
      <c r="D75" s="12" t="s">
        <v>15</v>
      </c>
      <c r="E75" s="23" t="s">
        <v>18</v>
      </c>
      <c r="F75" s="12" t="s">
        <v>15</v>
      </c>
      <c r="G75" s="13">
        <f t="shared" si="8"/>
        <v>3</v>
      </c>
      <c r="H75" s="13">
        <f t="shared" si="9"/>
        <v>2</v>
      </c>
      <c r="I75" s="13">
        <f t="shared" si="10"/>
        <v>3</v>
      </c>
      <c r="J75" s="14">
        <f t="shared" si="11"/>
        <v>2.6666666666666665</v>
      </c>
      <c r="K75" s="15" t="s">
        <v>16</v>
      </c>
    </row>
    <row r="76" spans="1:11" ht="15.75" customHeight="1" x14ac:dyDescent="0.25">
      <c r="A76" s="16" t="s">
        <v>95</v>
      </c>
      <c r="B76" s="17" t="s">
        <v>13</v>
      </c>
      <c r="C76" s="16" t="s">
        <v>81</v>
      </c>
      <c r="D76" s="18" t="s">
        <v>15</v>
      </c>
      <c r="E76" s="18" t="s">
        <v>15</v>
      </c>
      <c r="F76" s="18" t="s">
        <v>15</v>
      </c>
      <c r="G76" s="13">
        <f t="shared" si="8"/>
        <v>3</v>
      </c>
      <c r="H76" s="13">
        <f t="shared" si="9"/>
        <v>3</v>
      </c>
      <c r="I76" s="13">
        <f t="shared" si="10"/>
        <v>3</v>
      </c>
      <c r="J76" s="14">
        <f t="shared" si="11"/>
        <v>3</v>
      </c>
      <c r="K76" s="20" t="s">
        <v>16</v>
      </c>
    </row>
    <row r="77" spans="1:11" ht="15.75" customHeight="1" x14ac:dyDescent="0.25">
      <c r="A77" s="10" t="s">
        <v>96</v>
      </c>
      <c r="B77" s="11" t="s">
        <v>13</v>
      </c>
      <c r="C77" s="10" t="s">
        <v>81</v>
      </c>
      <c r="D77" s="12" t="s">
        <v>15</v>
      </c>
      <c r="E77" s="23" t="s">
        <v>18</v>
      </c>
      <c r="F77" s="12" t="s">
        <v>15</v>
      </c>
      <c r="G77" s="13">
        <f t="shared" si="8"/>
        <v>3</v>
      </c>
      <c r="H77" s="13">
        <f t="shared" si="9"/>
        <v>2</v>
      </c>
      <c r="I77" s="13">
        <f t="shared" si="10"/>
        <v>3</v>
      </c>
      <c r="J77" s="14">
        <f t="shared" si="11"/>
        <v>2.6666666666666665</v>
      </c>
      <c r="K77" s="15" t="s">
        <v>16</v>
      </c>
    </row>
    <row r="78" spans="1:11" ht="15.75" customHeight="1" x14ac:dyDescent="0.25">
      <c r="A78" s="16" t="s">
        <v>97</v>
      </c>
      <c r="B78" s="17" t="s">
        <v>13</v>
      </c>
      <c r="C78" s="16" t="s">
        <v>81</v>
      </c>
      <c r="D78" s="18" t="s">
        <v>15</v>
      </c>
      <c r="E78" s="18" t="s">
        <v>15</v>
      </c>
      <c r="F78" s="19" t="s">
        <v>18</v>
      </c>
      <c r="G78" s="13">
        <f t="shared" si="8"/>
        <v>3</v>
      </c>
      <c r="H78" s="13">
        <f t="shared" si="9"/>
        <v>3</v>
      </c>
      <c r="I78" s="13">
        <f t="shared" si="10"/>
        <v>2</v>
      </c>
      <c r="J78" s="14">
        <f t="shared" si="11"/>
        <v>2.6666666666666665</v>
      </c>
      <c r="K78" s="20" t="s">
        <v>16</v>
      </c>
    </row>
    <row r="79" spans="1:11" ht="15.75" customHeight="1" x14ac:dyDescent="0.25">
      <c r="A79" s="10" t="s">
        <v>98</v>
      </c>
      <c r="B79" s="21" t="s">
        <v>20</v>
      </c>
      <c r="C79" s="10" t="s">
        <v>90</v>
      </c>
      <c r="D79" s="12" t="s">
        <v>15</v>
      </c>
      <c r="E79" s="12" t="s">
        <v>15</v>
      </c>
      <c r="F79" s="23" t="s">
        <v>18</v>
      </c>
      <c r="G79" s="13">
        <f t="shared" si="8"/>
        <v>3</v>
      </c>
      <c r="H79" s="13">
        <f t="shared" si="9"/>
        <v>3</v>
      </c>
      <c r="I79" s="13">
        <f t="shared" si="10"/>
        <v>2</v>
      </c>
      <c r="J79" s="14">
        <f t="shared" si="11"/>
        <v>2.6666666666666665</v>
      </c>
      <c r="K79" s="15" t="s">
        <v>16</v>
      </c>
    </row>
    <row r="80" spans="1:11" ht="15.75" customHeight="1" x14ac:dyDescent="0.25">
      <c r="A80" s="16" t="s">
        <v>99</v>
      </c>
      <c r="B80" s="17" t="s">
        <v>13</v>
      </c>
      <c r="C80" s="16" t="s">
        <v>100</v>
      </c>
      <c r="D80" s="18" t="s">
        <v>15</v>
      </c>
      <c r="E80" s="19" t="s">
        <v>18</v>
      </c>
      <c r="F80" s="19" t="s">
        <v>18</v>
      </c>
      <c r="G80" s="13">
        <f t="shared" si="8"/>
        <v>3</v>
      </c>
      <c r="H80" s="13">
        <f t="shared" si="9"/>
        <v>2</v>
      </c>
      <c r="I80" s="13">
        <f t="shared" si="10"/>
        <v>2</v>
      </c>
      <c r="J80" s="14">
        <f t="shared" si="11"/>
        <v>2.3333333333333335</v>
      </c>
      <c r="K80" s="20" t="s">
        <v>16</v>
      </c>
    </row>
    <row r="81" spans="1:11" ht="15.75" customHeight="1" x14ac:dyDescent="0.25">
      <c r="A81" s="10" t="s">
        <v>101</v>
      </c>
      <c r="B81" s="11" t="s">
        <v>13</v>
      </c>
      <c r="C81" s="10" t="s">
        <v>100</v>
      </c>
      <c r="D81" s="12" t="s">
        <v>15</v>
      </c>
      <c r="E81" s="23" t="s">
        <v>18</v>
      </c>
      <c r="F81" s="12" t="s">
        <v>15</v>
      </c>
      <c r="G81" s="13">
        <f t="shared" si="8"/>
        <v>3</v>
      </c>
      <c r="H81" s="13">
        <f t="shared" si="9"/>
        <v>2</v>
      </c>
      <c r="I81" s="13">
        <f t="shared" si="10"/>
        <v>3</v>
      </c>
      <c r="J81" s="14">
        <f t="shared" si="11"/>
        <v>2.6666666666666665</v>
      </c>
      <c r="K81" s="15" t="s">
        <v>16</v>
      </c>
    </row>
    <row r="82" spans="1:11" ht="15.75" customHeight="1" x14ac:dyDescent="0.25">
      <c r="A82" s="16" t="s">
        <v>102</v>
      </c>
      <c r="B82" s="17" t="s">
        <v>13</v>
      </c>
      <c r="C82" s="16" t="s">
        <v>100</v>
      </c>
      <c r="D82" s="18" t="s">
        <v>15</v>
      </c>
      <c r="E82" s="18" t="s">
        <v>15</v>
      </c>
      <c r="F82" s="18" t="s">
        <v>15</v>
      </c>
      <c r="G82" s="13">
        <f t="shared" si="8"/>
        <v>3</v>
      </c>
      <c r="H82" s="13">
        <f t="shared" si="9"/>
        <v>3</v>
      </c>
      <c r="I82" s="13">
        <f t="shared" si="10"/>
        <v>3</v>
      </c>
      <c r="J82" s="14">
        <f t="shared" si="11"/>
        <v>3</v>
      </c>
      <c r="K82" s="20" t="s">
        <v>16</v>
      </c>
    </row>
    <row r="83" spans="1:11" ht="15.75" customHeight="1" x14ac:dyDescent="0.25">
      <c r="A83" s="10" t="s">
        <v>103</v>
      </c>
      <c r="B83" s="11" t="s">
        <v>13</v>
      </c>
      <c r="C83" s="10" t="s">
        <v>90</v>
      </c>
      <c r="D83" s="12" t="s">
        <v>15</v>
      </c>
      <c r="E83" s="12" t="s">
        <v>15</v>
      </c>
      <c r="F83" s="12" t="s">
        <v>15</v>
      </c>
      <c r="G83" s="13">
        <f t="shared" si="8"/>
        <v>3</v>
      </c>
      <c r="H83" s="13">
        <f t="shared" si="9"/>
        <v>3</v>
      </c>
      <c r="I83" s="13">
        <f t="shared" si="10"/>
        <v>3</v>
      </c>
      <c r="J83" s="14">
        <f t="shared" si="11"/>
        <v>3</v>
      </c>
      <c r="K83" s="15" t="s">
        <v>16</v>
      </c>
    </row>
    <row r="84" spans="1:11" ht="15.75" customHeight="1" x14ac:dyDescent="0.25">
      <c r="A84" s="16" t="s">
        <v>104</v>
      </c>
      <c r="B84" s="17" t="s">
        <v>13</v>
      </c>
      <c r="C84" s="16" t="s">
        <v>90</v>
      </c>
      <c r="D84" s="18" t="s">
        <v>15</v>
      </c>
      <c r="E84" s="18" t="s">
        <v>15</v>
      </c>
      <c r="F84" s="18" t="s">
        <v>15</v>
      </c>
      <c r="G84" s="13">
        <f t="shared" si="8"/>
        <v>3</v>
      </c>
      <c r="H84" s="13">
        <f t="shared" si="9"/>
        <v>3</v>
      </c>
      <c r="I84" s="13">
        <f t="shared" si="10"/>
        <v>3</v>
      </c>
      <c r="J84" s="14">
        <f t="shared" si="11"/>
        <v>3</v>
      </c>
      <c r="K84" s="20" t="s">
        <v>16</v>
      </c>
    </row>
    <row r="85" spans="1:11" ht="15.75" customHeight="1" x14ac:dyDescent="0.25">
      <c r="A85" s="10" t="s">
        <v>105</v>
      </c>
      <c r="B85" s="21" t="s">
        <v>20</v>
      </c>
      <c r="C85" s="10" t="s">
        <v>100</v>
      </c>
      <c r="D85" s="12" t="s">
        <v>15</v>
      </c>
      <c r="E85" s="12" t="s">
        <v>15</v>
      </c>
      <c r="F85" s="12" t="s">
        <v>15</v>
      </c>
      <c r="G85" s="13">
        <f t="shared" si="8"/>
        <v>3</v>
      </c>
      <c r="H85" s="13">
        <f t="shared" si="9"/>
        <v>3</v>
      </c>
      <c r="I85" s="13">
        <f t="shared" si="10"/>
        <v>3</v>
      </c>
      <c r="J85" s="14">
        <f t="shared" si="11"/>
        <v>3</v>
      </c>
      <c r="K85" s="15" t="s">
        <v>16</v>
      </c>
    </row>
    <row r="86" spans="1:11" ht="15.75" customHeight="1" x14ac:dyDescent="0.25">
      <c r="A86" s="16" t="s">
        <v>106</v>
      </c>
      <c r="B86" s="17" t="s">
        <v>13</v>
      </c>
      <c r="C86" s="16" t="s">
        <v>100</v>
      </c>
      <c r="D86" s="18" t="s">
        <v>15</v>
      </c>
      <c r="E86" s="18" t="s">
        <v>15</v>
      </c>
      <c r="F86" s="19" t="s">
        <v>18</v>
      </c>
      <c r="G86" s="13">
        <f t="shared" si="8"/>
        <v>3</v>
      </c>
      <c r="H86" s="13">
        <f t="shared" si="9"/>
        <v>3</v>
      </c>
      <c r="I86" s="13">
        <f t="shared" si="10"/>
        <v>2</v>
      </c>
      <c r="J86" s="14">
        <f t="shared" si="11"/>
        <v>2.6666666666666665</v>
      </c>
      <c r="K86" s="20" t="s">
        <v>16</v>
      </c>
    </row>
    <row r="87" spans="1:11" ht="15.75" customHeight="1" x14ac:dyDescent="0.25">
      <c r="A87" s="10" t="s">
        <v>107</v>
      </c>
      <c r="B87" s="21" t="s">
        <v>20</v>
      </c>
      <c r="C87" s="10" t="s">
        <v>100</v>
      </c>
      <c r="D87" s="12" t="s">
        <v>15</v>
      </c>
      <c r="E87" s="12" t="s">
        <v>15</v>
      </c>
      <c r="F87" s="12" t="s">
        <v>15</v>
      </c>
      <c r="G87" s="13">
        <f t="shared" si="8"/>
        <v>3</v>
      </c>
      <c r="H87" s="13">
        <f t="shared" si="9"/>
        <v>3</v>
      </c>
      <c r="I87" s="13">
        <f t="shared" si="10"/>
        <v>3</v>
      </c>
      <c r="J87" s="14">
        <f t="shared" si="11"/>
        <v>3</v>
      </c>
      <c r="K87" s="15" t="s">
        <v>16</v>
      </c>
    </row>
    <row r="88" spans="1:11" ht="15.75" customHeight="1" x14ac:dyDescent="0.25">
      <c r="A88" s="16" t="s">
        <v>108</v>
      </c>
      <c r="B88" s="22" t="s">
        <v>20</v>
      </c>
      <c r="C88" s="16" t="s">
        <v>90</v>
      </c>
      <c r="D88" s="18" t="s">
        <v>15</v>
      </c>
      <c r="E88" s="18" t="s">
        <v>15</v>
      </c>
      <c r="F88" s="19" t="s">
        <v>18</v>
      </c>
      <c r="G88" s="13">
        <f t="shared" si="8"/>
        <v>3</v>
      </c>
      <c r="H88" s="13">
        <f t="shared" si="9"/>
        <v>3</v>
      </c>
      <c r="I88" s="13">
        <f t="shared" si="10"/>
        <v>2</v>
      </c>
      <c r="J88" s="14">
        <f t="shared" si="11"/>
        <v>2.6666666666666665</v>
      </c>
      <c r="K88" s="20" t="s">
        <v>16</v>
      </c>
    </row>
    <row r="89" spans="1:11" ht="15.75" customHeight="1" x14ac:dyDescent="0.25">
      <c r="A89" s="10" t="s">
        <v>109</v>
      </c>
      <c r="B89" s="11" t="s">
        <v>13</v>
      </c>
      <c r="C89" s="10" t="s">
        <v>90</v>
      </c>
      <c r="D89" s="12" t="s">
        <v>15</v>
      </c>
      <c r="E89" s="12" t="s">
        <v>15</v>
      </c>
      <c r="F89" s="12" t="s">
        <v>15</v>
      </c>
      <c r="G89" s="13">
        <f t="shared" si="8"/>
        <v>3</v>
      </c>
      <c r="H89" s="13">
        <f t="shared" si="9"/>
        <v>3</v>
      </c>
      <c r="I89" s="13">
        <f t="shared" si="10"/>
        <v>3</v>
      </c>
      <c r="J89" s="14">
        <f t="shared" si="11"/>
        <v>3</v>
      </c>
      <c r="K89" s="15" t="s">
        <v>16</v>
      </c>
    </row>
    <row r="90" spans="1:11" ht="15.75" customHeight="1" x14ac:dyDescent="0.25">
      <c r="A90" s="16" t="s">
        <v>110</v>
      </c>
      <c r="B90" s="17" t="s">
        <v>13</v>
      </c>
      <c r="C90" s="16" t="s">
        <v>81</v>
      </c>
      <c r="D90" s="18" t="s">
        <v>15</v>
      </c>
      <c r="E90" s="18" t="s">
        <v>15</v>
      </c>
      <c r="F90" s="18" t="s">
        <v>15</v>
      </c>
      <c r="G90" s="13">
        <f t="shared" si="8"/>
        <v>3</v>
      </c>
      <c r="H90" s="13">
        <f t="shared" si="9"/>
        <v>3</v>
      </c>
      <c r="I90" s="13">
        <f t="shared" si="10"/>
        <v>3</v>
      </c>
      <c r="J90" s="14">
        <f t="shared" si="11"/>
        <v>3</v>
      </c>
      <c r="K90" s="20" t="s">
        <v>16</v>
      </c>
    </row>
    <row r="91" spans="1:11" ht="15.75" customHeight="1" x14ac:dyDescent="0.25">
      <c r="A91" s="10" t="s">
        <v>111</v>
      </c>
      <c r="B91" s="11" t="s">
        <v>13</v>
      </c>
      <c r="C91" s="10" t="s">
        <v>81</v>
      </c>
      <c r="D91" s="12" t="s">
        <v>15</v>
      </c>
      <c r="E91" s="23" t="s">
        <v>18</v>
      </c>
      <c r="F91" s="12" t="s">
        <v>15</v>
      </c>
      <c r="G91" s="13">
        <f t="shared" si="8"/>
        <v>3</v>
      </c>
      <c r="H91" s="13">
        <f t="shared" si="9"/>
        <v>2</v>
      </c>
      <c r="I91" s="13">
        <f t="shared" si="10"/>
        <v>3</v>
      </c>
      <c r="J91" s="14">
        <f t="shared" si="11"/>
        <v>2.6666666666666665</v>
      </c>
      <c r="K91" s="15" t="s">
        <v>16</v>
      </c>
    </row>
    <row r="92" spans="1:11" ht="15.75" customHeight="1" x14ac:dyDescent="0.25">
      <c r="A92" s="16" t="s">
        <v>112</v>
      </c>
      <c r="B92" s="22" t="s">
        <v>20</v>
      </c>
      <c r="C92" s="16" t="s">
        <v>81</v>
      </c>
      <c r="D92" s="18" t="s">
        <v>15</v>
      </c>
      <c r="E92" s="18" t="s">
        <v>15</v>
      </c>
      <c r="F92" s="19" t="s">
        <v>18</v>
      </c>
      <c r="G92" s="13">
        <f t="shared" si="8"/>
        <v>3</v>
      </c>
      <c r="H92" s="13">
        <f t="shared" si="9"/>
        <v>3</v>
      </c>
      <c r="I92" s="13">
        <f t="shared" si="10"/>
        <v>2</v>
      </c>
      <c r="J92" s="14">
        <f t="shared" si="11"/>
        <v>2.6666666666666665</v>
      </c>
      <c r="K92" s="20" t="s">
        <v>16</v>
      </c>
    </row>
    <row r="93" spans="1:11" ht="15.75" customHeight="1" x14ac:dyDescent="0.25">
      <c r="A93" s="10" t="s">
        <v>113</v>
      </c>
      <c r="B93" s="21" t="s">
        <v>20</v>
      </c>
      <c r="C93" s="10" t="s">
        <v>81</v>
      </c>
      <c r="D93" s="12" t="s">
        <v>15</v>
      </c>
      <c r="E93" s="12" t="s">
        <v>15</v>
      </c>
      <c r="F93" s="23" t="s">
        <v>18</v>
      </c>
      <c r="G93" s="13">
        <f t="shared" si="8"/>
        <v>3</v>
      </c>
      <c r="H93" s="13">
        <f t="shared" si="9"/>
        <v>3</v>
      </c>
      <c r="I93" s="13">
        <f t="shared" si="10"/>
        <v>2</v>
      </c>
      <c r="J93" s="14">
        <f t="shared" si="11"/>
        <v>2.6666666666666665</v>
      </c>
      <c r="K93" s="15" t="s">
        <v>16</v>
      </c>
    </row>
    <row r="94" spans="1:11" ht="15.75" customHeight="1" x14ac:dyDescent="0.25">
      <c r="A94" s="16" t="s">
        <v>114</v>
      </c>
      <c r="B94" s="17" t="s">
        <v>13</v>
      </c>
      <c r="C94" s="16" t="s">
        <v>81</v>
      </c>
      <c r="D94" s="18" t="s">
        <v>15</v>
      </c>
      <c r="E94" s="18" t="s">
        <v>15</v>
      </c>
      <c r="F94" s="18" t="s">
        <v>15</v>
      </c>
      <c r="G94" s="13">
        <f t="shared" si="8"/>
        <v>3</v>
      </c>
      <c r="H94" s="13">
        <f t="shared" si="9"/>
        <v>3</v>
      </c>
      <c r="I94" s="13">
        <f t="shared" si="10"/>
        <v>3</v>
      </c>
      <c r="J94" s="14">
        <f t="shared" si="11"/>
        <v>3</v>
      </c>
      <c r="K94" s="20" t="s">
        <v>16</v>
      </c>
    </row>
    <row r="95" spans="1:11" ht="15.75" customHeight="1" x14ac:dyDescent="0.25">
      <c r="A95" s="10" t="s">
        <v>115</v>
      </c>
      <c r="B95" s="11" t="s">
        <v>13</v>
      </c>
      <c r="C95" s="10" t="s">
        <v>81</v>
      </c>
      <c r="D95" s="24" t="s">
        <v>37</v>
      </c>
      <c r="E95" s="24" t="s">
        <v>37</v>
      </c>
      <c r="F95" s="23" t="s">
        <v>18</v>
      </c>
      <c r="G95" s="13">
        <f t="shared" si="8"/>
        <v>1</v>
      </c>
      <c r="H95" s="13">
        <f t="shared" si="9"/>
        <v>1</v>
      </c>
      <c r="I95" s="13">
        <f t="shared" si="10"/>
        <v>2</v>
      </c>
      <c r="J95" s="14">
        <f t="shared" si="11"/>
        <v>1.3333333333333333</v>
      </c>
      <c r="K95" s="25" t="s">
        <v>116</v>
      </c>
    </row>
    <row r="96" spans="1:11" ht="15.75" customHeight="1" x14ac:dyDescent="0.25">
      <c r="A96" s="16" t="s">
        <v>117</v>
      </c>
      <c r="B96" s="17" t="s">
        <v>13</v>
      </c>
      <c r="C96" s="16" t="s">
        <v>81</v>
      </c>
      <c r="D96" s="18" t="s">
        <v>15</v>
      </c>
      <c r="E96" s="18" t="s">
        <v>15</v>
      </c>
      <c r="F96" s="18" t="s">
        <v>15</v>
      </c>
      <c r="G96" s="13">
        <f t="shared" si="8"/>
        <v>3</v>
      </c>
      <c r="H96" s="13">
        <f t="shared" si="9"/>
        <v>3</v>
      </c>
      <c r="I96" s="13">
        <f t="shared" si="10"/>
        <v>3</v>
      </c>
      <c r="J96" s="14">
        <f t="shared" si="11"/>
        <v>3</v>
      </c>
      <c r="K96" s="20" t="s">
        <v>16</v>
      </c>
    </row>
    <row r="97" spans="1:11" ht="15.75" customHeight="1" x14ac:dyDescent="0.25">
      <c r="A97" s="10" t="s">
        <v>118</v>
      </c>
      <c r="B97" s="11" t="s">
        <v>13</v>
      </c>
      <c r="C97" s="10" t="s">
        <v>81</v>
      </c>
      <c r="D97" s="23" t="s">
        <v>18</v>
      </c>
      <c r="E97" s="23" t="s">
        <v>18</v>
      </c>
      <c r="F97" s="23" t="s">
        <v>18</v>
      </c>
      <c r="G97" s="13">
        <f t="shared" si="8"/>
        <v>2</v>
      </c>
      <c r="H97" s="13">
        <f t="shared" si="9"/>
        <v>2</v>
      </c>
      <c r="I97" s="13">
        <f t="shared" si="10"/>
        <v>2</v>
      </c>
      <c r="J97" s="14">
        <f t="shared" si="11"/>
        <v>2</v>
      </c>
      <c r="K97" s="15" t="s">
        <v>16</v>
      </c>
    </row>
    <row r="98" spans="1:11" ht="15.75" customHeight="1" x14ac:dyDescent="0.25">
      <c r="A98" s="16" t="s">
        <v>119</v>
      </c>
      <c r="B98" s="17" t="s">
        <v>13</v>
      </c>
      <c r="C98" s="16" t="s">
        <v>23</v>
      </c>
      <c r="D98" s="18" t="s">
        <v>15</v>
      </c>
      <c r="E98" s="18" t="s">
        <v>15</v>
      </c>
      <c r="F98" s="19" t="s">
        <v>18</v>
      </c>
      <c r="G98" s="13">
        <f t="shared" si="8"/>
        <v>3</v>
      </c>
      <c r="H98" s="13">
        <f t="shared" si="9"/>
        <v>3</v>
      </c>
      <c r="I98" s="13">
        <f t="shared" si="10"/>
        <v>2</v>
      </c>
      <c r="J98" s="14">
        <f t="shared" si="11"/>
        <v>2.6666666666666665</v>
      </c>
      <c r="K98" s="20" t="s">
        <v>16</v>
      </c>
    </row>
    <row r="99" spans="1:11" ht="15.75" customHeight="1" x14ac:dyDescent="0.25">
      <c r="A99" s="10" t="s">
        <v>120</v>
      </c>
      <c r="B99" s="21" t="s">
        <v>20</v>
      </c>
      <c r="C99" s="10" t="s">
        <v>90</v>
      </c>
      <c r="D99" s="12" t="s">
        <v>15</v>
      </c>
      <c r="E99" s="12" t="s">
        <v>15</v>
      </c>
      <c r="F99" s="12" t="s">
        <v>15</v>
      </c>
      <c r="G99" s="13">
        <f t="shared" ref="G99:G134" si="12">IF(D99="Excelente",3,IF(D99="Buena",2,IF(D99="Regular",1,IF(D99="Deficiente",0,""))))</f>
        <v>3</v>
      </c>
      <c r="H99" s="13">
        <f t="shared" ref="H99:H134" si="13">IF(E99="Excelente",3,IF(E99="Buena",2,IF(E99="Regular",1,IF(E99="Deficiente",0,""))))</f>
        <v>3</v>
      </c>
      <c r="I99" s="13">
        <f t="shared" ref="I99:I134" si="14">IF(F99="Excelente",3,IF(F99="Buena",2,IF(F99="Regular",1,IF(F99="Deficiente",0,""))))</f>
        <v>3</v>
      </c>
      <c r="J99" s="14">
        <f t="shared" ref="J99:J130" si="15">IFERROR(AVERAGE(G99:I99),"")</f>
        <v>3</v>
      </c>
      <c r="K99" s="15" t="s">
        <v>16</v>
      </c>
    </row>
    <row r="100" spans="1:11" ht="15.75" customHeight="1" x14ac:dyDescent="0.25">
      <c r="A100" s="16" t="s">
        <v>121</v>
      </c>
      <c r="B100" s="22" t="s">
        <v>20</v>
      </c>
      <c r="C100" s="16" t="s">
        <v>75</v>
      </c>
      <c r="D100" s="18" t="s">
        <v>15</v>
      </c>
      <c r="E100" s="18" t="s">
        <v>15</v>
      </c>
      <c r="F100" s="19" t="s">
        <v>18</v>
      </c>
      <c r="G100" s="13">
        <f t="shared" si="12"/>
        <v>3</v>
      </c>
      <c r="H100" s="13">
        <f t="shared" si="13"/>
        <v>3</v>
      </c>
      <c r="I100" s="13">
        <f t="shared" si="14"/>
        <v>2</v>
      </c>
      <c r="J100" s="14">
        <f t="shared" si="15"/>
        <v>2.6666666666666665</v>
      </c>
      <c r="K100" s="20" t="s">
        <v>16</v>
      </c>
    </row>
    <row r="101" spans="1:11" ht="15.75" customHeight="1" x14ac:dyDescent="0.25">
      <c r="A101" s="10" t="s">
        <v>122</v>
      </c>
      <c r="B101" s="21" t="s">
        <v>20</v>
      </c>
      <c r="C101" s="10" t="s">
        <v>75</v>
      </c>
      <c r="D101" s="23" t="s">
        <v>18</v>
      </c>
      <c r="E101" s="12" t="s">
        <v>15</v>
      </c>
      <c r="F101" s="12" t="s">
        <v>15</v>
      </c>
      <c r="G101" s="13">
        <f t="shared" si="12"/>
        <v>2</v>
      </c>
      <c r="H101" s="13">
        <f t="shared" si="13"/>
        <v>3</v>
      </c>
      <c r="I101" s="13">
        <f t="shared" si="14"/>
        <v>3</v>
      </c>
      <c r="J101" s="14">
        <f t="shared" si="15"/>
        <v>2.6666666666666665</v>
      </c>
      <c r="K101" s="15" t="s">
        <v>16</v>
      </c>
    </row>
    <row r="102" spans="1:11" ht="15.75" customHeight="1" x14ac:dyDescent="0.25">
      <c r="A102" s="16" t="s">
        <v>123</v>
      </c>
      <c r="B102" s="22" t="s">
        <v>20</v>
      </c>
      <c r="C102" s="16" t="s">
        <v>75</v>
      </c>
      <c r="D102" s="18" t="s">
        <v>15</v>
      </c>
      <c r="E102" s="18" t="s">
        <v>15</v>
      </c>
      <c r="F102" s="18" t="s">
        <v>15</v>
      </c>
      <c r="G102" s="13">
        <f t="shared" si="12"/>
        <v>3</v>
      </c>
      <c r="H102" s="13">
        <f t="shared" si="13"/>
        <v>3</v>
      </c>
      <c r="I102" s="13">
        <f t="shared" si="14"/>
        <v>3</v>
      </c>
      <c r="J102" s="14">
        <f t="shared" si="15"/>
        <v>3</v>
      </c>
      <c r="K102" s="20" t="s">
        <v>16</v>
      </c>
    </row>
    <row r="103" spans="1:11" ht="15.75" customHeight="1" x14ac:dyDescent="0.25">
      <c r="A103" s="10" t="s">
        <v>124</v>
      </c>
      <c r="B103" s="21" t="s">
        <v>20</v>
      </c>
      <c r="C103" s="10" t="s">
        <v>75</v>
      </c>
      <c r="D103" s="23" t="s">
        <v>18</v>
      </c>
      <c r="E103" s="12" t="s">
        <v>15</v>
      </c>
      <c r="F103" s="23" t="s">
        <v>18</v>
      </c>
      <c r="G103" s="13">
        <f t="shared" si="12"/>
        <v>2</v>
      </c>
      <c r="H103" s="13">
        <f t="shared" si="13"/>
        <v>3</v>
      </c>
      <c r="I103" s="13">
        <f t="shared" si="14"/>
        <v>2</v>
      </c>
      <c r="J103" s="14">
        <f t="shared" si="15"/>
        <v>2.3333333333333335</v>
      </c>
      <c r="K103" s="15" t="s">
        <v>16</v>
      </c>
    </row>
    <row r="104" spans="1:11" ht="15.75" customHeight="1" x14ac:dyDescent="0.25">
      <c r="A104" s="16" t="s">
        <v>125</v>
      </c>
      <c r="B104" s="22" t="s">
        <v>20</v>
      </c>
      <c r="C104" s="16" t="s">
        <v>75</v>
      </c>
      <c r="D104" s="18" t="s">
        <v>15</v>
      </c>
      <c r="E104" s="18" t="s">
        <v>15</v>
      </c>
      <c r="F104" s="18" t="s">
        <v>15</v>
      </c>
      <c r="G104" s="13">
        <f t="shared" si="12"/>
        <v>3</v>
      </c>
      <c r="H104" s="13">
        <f t="shared" si="13"/>
        <v>3</v>
      </c>
      <c r="I104" s="13">
        <f t="shared" si="14"/>
        <v>3</v>
      </c>
      <c r="J104" s="14">
        <f t="shared" si="15"/>
        <v>3</v>
      </c>
      <c r="K104" s="20" t="s">
        <v>16</v>
      </c>
    </row>
    <row r="105" spans="1:11" ht="15.75" customHeight="1" x14ac:dyDescent="0.25">
      <c r="A105" s="10" t="s">
        <v>126</v>
      </c>
      <c r="B105" s="11" t="s">
        <v>13</v>
      </c>
      <c r="C105" s="10" t="s">
        <v>75</v>
      </c>
      <c r="D105" s="12" t="s">
        <v>15</v>
      </c>
      <c r="E105" s="12" t="s">
        <v>15</v>
      </c>
      <c r="F105" s="23" t="s">
        <v>18</v>
      </c>
      <c r="G105" s="13">
        <f t="shared" si="12"/>
        <v>3</v>
      </c>
      <c r="H105" s="13">
        <f t="shared" si="13"/>
        <v>3</v>
      </c>
      <c r="I105" s="13">
        <f t="shared" si="14"/>
        <v>2</v>
      </c>
      <c r="J105" s="14">
        <f t="shared" si="15"/>
        <v>2.6666666666666665</v>
      </c>
      <c r="K105" s="15" t="s">
        <v>16</v>
      </c>
    </row>
    <row r="106" spans="1:11" ht="15.75" customHeight="1" x14ac:dyDescent="0.25">
      <c r="A106" s="16" t="s">
        <v>127</v>
      </c>
      <c r="B106" s="17" t="s">
        <v>13</v>
      </c>
      <c r="C106" s="16" t="s">
        <v>75</v>
      </c>
      <c r="D106" s="19" t="s">
        <v>18</v>
      </c>
      <c r="E106" s="19" t="s">
        <v>18</v>
      </c>
      <c r="F106" s="19" t="s">
        <v>18</v>
      </c>
      <c r="G106" s="13">
        <f t="shared" si="12"/>
        <v>2</v>
      </c>
      <c r="H106" s="13">
        <f t="shared" si="13"/>
        <v>2</v>
      </c>
      <c r="I106" s="13">
        <f t="shared" si="14"/>
        <v>2</v>
      </c>
      <c r="J106" s="14">
        <f t="shared" si="15"/>
        <v>2</v>
      </c>
      <c r="K106" s="20" t="s">
        <v>16</v>
      </c>
    </row>
    <row r="107" spans="1:11" ht="15.75" customHeight="1" x14ac:dyDescent="0.25">
      <c r="A107" s="10" t="s">
        <v>128</v>
      </c>
      <c r="B107" s="11" t="s">
        <v>13</v>
      </c>
      <c r="C107" s="10" t="s">
        <v>75</v>
      </c>
      <c r="D107" s="12" t="s">
        <v>15</v>
      </c>
      <c r="E107" s="24" t="s">
        <v>37</v>
      </c>
      <c r="F107" s="23" t="s">
        <v>18</v>
      </c>
      <c r="G107" s="13">
        <f t="shared" si="12"/>
        <v>3</v>
      </c>
      <c r="H107" s="13">
        <f t="shared" si="13"/>
        <v>1</v>
      </c>
      <c r="I107" s="13">
        <f t="shared" si="14"/>
        <v>2</v>
      </c>
      <c r="J107" s="14">
        <f t="shared" si="15"/>
        <v>2</v>
      </c>
      <c r="K107" s="25" t="s">
        <v>116</v>
      </c>
    </row>
    <row r="108" spans="1:11" ht="15.75" customHeight="1" x14ac:dyDescent="0.25">
      <c r="A108" s="16" t="s">
        <v>129</v>
      </c>
      <c r="B108" s="17" t="s">
        <v>13</v>
      </c>
      <c r="C108" s="16" t="s">
        <v>75</v>
      </c>
      <c r="D108" s="18" t="s">
        <v>15</v>
      </c>
      <c r="E108" s="18" t="s">
        <v>15</v>
      </c>
      <c r="F108" s="19" t="s">
        <v>18</v>
      </c>
      <c r="G108" s="13">
        <f t="shared" si="12"/>
        <v>3</v>
      </c>
      <c r="H108" s="13">
        <f t="shared" si="13"/>
        <v>3</v>
      </c>
      <c r="I108" s="13">
        <f t="shared" si="14"/>
        <v>2</v>
      </c>
      <c r="J108" s="14">
        <f t="shared" si="15"/>
        <v>2.6666666666666665</v>
      </c>
      <c r="K108" s="20" t="s">
        <v>16</v>
      </c>
    </row>
    <row r="109" spans="1:11" ht="15.75" customHeight="1" x14ac:dyDescent="0.25">
      <c r="A109" s="10" t="s">
        <v>130</v>
      </c>
      <c r="B109" s="21" t="s">
        <v>20</v>
      </c>
      <c r="C109" s="10" t="s">
        <v>75</v>
      </c>
      <c r="D109" s="12" t="s">
        <v>15</v>
      </c>
      <c r="E109" s="12" t="s">
        <v>15</v>
      </c>
      <c r="F109" s="23" t="s">
        <v>18</v>
      </c>
      <c r="G109" s="13">
        <f t="shared" si="12"/>
        <v>3</v>
      </c>
      <c r="H109" s="13">
        <f t="shared" si="13"/>
        <v>3</v>
      </c>
      <c r="I109" s="13">
        <f t="shared" si="14"/>
        <v>2</v>
      </c>
      <c r="J109" s="14">
        <f t="shared" si="15"/>
        <v>2.6666666666666665</v>
      </c>
      <c r="K109" s="15" t="s">
        <v>16</v>
      </c>
    </row>
    <row r="110" spans="1:11" ht="15.75" customHeight="1" x14ac:dyDescent="0.25">
      <c r="A110" s="16" t="s">
        <v>131</v>
      </c>
      <c r="B110" s="22" t="s">
        <v>20</v>
      </c>
      <c r="C110" s="16" t="s">
        <v>75</v>
      </c>
      <c r="D110" s="18" t="s">
        <v>15</v>
      </c>
      <c r="E110" s="18" t="s">
        <v>15</v>
      </c>
      <c r="F110" s="19" t="s">
        <v>18</v>
      </c>
      <c r="G110" s="13">
        <f t="shared" si="12"/>
        <v>3</v>
      </c>
      <c r="H110" s="13">
        <f t="shared" si="13"/>
        <v>3</v>
      </c>
      <c r="I110" s="13">
        <f t="shared" si="14"/>
        <v>2</v>
      </c>
      <c r="J110" s="14">
        <f t="shared" si="15"/>
        <v>2.6666666666666665</v>
      </c>
      <c r="K110" s="20" t="s">
        <v>16</v>
      </c>
    </row>
    <row r="111" spans="1:11" ht="15.75" customHeight="1" x14ac:dyDescent="0.25">
      <c r="A111" s="10" t="s">
        <v>132</v>
      </c>
      <c r="B111" s="11" t="s">
        <v>13</v>
      </c>
      <c r="C111" s="10" t="s">
        <v>75</v>
      </c>
      <c r="D111" s="23" t="s">
        <v>18</v>
      </c>
      <c r="E111" s="23" t="s">
        <v>18</v>
      </c>
      <c r="F111" s="23" t="s">
        <v>18</v>
      </c>
      <c r="G111" s="13">
        <f t="shared" si="12"/>
        <v>2</v>
      </c>
      <c r="H111" s="13">
        <f t="shared" si="13"/>
        <v>2</v>
      </c>
      <c r="I111" s="13">
        <f t="shared" si="14"/>
        <v>2</v>
      </c>
      <c r="J111" s="14">
        <f t="shared" si="15"/>
        <v>2</v>
      </c>
      <c r="K111" s="15" t="s">
        <v>16</v>
      </c>
    </row>
    <row r="112" spans="1:11" ht="15.75" customHeight="1" x14ac:dyDescent="0.25">
      <c r="A112" s="16" t="s">
        <v>133</v>
      </c>
      <c r="B112" s="22" t="s">
        <v>20</v>
      </c>
      <c r="C112" s="16" t="s">
        <v>75</v>
      </c>
      <c r="D112" s="18" t="s">
        <v>15</v>
      </c>
      <c r="E112" s="18" t="s">
        <v>15</v>
      </c>
      <c r="F112" s="18" t="s">
        <v>15</v>
      </c>
      <c r="G112" s="13">
        <f t="shared" si="12"/>
        <v>3</v>
      </c>
      <c r="H112" s="13">
        <f t="shared" si="13"/>
        <v>3</v>
      </c>
      <c r="I112" s="13">
        <f t="shared" si="14"/>
        <v>3</v>
      </c>
      <c r="J112" s="14">
        <f t="shared" si="15"/>
        <v>3</v>
      </c>
      <c r="K112" s="20" t="s">
        <v>16</v>
      </c>
    </row>
    <row r="113" spans="1:11" ht="15.75" customHeight="1" x14ac:dyDescent="0.25">
      <c r="A113" s="10" t="s">
        <v>134</v>
      </c>
      <c r="B113" s="11" t="s">
        <v>13</v>
      </c>
      <c r="C113" s="10" t="s">
        <v>75</v>
      </c>
      <c r="D113" s="23" t="s">
        <v>18</v>
      </c>
      <c r="E113" s="12" t="s">
        <v>15</v>
      </c>
      <c r="F113" s="23" t="s">
        <v>18</v>
      </c>
      <c r="G113" s="13">
        <f t="shared" si="12"/>
        <v>2</v>
      </c>
      <c r="H113" s="13">
        <f t="shared" si="13"/>
        <v>3</v>
      </c>
      <c r="I113" s="13">
        <f t="shared" si="14"/>
        <v>2</v>
      </c>
      <c r="J113" s="14">
        <f t="shared" si="15"/>
        <v>2.3333333333333335</v>
      </c>
      <c r="K113" s="15" t="s">
        <v>16</v>
      </c>
    </row>
    <row r="114" spans="1:11" ht="15.75" customHeight="1" x14ac:dyDescent="0.25">
      <c r="A114" s="16" t="s">
        <v>135</v>
      </c>
      <c r="B114" s="17" t="s">
        <v>13</v>
      </c>
      <c r="C114" s="16" t="s">
        <v>75</v>
      </c>
      <c r="D114" s="18" t="s">
        <v>15</v>
      </c>
      <c r="E114" s="19" t="s">
        <v>18</v>
      </c>
      <c r="F114" s="19" t="s">
        <v>18</v>
      </c>
      <c r="G114" s="13">
        <f t="shared" si="12"/>
        <v>3</v>
      </c>
      <c r="H114" s="13">
        <f t="shared" si="13"/>
        <v>2</v>
      </c>
      <c r="I114" s="13">
        <f t="shared" si="14"/>
        <v>2</v>
      </c>
      <c r="J114" s="14">
        <f t="shared" si="15"/>
        <v>2.3333333333333335</v>
      </c>
      <c r="K114" s="20" t="s">
        <v>16</v>
      </c>
    </row>
    <row r="115" spans="1:11" ht="15.75" customHeight="1" x14ac:dyDescent="0.25">
      <c r="A115" s="10" t="s">
        <v>136</v>
      </c>
      <c r="B115" s="21" t="s">
        <v>20</v>
      </c>
      <c r="C115" s="10" t="s">
        <v>75</v>
      </c>
      <c r="D115" s="23" t="s">
        <v>18</v>
      </c>
      <c r="E115" s="23" t="s">
        <v>18</v>
      </c>
      <c r="F115" s="23" t="s">
        <v>18</v>
      </c>
      <c r="G115" s="13">
        <f t="shared" si="12"/>
        <v>2</v>
      </c>
      <c r="H115" s="13">
        <f t="shared" si="13"/>
        <v>2</v>
      </c>
      <c r="I115" s="13">
        <f t="shared" si="14"/>
        <v>2</v>
      </c>
      <c r="J115" s="14">
        <f t="shared" si="15"/>
        <v>2</v>
      </c>
      <c r="K115" s="15" t="s">
        <v>16</v>
      </c>
    </row>
    <row r="116" spans="1:11" ht="15.75" customHeight="1" x14ac:dyDescent="0.25">
      <c r="A116" s="16" t="s">
        <v>137</v>
      </c>
      <c r="B116" s="17" t="s">
        <v>13</v>
      </c>
      <c r="C116" s="16" t="s">
        <v>75</v>
      </c>
      <c r="D116" s="18" t="s">
        <v>15</v>
      </c>
      <c r="E116" s="18" t="s">
        <v>15</v>
      </c>
      <c r="F116" s="18" t="s">
        <v>15</v>
      </c>
      <c r="G116" s="13">
        <f t="shared" si="12"/>
        <v>3</v>
      </c>
      <c r="H116" s="13">
        <f t="shared" si="13"/>
        <v>3</v>
      </c>
      <c r="I116" s="13">
        <f t="shared" si="14"/>
        <v>3</v>
      </c>
      <c r="J116" s="14">
        <f t="shared" si="15"/>
        <v>3</v>
      </c>
      <c r="K116" s="20" t="s">
        <v>16</v>
      </c>
    </row>
    <row r="117" spans="1:11" ht="15.75" customHeight="1" x14ac:dyDescent="0.25">
      <c r="A117" s="10" t="s">
        <v>138</v>
      </c>
      <c r="B117" s="11" t="s">
        <v>13</v>
      </c>
      <c r="C117" s="10" t="s">
        <v>75</v>
      </c>
      <c r="D117" s="23" t="s">
        <v>18</v>
      </c>
      <c r="E117" s="12" t="s">
        <v>15</v>
      </c>
      <c r="F117" s="12" t="s">
        <v>15</v>
      </c>
      <c r="G117" s="13">
        <f t="shared" si="12"/>
        <v>2</v>
      </c>
      <c r="H117" s="13">
        <f t="shared" si="13"/>
        <v>3</v>
      </c>
      <c r="I117" s="13">
        <f t="shared" si="14"/>
        <v>3</v>
      </c>
      <c r="J117" s="14">
        <f t="shared" si="15"/>
        <v>2.6666666666666665</v>
      </c>
      <c r="K117" s="15" t="s">
        <v>16</v>
      </c>
    </row>
    <row r="118" spans="1:11" ht="15.75" customHeight="1" x14ac:dyDescent="0.25">
      <c r="A118" s="16" t="s">
        <v>139</v>
      </c>
      <c r="B118" s="17" t="s">
        <v>13</v>
      </c>
      <c r="C118" s="16" t="s">
        <v>75</v>
      </c>
      <c r="D118" s="18" t="s">
        <v>15</v>
      </c>
      <c r="E118" s="19" t="s">
        <v>18</v>
      </c>
      <c r="F118" s="18" t="s">
        <v>15</v>
      </c>
      <c r="G118" s="13">
        <f t="shared" si="12"/>
        <v>3</v>
      </c>
      <c r="H118" s="13">
        <f t="shared" si="13"/>
        <v>2</v>
      </c>
      <c r="I118" s="13">
        <f t="shared" si="14"/>
        <v>3</v>
      </c>
      <c r="J118" s="14">
        <f t="shared" si="15"/>
        <v>2.6666666666666665</v>
      </c>
      <c r="K118" s="20" t="s">
        <v>16</v>
      </c>
    </row>
    <row r="119" spans="1:11" ht="15.75" customHeight="1" x14ac:dyDescent="0.25">
      <c r="A119" s="10" t="s">
        <v>140</v>
      </c>
      <c r="B119" s="21" t="s">
        <v>20</v>
      </c>
      <c r="C119" s="10" t="s">
        <v>75</v>
      </c>
      <c r="D119" s="24" t="s">
        <v>37</v>
      </c>
      <c r="E119" s="24" t="s">
        <v>37</v>
      </c>
      <c r="F119" s="24" t="s">
        <v>37</v>
      </c>
      <c r="G119" s="13">
        <f t="shared" si="12"/>
        <v>1</v>
      </c>
      <c r="H119" s="13">
        <f t="shared" si="13"/>
        <v>1</v>
      </c>
      <c r="I119" s="13">
        <f t="shared" si="14"/>
        <v>1</v>
      </c>
      <c r="J119" s="14">
        <f t="shared" si="15"/>
        <v>1</v>
      </c>
      <c r="K119" s="25" t="s">
        <v>116</v>
      </c>
    </row>
    <row r="120" spans="1:11" ht="15.75" customHeight="1" x14ac:dyDescent="0.25">
      <c r="A120" s="16" t="s">
        <v>141</v>
      </c>
      <c r="B120" s="22" t="s">
        <v>20</v>
      </c>
      <c r="C120" s="16" t="s">
        <v>75</v>
      </c>
      <c r="D120" s="19" t="s">
        <v>18</v>
      </c>
      <c r="E120" s="19" t="s">
        <v>18</v>
      </c>
      <c r="F120" s="19" t="s">
        <v>18</v>
      </c>
      <c r="G120" s="13">
        <f t="shared" si="12"/>
        <v>2</v>
      </c>
      <c r="H120" s="13">
        <f t="shared" si="13"/>
        <v>2</v>
      </c>
      <c r="I120" s="13">
        <f t="shared" si="14"/>
        <v>2</v>
      </c>
      <c r="J120" s="14">
        <f t="shared" si="15"/>
        <v>2</v>
      </c>
      <c r="K120" s="20" t="s">
        <v>16</v>
      </c>
    </row>
    <row r="121" spans="1:11" ht="15.75" customHeight="1" x14ac:dyDescent="0.25">
      <c r="A121" s="10" t="s">
        <v>142</v>
      </c>
      <c r="B121" s="11" t="s">
        <v>13</v>
      </c>
      <c r="C121" s="10" t="s">
        <v>75</v>
      </c>
      <c r="D121" s="23" t="s">
        <v>18</v>
      </c>
      <c r="E121" s="12" t="s">
        <v>15</v>
      </c>
      <c r="F121" s="12" t="s">
        <v>15</v>
      </c>
      <c r="G121" s="13">
        <f t="shared" si="12"/>
        <v>2</v>
      </c>
      <c r="H121" s="13">
        <f t="shared" si="13"/>
        <v>3</v>
      </c>
      <c r="I121" s="13">
        <f t="shared" si="14"/>
        <v>3</v>
      </c>
      <c r="J121" s="14">
        <f t="shared" si="15"/>
        <v>2.6666666666666665</v>
      </c>
      <c r="K121" s="15" t="s">
        <v>16</v>
      </c>
    </row>
    <row r="122" spans="1:11" ht="15.75" customHeight="1" x14ac:dyDescent="0.25">
      <c r="A122" s="16" t="s">
        <v>143</v>
      </c>
      <c r="B122" s="22" t="s">
        <v>20</v>
      </c>
      <c r="C122" s="16" t="s">
        <v>75</v>
      </c>
      <c r="D122" s="19" t="s">
        <v>18</v>
      </c>
      <c r="E122" s="19" t="s">
        <v>18</v>
      </c>
      <c r="F122" s="19" t="s">
        <v>18</v>
      </c>
      <c r="G122" s="13">
        <f t="shared" si="12"/>
        <v>2</v>
      </c>
      <c r="H122" s="13">
        <f t="shared" si="13"/>
        <v>2</v>
      </c>
      <c r="I122" s="13">
        <f t="shared" si="14"/>
        <v>2</v>
      </c>
      <c r="J122" s="14">
        <f t="shared" si="15"/>
        <v>2</v>
      </c>
      <c r="K122" s="20" t="s">
        <v>16</v>
      </c>
    </row>
    <row r="123" spans="1:11" ht="15.75" customHeight="1" x14ac:dyDescent="0.25">
      <c r="A123" s="10" t="s">
        <v>144</v>
      </c>
      <c r="B123" s="21" t="s">
        <v>20</v>
      </c>
      <c r="C123" s="10" t="s">
        <v>75</v>
      </c>
      <c r="D123" s="23" t="s">
        <v>18</v>
      </c>
      <c r="E123" s="12" t="s">
        <v>15</v>
      </c>
      <c r="F123" s="23" t="s">
        <v>18</v>
      </c>
      <c r="G123" s="13">
        <f t="shared" si="12"/>
        <v>2</v>
      </c>
      <c r="H123" s="13">
        <f t="shared" si="13"/>
        <v>3</v>
      </c>
      <c r="I123" s="13">
        <f t="shared" si="14"/>
        <v>2</v>
      </c>
      <c r="J123" s="14">
        <f t="shared" si="15"/>
        <v>2.3333333333333335</v>
      </c>
      <c r="K123" s="15" t="s">
        <v>16</v>
      </c>
    </row>
    <row r="124" spans="1:11" ht="15.75" customHeight="1" x14ac:dyDescent="0.25">
      <c r="A124" s="16" t="s">
        <v>145</v>
      </c>
      <c r="B124" s="22" t="s">
        <v>20</v>
      </c>
      <c r="C124" s="16" t="s">
        <v>75</v>
      </c>
      <c r="D124" s="18" t="s">
        <v>15</v>
      </c>
      <c r="E124" s="18" t="s">
        <v>15</v>
      </c>
      <c r="F124" s="19" t="s">
        <v>18</v>
      </c>
      <c r="G124" s="13">
        <f t="shared" si="12"/>
        <v>3</v>
      </c>
      <c r="H124" s="13">
        <f t="shared" si="13"/>
        <v>3</v>
      </c>
      <c r="I124" s="13">
        <f t="shared" si="14"/>
        <v>2</v>
      </c>
      <c r="J124" s="14">
        <f t="shared" si="15"/>
        <v>2.6666666666666665</v>
      </c>
      <c r="K124" s="20" t="s">
        <v>16</v>
      </c>
    </row>
    <row r="125" spans="1:11" ht="15.75" customHeight="1" x14ac:dyDescent="0.25">
      <c r="A125" s="10" t="s">
        <v>146</v>
      </c>
      <c r="B125" s="21" t="s">
        <v>20</v>
      </c>
      <c r="C125" s="10" t="s">
        <v>75</v>
      </c>
      <c r="D125" s="24" t="s">
        <v>37</v>
      </c>
      <c r="E125" s="12" t="s">
        <v>15</v>
      </c>
      <c r="F125" s="24" t="s">
        <v>37</v>
      </c>
      <c r="G125" s="13">
        <f t="shared" si="12"/>
        <v>1</v>
      </c>
      <c r="H125" s="13">
        <f t="shared" si="13"/>
        <v>3</v>
      </c>
      <c r="I125" s="13">
        <f t="shared" si="14"/>
        <v>1</v>
      </c>
      <c r="J125" s="14">
        <f t="shared" si="15"/>
        <v>1.6666666666666667</v>
      </c>
      <c r="K125" s="25" t="s">
        <v>116</v>
      </c>
    </row>
    <row r="126" spans="1:11" ht="15.75" customHeight="1" x14ac:dyDescent="0.25">
      <c r="A126" s="16" t="s">
        <v>147</v>
      </c>
      <c r="B126" s="22" t="s">
        <v>20</v>
      </c>
      <c r="C126" s="16" t="s">
        <v>75</v>
      </c>
      <c r="D126" s="18" t="s">
        <v>15</v>
      </c>
      <c r="E126" s="18" t="s">
        <v>15</v>
      </c>
      <c r="F126" s="19" t="s">
        <v>18</v>
      </c>
      <c r="G126" s="13">
        <f t="shared" si="12"/>
        <v>3</v>
      </c>
      <c r="H126" s="13">
        <f t="shared" si="13"/>
        <v>3</v>
      </c>
      <c r="I126" s="13">
        <f t="shared" si="14"/>
        <v>2</v>
      </c>
      <c r="J126" s="14">
        <f t="shared" si="15"/>
        <v>2.6666666666666665</v>
      </c>
      <c r="K126" s="20" t="s">
        <v>16</v>
      </c>
    </row>
    <row r="127" spans="1:11" ht="15.75" customHeight="1" x14ac:dyDescent="0.25">
      <c r="A127" s="10" t="s">
        <v>148</v>
      </c>
      <c r="B127" s="11" t="s">
        <v>13</v>
      </c>
      <c r="C127" s="10" t="s">
        <v>75</v>
      </c>
      <c r="D127" s="12" t="s">
        <v>15</v>
      </c>
      <c r="E127" s="23" t="s">
        <v>18</v>
      </c>
      <c r="F127" s="23" t="s">
        <v>18</v>
      </c>
      <c r="G127" s="13">
        <f t="shared" si="12"/>
        <v>3</v>
      </c>
      <c r="H127" s="13">
        <f t="shared" si="13"/>
        <v>2</v>
      </c>
      <c r="I127" s="13">
        <f t="shared" si="14"/>
        <v>2</v>
      </c>
      <c r="J127" s="14">
        <f t="shared" si="15"/>
        <v>2.3333333333333335</v>
      </c>
      <c r="K127" s="15" t="s">
        <v>16</v>
      </c>
    </row>
    <row r="128" spans="1:11" ht="15.75" customHeight="1" x14ac:dyDescent="0.25">
      <c r="A128" s="16" t="s">
        <v>149</v>
      </c>
      <c r="B128" s="22" t="s">
        <v>20</v>
      </c>
      <c r="C128" s="16" t="s">
        <v>75</v>
      </c>
      <c r="D128" s="18" t="s">
        <v>15</v>
      </c>
      <c r="E128" s="18" t="s">
        <v>15</v>
      </c>
      <c r="F128" s="18" t="s">
        <v>15</v>
      </c>
      <c r="G128" s="13">
        <f t="shared" si="12"/>
        <v>3</v>
      </c>
      <c r="H128" s="13">
        <f t="shared" si="13"/>
        <v>3</v>
      </c>
      <c r="I128" s="13">
        <f t="shared" si="14"/>
        <v>3</v>
      </c>
      <c r="J128" s="14">
        <f t="shared" si="15"/>
        <v>3</v>
      </c>
      <c r="K128" s="20" t="s">
        <v>16</v>
      </c>
    </row>
    <row r="129" spans="1:11" ht="15.75" customHeight="1" x14ac:dyDescent="0.25">
      <c r="A129" s="10" t="s">
        <v>150</v>
      </c>
      <c r="B129" s="11" t="s">
        <v>13</v>
      </c>
      <c r="C129" s="10" t="s">
        <v>75</v>
      </c>
      <c r="D129" s="12" t="s">
        <v>15</v>
      </c>
      <c r="E129" s="23" t="s">
        <v>18</v>
      </c>
      <c r="F129" s="23" t="s">
        <v>18</v>
      </c>
      <c r="G129" s="13">
        <f t="shared" si="12"/>
        <v>3</v>
      </c>
      <c r="H129" s="13">
        <f t="shared" si="13"/>
        <v>2</v>
      </c>
      <c r="I129" s="13">
        <f t="shared" si="14"/>
        <v>2</v>
      </c>
      <c r="J129" s="14">
        <f t="shared" si="15"/>
        <v>2.3333333333333335</v>
      </c>
      <c r="K129" s="15" t="s">
        <v>16</v>
      </c>
    </row>
    <row r="130" spans="1:11" ht="15.75" customHeight="1" x14ac:dyDescent="0.25">
      <c r="A130" s="16" t="s">
        <v>151</v>
      </c>
      <c r="B130" s="22" t="s">
        <v>20</v>
      </c>
      <c r="C130" s="16" t="s">
        <v>75</v>
      </c>
      <c r="D130" s="18" t="s">
        <v>15</v>
      </c>
      <c r="E130" s="18" t="s">
        <v>15</v>
      </c>
      <c r="F130" s="19" t="s">
        <v>18</v>
      </c>
      <c r="G130" s="13">
        <f t="shared" si="12"/>
        <v>3</v>
      </c>
      <c r="H130" s="13">
        <f t="shared" si="13"/>
        <v>3</v>
      </c>
      <c r="I130" s="13">
        <f t="shared" si="14"/>
        <v>2</v>
      </c>
      <c r="J130" s="14">
        <f t="shared" si="15"/>
        <v>2.6666666666666665</v>
      </c>
      <c r="K130" s="20" t="s">
        <v>16</v>
      </c>
    </row>
    <row r="131" spans="1:11" ht="15.75" customHeight="1" x14ac:dyDescent="0.25">
      <c r="A131" s="10" t="s">
        <v>152</v>
      </c>
      <c r="B131" s="11" t="s">
        <v>13</v>
      </c>
      <c r="C131" s="10" t="s">
        <v>75</v>
      </c>
      <c r="D131" s="23" t="s">
        <v>18</v>
      </c>
      <c r="E131" s="23" t="s">
        <v>18</v>
      </c>
      <c r="F131" s="23" t="s">
        <v>18</v>
      </c>
      <c r="G131" s="13">
        <f t="shared" si="12"/>
        <v>2</v>
      </c>
      <c r="H131" s="13">
        <f t="shared" si="13"/>
        <v>2</v>
      </c>
      <c r="I131" s="13">
        <f t="shared" si="14"/>
        <v>2</v>
      </c>
      <c r="J131" s="14">
        <f t="shared" ref="J131:J134" si="16">IFERROR(AVERAGE(G131:I131),"")</f>
        <v>2</v>
      </c>
      <c r="K131" s="15" t="s">
        <v>16</v>
      </c>
    </row>
    <row r="132" spans="1:11" ht="15.75" customHeight="1" x14ac:dyDescent="0.25">
      <c r="A132" s="16" t="s">
        <v>153</v>
      </c>
      <c r="B132" s="17" t="s">
        <v>13</v>
      </c>
      <c r="C132" s="16" t="s">
        <v>75</v>
      </c>
      <c r="D132" s="18" t="s">
        <v>15</v>
      </c>
      <c r="E132" s="19" t="s">
        <v>18</v>
      </c>
      <c r="F132" s="18" t="s">
        <v>15</v>
      </c>
      <c r="G132" s="13">
        <f t="shared" si="12"/>
        <v>3</v>
      </c>
      <c r="H132" s="13">
        <f t="shared" si="13"/>
        <v>2</v>
      </c>
      <c r="I132" s="13">
        <f t="shared" si="14"/>
        <v>3</v>
      </c>
      <c r="J132" s="14">
        <f t="shared" si="16"/>
        <v>2.6666666666666665</v>
      </c>
      <c r="K132" s="20" t="s">
        <v>16</v>
      </c>
    </row>
    <row r="133" spans="1:11" ht="15.75" customHeight="1" x14ac:dyDescent="0.25">
      <c r="A133" s="10" t="s">
        <v>154</v>
      </c>
      <c r="B133" s="21" t="s">
        <v>20</v>
      </c>
      <c r="C133" s="10" t="s">
        <v>75</v>
      </c>
      <c r="D133" s="23" t="s">
        <v>18</v>
      </c>
      <c r="E133" s="12" t="s">
        <v>15</v>
      </c>
      <c r="F133" s="12" t="s">
        <v>15</v>
      </c>
      <c r="G133" s="13">
        <f t="shared" si="12"/>
        <v>2</v>
      </c>
      <c r="H133" s="13">
        <f t="shared" si="13"/>
        <v>3</v>
      </c>
      <c r="I133" s="13">
        <f t="shared" si="14"/>
        <v>3</v>
      </c>
      <c r="J133" s="14">
        <f t="shared" si="16"/>
        <v>2.6666666666666665</v>
      </c>
      <c r="K133" s="15" t="s">
        <v>16</v>
      </c>
    </row>
    <row r="134" spans="1:11" ht="15.75" customHeight="1" x14ac:dyDescent="0.25">
      <c r="A134" s="16" t="s">
        <v>155</v>
      </c>
      <c r="B134" s="22" t="s">
        <v>20</v>
      </c>
      <c r="C134" s="16" t="s">
        <v>75</v>
      </c>
      <c r="D134" s="26" t="s">
        <v>37</v>
      </c>
      <c r="E134" s="19" t="s">
        <v>18</v>
      </c>
      <c r="F134" s="26" t="s">
        <v>37</v>
      </c>
      <c r="G134" s="13">
        <f t="shared" si="12"/>
        <v>1</v>
      </c>
      <c r="H134" s="13">
        <f t="shared" si="13"/>
        <v>2</v>
      </c>
      <c r="I134" s="13">
        <f t="shared" si="14"/>
        <v>1</v>
      </c>
      <c r="J134" s="14">
        <f t="shared" si="16"/>
        <v>1.3333333333333333</v>
      </c>
      <c r="K134" s="27" t="s">
        <v>116</v>
      </c>
    </row>
  </sheetData>
  <mergeCells count="1">
    <mergeCell ref="A1:K1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5"/>
  <sheetViews>
    <sheetView showGridLines="0" zoomScale="80" zoomScaleNormal="80" workbookViewId="0">
      <pane xSplit="1" ySplit="2" topLeftCell="F3" activePane="bottomRight" state="frozen"/>
      <selection pane="topRight" activeCell="B1" sqref="B1"/>
      <selection pane="bottomLeft" activeCell="A3" sqref="A3"/>
      <selection pane="bottomRight" activeCell="X39" sqref="X39"/>
    </sheetView>
  </sheetViews>
  <sheetFormatPr baseColWidth="10" defaultColWidth="8.7109375" defaultRowHeight="15" x14ac:dyDescent="0.25"/>
  <cols>
    <col min="1" max="1" width="3" style="8" customWidth="1"/>
    <col min="2" max="2" width="32" style="8" customWidth="1"/>
    <col min="3" max="7" width="20" style="8" customWidth="1"/>
  </cols>
  <sheetData>
    <row r="1" spans="2:7" ht="34.5" customHeight="1" x14ac:dyDescent="0.25">
      <c r="B1" s="5" t="s">
        <v>156</v>
      </c>
      <c r="C1" s="5"/>
      <c r="D1" s="5"/>
      <c r="E1" s="5"/>
      <c r="F1" s="5"/>
      <c r="G1" s="5"/>
    </row>
    <row r="2" spans="2:7" ht="19.5" customHeight="1" x14ac:dyDescent="0.25">
      <c r="B2" s="4" t="s">
        <v>157</v>
      </c>
      <c r="C2" s="4"/>
      <c r="D2" s="4"/>
      <c r="E2" s="4"/>
      <c r="F2" s="4"/>
      <c r="G2" s="4"/>
    </row>
    <row r="4" spans="2:7" ht="18" customHeight="1" x14ac:dyDescent="0.25">
      <c r="B4" s="3" t="s">
        <v>158</v>
      </c>
      <c r="C4" s="3"/>
      <c r="D4" s="3"/>
      <c r="E4" s="3"/>
      <c r="F4" s="3"/>
      <c r="G4" s="3"/>
    </row>
    <row r="5" spans="2:7" ht="27.75" customHeight="1" x14ac:dyDescent="0.25">
      <c r="B5" s="28" t="s">
        <v>159</v>
      </c>
      <c r="C5" s="29" t="s">
        <v>160</v>
      </c>
      <c r="D5" s="28" t="s">
        <v>161</v>
      </c>
      <c r="E5" s="30" t="s">
        <v>162</v>
      </c>
      <c r="G5" s="31" t="s">
        <v>163</v>
      </c>
    </row>
    <row r="6" spans="2:7" ht="36" customHeight="1" x14ac:dyDescent="0.25">
      <c r="B6" s="32">
        <f>COUNTA('1. Datos Base'!A3:A134)</f>
        <v>132</v>
      </c>
      <c r="C6" s="33">
        <f>COUNTIF('1. Datos Base'!B3:B134,"Mujer")</f>
        <v>78</v>
      </c>
      <c r="D6" s="32">
        <f>COUNTIF('1. Datos Base'!B3:B134,"Hombre")</f>
        <v>54</v>
      </c>
      <c r="E6" s="34">
        <f>COUNTIF('1. Datos Base'!K3:K134,"Si")</f>
        <v>126</v>
      </c>
      <c r="G6" s="35">
        <f>IFERROR(AVERAGE('1. Datos Base'!J3:J134),"")</f>
        <v>2.6287878787878793</v>
      </c>
    </row>
    <row r="7" spans="2:7" ht="19.5" customHeight="1" x14ac:dyDescent="0.25">
      <c r="C7" s="36">
        <f>C6/$B6</f>
        <v>0.59090909090909094</v>
      </c>
      <c r="D7" s="36">
        <f>D6/$B6</f>
        <v>0.40909090909090912</v>
      </c>
      <c r="E7" s="36">
        <f>E6/$B6</f>
        <v>0.95454545454545459</v>
      </c>
    </row>
    <row r="8" spans="2:7" ht="7.5" customHeight="1" x14ac:dyDescent="0.25"/>
    <row r="9" spans="2:7" ht="18" customHeight="1" x14ac:dyDescent="0.25">
      <c r="B9" s="2" t="s">
        <v>164</v>
      </c>
      <c r="C9" s="2"/>
      <c r="D9" s="2"/>
      <c r="E9" s="2"/>
      <c r="F9" s="2"/>
      <c r="G9" s="2"/>
    </row>
    <row r="10" spans="2:7" ht="21.75" customHeight="1" x14ac:dyDescent="0.25">
      <c r="B10" s="37" t="s">
        <v>165</v>
      </c>
      <c r="C10" s="37" t="s">
        <v>166</v>
      </c>
      <c r="D10" s="37" t="s">
        <v>167</v>
      </c>
      <c r="E10" s="37" t="s">
        <v>168</v>
      </c>
      <c r="F10" s="37" t="s">
        <v>169</v>
      </c>
      <c r="G10" s="37" t="s">
        <v>170</v>
      </c>
    </row>
    <row r="11" spans="2:7" ht="19.5" customHeight="1" x14ac:dyDescent="0.25">
      <c r="B11" s="38" t="s">
        <v>171</v>
      </c>
      <c r="C11" s="39">
        <f>IFERROR(AVERAGE('1. Datos Base'!G3:G134),"")</f>
        <v>2.7727272727272729</v>
      </c>
      <c r="D11" s="40">
        <f>IFERROR(COUNTIF('1. Datos Base'!D3:D134,"Excelente")/COUNTA('1. Datos Base'!D3:D134),"")</f>
        <v>0.80303030303030298</v>
      </c>
      <c r="E11" s="40">
        <f>IFERROR(COUNTIF('1. Datos Base'!D3:D134,"Buena")/COUNTA('1. Datos Base'!D3:D134),"")</f>
        <v>0.16666666666666666</v>
      </c>
      <c r="F11" s="40">
        <f>IFERROR(COUNTIF('1. Datos Base'!D3:D134,"Regular")/COUNTA('1. Datos Base'!D3:D134),"")</f>
        <v>3.0303030303030304E-2</v>
      </c>
      <c r="G11" s="41" t="str">
        <f>IF(C11&gt;=2.7,"⭐ Excelente",IF(C11&gt;=1.7,"👍 Buena","⚠ Regular"))</f>
        <v>⭐ Excelente</v>
      </c>
    </row>
    <row r="12" spans="2:7" ht="19.5" customHeight="1" x14ac:dyDescent="0.25">
      <c r="B12" s="42" t="s">
        <v>172</v>
      </c>
      <c r="C12" s="43">
        <f>IFERROR(AVERAGE('1. Datos Base'!H3:H134),"")</f>
        <v>2.6136363636363638</v>
      </c>
      <c r="D12" s="44">
        <f>IFERROR(COUNTIF('1. Datos Base'!E3:E134,"Excelente")/COUNTA('1. Datos Base'!E3:E134),"")</f>
        <v>0.63636363636363635</v>
      </c>
      <c r="E12" s="44">
        <f>IFERROR(COUNTIF('1. Datos Base'!E3:E134,"Buena")/COUNTA('1. Datos Base'!E3:E134),"")</f>
        <v>0.34090909090909088</v>
      </c>
      <c r="F12" s="44">
        <f>IFERROR(COUNTIF('1. Datos Base'!E3:E134,"Regular")/COUNTA('1. Datos Base'!E3:E134),"")</f>
        <v>2.2727272727272728E-2</v>
      </c>
      <c r="G12" s="45" t="str">
        <f>IF(C12&gt;=2.7,"⭐ Excelente",IF(C12&gt;=1.7,"👍 Buena","⚠ Regular"))</f>
        <v>👍 Buena</v>
      </c>
    </row>
    <row r="13" spans="2:7" ht="19.5" customHeight="1" x14ac:dyDescent="0.25">
      <c r="B13" s="38" t="s">
        <v>173</v>
      </c>
      <c r="C13" s="39">
        <f>IFERROR(AVERAGE('1. Datos Base'!I3:I134),"")</f>
        <v>2.5</v>
      </c>
      <c r="D13" s="40">
        <f>IFERROR(COUNTIF('1. Datos Base'!F3:F134,"Excelente")/COUNTA('1. Datos Base'!F3:F134),"")</f>
        <v>0.53787878787878785</v>
      </c>
      <c r="E13" s="40">
        <f>IFERROR(COUNTIF('1. Datos Base'!F3:F134,"Buena")/COUNTA('1. Datos Base'!F3:F134),"")</f>
        <v>0.42424242424242425</v>
      </c>
      <c r="F13" s="40">
        <f>IFERROR(COUNTIF('1. Datos Base'!F3:F134,"Regular")/COUNTA('1. Datos Base'!F3:F134),"")</f>
        <v>3.787878787878788E-2</v>
      </c>
      <c r="G13" s="41" t="str">
        <f>IF(C13&gt;=2.7,"⭐ Excelente",IF(C13&gt;=1.7,"👍 Buena","⚠ Regular"))</f>
        <v>👍 Buena</v>
      </c>
    </row>
    <row r="14" spans="2:7" ht="7.5" customHeight="1" x14ac:dyDescent="0.25"/>
    <row r="15" spans="2:7" ht="18" customHeight="1" x14ac:dyDescent="0.25">
      <c r="B15" s="2" t="s">
        <v>174</v>
      </c>
      <c r="C15" s="2"/>
      <c r="D15" s="2"/>
      <c r="E15" s="2"/>
      <c r="F15" s="2"/>
      <c r="G15" s="2"/>
    </row>
    <row r="16" spans="2:7" ht="21.75" customHeight="1" x14ac:dyDescent="0.25">
      <c r="B16" s="46" t="s">
        <v>175</v>
      </c>
      <c r="C16" s="46" t="s">
        <v>176</v>
      </c>
      <c r="D16" s="46" t="s">
        <v>177</v>
      </c>
      <c r="E16" s="46" t="s">
        <v>178</v>
      </c>
      <c r="F16" s="46" t="s">
        <v>179</v>
      </c>
      <c r="G16" s="46" t="s">
        <v>180</v>
      </c>
    </row>
    <row r="17" spans="2:7" ht="21.75" customHeight="1" x14ac:dyDescent="0.25">
      <c r="B17" s="47" t="s">
        <v>25</v>
      </c>
      <c r="C17" s="48">
        <f>COUNTIF('1. Datos Base'!C3:C134,"Fortalecimiento Empresarial")</f>
        <v>30</v>
      </c>
      <c r="D17" s="39">
        <f>IFERROR(AVERAGEIF('1. Datos Base'!C3:C134,"Fortalecimiento Empresarial",'1. Datos Base'!G3:G134),"")</f>
        <v>2.9666666666666668</v>
      </c>
      <c r="E17" s="39">
        <f>IFERROR(AVERAGEIF('1. Datos Base'!C3:C134,"Fortalecimiento Empresarial",'1. Datos Base'!H3:H134),"")</f>
        <v>2.5666666666666669</v>
      </c>
      <c r="F17" s="39">
        <f>IFERROR(AVERAGEIF('1. Datos Base'!C3:C134,"Fortalecimiento Empresarial",'1. Datos Base'!I3:I134),"")</f>
        <v>2.7333333333333334</v>
      </c>
      <c r="G17" s="40">
        <f>IFERROR(COUNTIFS('1. Datos Base'!C3:C134,"Fortalecimiento Empresarial",'1. Datos Base'!K3:K134,"Si")/C17,"")</f>
        <v>1</v>
      </c>
    </row>
    <row r="18" spans="2:7" ht="21.75" customHeight="1" x14ac:dyDescent="0.25">
      <c r="B18" s="49" t="s">
        <v>90</v>
      </c>
      <c r="C18" s="50">
        <f>COUNTIF('1. Datos Base'!C3:C134,"IA – General")</f>
        <v>8</v>
      </c>
      <c r="D18" s="43">
        <f>IFERROR(AVERAGEIF('1. Datos Base'!C3:C134,"IA – General",'1. Datos Base'!G3:G134),"")</f>
        <v>3</v>
      </c>
      <c r="E18" s="43">
        <f>IFERROR(AVERAGEIF('1. Datos Base'!C3:C134,"IA – General",'1. Datos Base'!H3:H134),"")</f>
        <v>3</v>
      </c>
      <c r="F18" s="43">
        <f>IFERROR(AVERAGEIF('1. Datos Base'!C3:C134,"IA – General",'1. Datos Base'!I3:I134),"")</f>
        <v>2.625</v>
      </c>
      <c r="G18" s="44">
        <f>IFERROR(COUNTIFS('1. Datos Base'!C3:C134,"IA – General",'1. Datos Base'!K3:K134,"Si")/C18,"")</f>
        <v>1</v>
      </c>
    </row>
    <row r="19" spans="2:7" ht="21.75" customHeight="1" x14ac:dyDescent="0.25">
      <c r="B19" s="47" t="s">
        <v>75</v>
      </c>
      <c r="C19" s="48">
        <f>COUNTIF('1. Datos Base'!C3:C134,"IA – Herramientas y Principios")</f>
        <v>40</v>
      </c>
      <c r="D19" s="39">
        <f>IFERROR(AVERAGEIF('1. Datos Base'!C3:C134,"IA – Herramientas y Principios",'1. Datos Base'!G3:G134),"")</f>
        <v>2.4750000000000001</v>
      </c>
      <c r="E19" s="39">
        <f>IFERROR(AVERAGEIF('1. Datos Base'!C3:C134,"IA – Herramientas y Principios",'1. Datos Base'!H3:H134),"")</f>
        <v>2.5249999999999999</v>
      </c>
      <c r="F19" s="39">
        <f>IFERROR(AVERAGEIF('1. Datos Base'!C3:C134,"IA – Herramientas y Principios",'1. Datos Base'!I3:I134),"")</f>
        <v>2.2250000000000001</v>
      </c>
      <c r="G19" s="40">
        <f>IFERROR(COUNTIFS('1. Datos Base'!C3:C134,"IA – Herramientas y Principios",'1. Datos Base'!K3:K134,"Si")/C19,"")</f>
        <v>0.9</v>
      </c>
    </row>
    <row r="20" spans="2:7" ht="21.75" customHeight="1" x14ac:dyDescent="0.25">
      <c r="B20" s="49" t="s">
        <v>81</v>
      </c>
      <c r="C20" s="50">
        <f>COUNTIF('1. Datos Base'!C3:C134,"IA – Organización y Datos")</f>
        <v>22</v>
      </c>
      <c r="D20" s="43">
        <f>IFERROR(AVERAGEIF('1. Datos Base'!C3:C134,"IA – Organización y Datos",'1. Datos Base'!G3:G134),"")</f>
        <v>2.8181818181818183</v>
      </c>
      <c r="E20" s="43">
        <f>IFERROR(AVERAGEIF('1. Datos Base'!C3:C134,"IA – Organización y Datos",'1. Datos Base'!H3:H134),"")</f>
        <v>2.6818181818181817</v>
      </c>
      <c r="F20" s="43">
        <f>IFERROR(AVERAGEIF('1. Datos Base'!C3:C134,"IA – Organización y Datos",'1. Datos Base'!I3:I134),"")</f>
        <v>2.5454545454545454</v>
      </c>
      <c r="G20" s="44">
        <f>IFERROR(COUNTIFS('1. Datos Base'!C3:C134,"IA – Organización y Datos",'1. Datos Base'!K3:K134,"Si")/C20,"")</f>
        <v>0.95454545454545459</v>
      </c>
    </row>
    <row r="21" spans="2:7" ht="21.75" customHeight="1" x14ac:dyDescent="0.25">
      <c r="B21" s="47" t="s">
        <v>100</v>
      </c>
      <c r="C21" s="48">
        <f>COUNTIF('1. Datos Base'!C3:C134,"IA – Redacción de Documentos")</f>
        <v>6</v>
      </c>
      <c r="D21" s="39">
        <f>IFERROR(AVERAGEIF('1. Datos Base'!C3:C134,"IA – Redacción de Documentos",'1. Datos Base'!G3:G134),"")</f>
        <v>3</v>
      </c>
      <c r="E21" s="39">
        <f>IFERROR(AVERAGEIF('1. Datos Base'!C3:C134,"IA – Redacción de Documentos",'1. Datos Base'!H3:H134),"")</f>
        <v>2.6666666666666665</v>
      </c>
      <c r="F21" s="39">
        <f>IFERROR(AVERAGEIF('1. Datos Base'!C3:C134,"IA – Redacción de Documentos",'1. Datos Base'!I3:I134),"")</f>
        <v>2.6666666666666665</v>
      </c>
      <c r="G21" s="40">
        <f>IFERROR(COUNTIFS('1. Datos Base'!C3:C134,"IA – Redacción de Documentos",'1. Datos Base'!K3:K134,"Si")/C21,"")</f>
        <v>1</v>
      </c>
    </row>
    <row r="22" spans="2:7" ht="21.75" customHeight="1" x14ac:dyDescent="0.25">
      <c r="B22" s="49" t="s">
        <v>14</v>
      </c>
      <c r="C22" s="50">
        <f>COUNTIF('1. Datos Base'!C3:C134,"Modelo de Negocio / Canvas")</f>
        <v>22</v>
      </c>
      <c r="D22" s="43">
        <f>IFERROR(AVERAGEIF('1. Datos Base'!C3:C134,"Modelo de Negocio / Canvas",'1. Datos Base'!G3:G134),"")</f>
        <v>2.8636363636363638</v>
      </c>
      <c r="E22" s="43">
        <f>IFERROR(AVERAGEIF('1. Datos Base'!C3:C134,"Modelo de Negocio / Canvas",'1. Datos Base'!H3:H134),"")</f>
        <v>2.6818181818181817</v>
      </c>
      <c r="F22" s="43">
        <f>IFERROR(AVERAGEIF('1. Datos Base'!C3:C134,"Modelo de Negocio / Canvas",'1. Datos Base'!I3:I134),"")</f>
        <v>2.5909090909090908</v>
      </c>
      <c r="G22" s="44">
        <f>IFERROR(COUNTIFS('1. Datos Base'!C3:C134,"Modelo de Negocio / Canvas",'1. Datos Base'!K3:K134,"Si")/C22,"")</f>
        <v>0.95454545454545459</v>
      </c>
    </row>
    <row r="23" spans="2:7" ht="21.75" customHeight="1" x14ac:dyDescent="0.25">
      <c r="B23" s="47" t="s">
        <v>23</v>
      </c>
      <c r="C23" s="48">
        <f>COUNTIF('1. Datos Base'!C3:C134,"Otro")</f>
        <v>4</v>
      </c>
      <c r="D23" s="39">
        <f>IFERROR(AVERAGEIF('1. Datos Base'!C3:C134,"Otro",'1. Datos Base'!G3:G134),"")</f>
        <v>2.75</v>
      </c>
      <c r="E23" s="39">
        <f>IFERROR(AVERAGEIF('1. Datos Base'!C3:C134,"Otro",'1. Datos Base'!H3:H134),"")</f>
        <v>2.25</v>
      </c>
      <c r="F23" s="39">
        <f>IFERROR(AVERAGEIF('1. Datos Base'!C3:C134,"Otro",'1. Datos Base'!I3:I134),"")</f>
        <v>2.25</v>
      </c>
      <c r="G23" s="40">
        <f>IFERROR(COUNTIFS('1. Datos Base'!C3:C134,"Otro",'1. Datos Base'!K3:K134,"Si")/C23,"")</f>
        <v>1</v>
      </c>
    </row>
    <row r="25" spans="2:7" ht="21.75" customHeight="1" x14ac:dyDescent="0.25">
      <c r="B25" s="6"/>
      <c r="C25" s="6"/>
      <c r="D25" s="6"/>
      <c r="E25" s="6"/>
      <c r="F25" s="6"/>
      <c r="G25" s="6"/>
    </row>
  </sheetData>
  <mergeCells count="6">
    <mergeCell ref="B25:G25"/>
    <mergeCell ref="B1:G1"/>
    <mergeCell ref="B2:G2"/>
    <mergeCell ref="B4:G4"/>
    <mergeCell ref="B9:G9"/>
    <mergeCell ref="B15:G15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showGridLines="0" zoomScale="70" zoomScaleNormal="70" workbookViewId="0">
      <selection activeCell="V20" sqref="V20"/>
    </sheetView>
  </sheetViews>
  <sheetFormatPr baseColWidth="10" defaultColWidth="8.7109375" defaultRowHeight="15" x14ac:dyDescent="0.25"/>
  <cols>
    <col min="1" max="1" width="3" style="8" customWidth="1"/>
    <col min="2" max="2" width="28" style="8" customWidth="1"/>
    <col min="3" max="7" width="16" style="8" customWidth="1"/>
    <col min="8" max="8" width="3" style="8" customWidth="1"/>
  </cols>
  <sheetData>
    <row r="1" spans="2:7" ht="30" customHeight="1" x14ac:dyDescent="0.25">
      <c r="B1" s="7" t="s">
        <v>181</v>
      </c>
      <c r="C1" s="7"/>
      <c r="D1" s="7"/>
      <c r="E1" s="7"/>
      <c r="F1" s="7"/>
      <c r="G1" s="7"/>
    </row>
    <row r="3" spans="2:7" ht="18" customHeight="1" x14ac:dyDescent="0.25">
      <c r="B3" s="3" t="s">
        <v>182</v>
      </c>
      <c r="C3" s="3"/>
      <c r="D3" s="3"/>
      <c r="E3" s="3"/>
      <c r="F3" s="3"/>
      <c r="G3" s="3"/>
    </row>
    <row r="4" spans="2:7" ht="21.75" customHeight="1" x14ac:dyDescent="0.25">
      <c r="B4" s="37" t="s">
        <v>2</v>
      </c>
      <c r="C4" s="37" t="s">
        <v>176</v>
      </c>
      <c r="D4" s="37" t="s">
        <v>177</v>
      </c>
      <c r="E4" s="37" t="s">
        <v>178</v>
      </c>
      <c r="F4" s="37" t="s">
        <v>183</v>
      </c>
      <c r="G4" s="37" t="s">
        <v>184</v>
      </c>
    </row>
    <row r="5" spans="2:7" ht="21.75" customHeight="1" x14ac:dyDescent="0.25">
      <c r="B5" s="51" t="s">
        <v>13</v>
      </c>
      <c r="C5" s="48">
        <f>COUNTIF('1. Datos Base'!B3:B134,"Hombre")</f>
        <v>54</v>
      </c>
      <c r="D5" s="39">
        <f>IFERROR(AVERAGEIF('1. Datos Base'!B3:B134,"Hombre",'1. Datos Base'!G3:G134),"")</f>
        <v>2.7777777777777777</v>
      </c>
      <c r="E5" s="39">
        <f>IFERROR(AVERAGEIF('1. Datos Base'!B3:B134,"Hombre",'1. Datos Base'!H3:H134),"")</f>
        <v>2.5185185185185186</v>
      </c>
      <c r="F5" s="39">
        <f>IFERROR(AVERAGEIF('1. Datos Base'!B3:B134,"Hombre",'1. Datos Base'!I3:I134),"")</f>
        <v>2.5370370370370372</v>
      </c>
      <c r="G5" s="40">
        <f>IFERROR(COUNTIFS('1. Datos Base'!B3:B134,"Hombre",'1. Datos Base'!K3:K134,"Si")/C5,"")</f>
        <v>0.96296296296296291</v>
      </c>
    </row>
    <row r="6" spans="2:7" ht="21.75" customHeight="1" x14ac:dyDescent="0.25">
      <c r="B6" s="52" t="s">
        <v>20</v>
      </c>
      <c r="C6" s="50">
        <f>COUNTIF('1. Datos Base'!B3:B134,"Mujer")</f>
        <v>78</v>
      </c>
      <c r="D6" s="43">
        <f>IFERROR(AVERAGEIF('1. Datos Base'!B3:B134,"Mujer",'1. Datos Base'!G3:G134),"")</f>
        <v>2.7692307692307692</v>
      </c>
      <c r="E6" s="43">
        <f>IFERROR(AVERAGEIF('1. Datos Base'!B3:B134,"Mujer",'1. Datos Base'!H3:H134),"")</f>
        <v>2.6794871794871793</v>
      </c>
      <c r="F6" s="43">
        <f>IFERROR(AVERAGEIF('1. Datos Base'!B3:B134,"Mujer",'1. Datos Base'!I3:I134),"")</f>
        <v>2.4743589743589745</v>
      </c>
      <c r="G6" s="44">
        <f>IFERROR(COUNTIFS('1. Datos Base'!B3:B134,"Mujer",'1. Datos Base'!K3:K134,"Si")/C6,"")</f>
        <v>0.94871794871794868</v>
      </c>
    </row>
    <row r="8" spans="2:7" ht="18" customHeight="1" x14ac:dyDescent="0.25">
      <c r="B8" s="2" t="s">
        <v>185</v>
      </c>
      <c r="C8" s="2"/>
      <c r="D8" s="2"/>
      <c r="E8" s="2"/>
      <c r="F8" s="2"/>
      <c r="G8" s="2"/>
    </row>
    <row r="9" spans="2:7" ht="21.75" customHeight="1" x14ac:dyDescent="0.25">
      <c r="B9" s="37" t="s">
        <v>175</v>
      </c>
      <c r="C9" s="37" t="s">
        <v>186</v>
      </c>
      <c r="D9" s="37" t="s">
        <v>187</v>
      </c>
      <c r="E9" s="37" t="s">
        <v>188</v>
      </c>
      <c r="F9" s="37" t="s">
        <v>189</v>
      </c>
    </row>
    <row r="10" spans="2:7" ht="19.5" customHeight="1" x14ac:dyDescent="0.25">
      <c r="B10" s="47" t="s">
        <v>25</v>
      </c>
      <c r="C10" s="48">
        <f>COUNTIFS('1. Datos Base'!C3:C134,"Fortalecimiento Empresarial",'1. Datos Base'!B3:B134,"Hombre")</f>
        <v>9</v>
      </c>
      <c r="D10" s="48">
        <f>COUNTIFS('1. Datos Base'!C3:C134,"Fortalecimiento Empresarial",'1. Datos Base'!B3:B134,"Mujer")</f>
        <v>21</v>
      </c>
      <c r="E10" s="48">
        <f t="shared" ref="E10:E16" si="0">IFERROR(C10+D10,"")</f>
        <v>30</v>
      </c>
      <c r="F10" s="40">
        <f t="shared" ref="F10:F16" si="1">IFERROR(D10/E10,"")</f>
        <v>0.7</v>
      </c>
    </row>
    <row r="11" spans="2:7" ht="19.5" customHeight="1" x14ac:dyDescent="0.25">
      <c r="B11" s="49" t="s">
        <v>90</v>
      </c>
      <c r="C11" s="50">
        <f>COUNTIFS('1. Datos Base'!C3:C134,"IA – General",'1. Datos Base'!B3:B134,"Hombre")</f>
        <v>3</v>
      </c>
      <c r="D11" s="50">
        <f>COUNTIFS('1. Datos Base'!C3:C134,"IA – General",'1. Datos Base'!B3:B134,"Mujer")</f>
        <v>5</v>
      </c>
      <c r="E11" s="50">
        <f t="shared" si="0"/>
        <v>8</v>
      </c>
      <c r="F11" s="44">
        <f t="shared" si="1"/>
        <v>0.625</v>
      </c>
    </row>
    <row r="12" spans="2:7" ht="19.5" customHeight="1" x14ac:dyDescent="0.25">
      <c r="B12" s="47" t="s">
        <v>75</v>
      </c>
      <c r="C12" s="48">
        <f>COUNTIFS('1. Datos Base'!C3:C134,"IA – Herramientas y Principios",'1. Datos Base'!B3:B134,"Hombre")</f>
        <v>15</v>
      </c>
      <c r="D12" s="48">
        <f>COUNTIFS('1. Datos Base'!C3:C134,"IA – Herramientas y Principios",'1. Datos Base'!B3:B134,"Mujer")</f>
        <v>25</v>
      </c>
      <c r="E12" s="48">
        <f t="shared" si="0"/>
        <v>40</v>
      </c>
      <c r="F12" s="40">
        <f t="shared" si="1"/>
        <v>0.625</v>
      </c>
    </row>
    <row r="13" spans="2:7" ht="19.5" customHeight="1" x14ac:dyDescent="0.25">
      <c r="B13" s="49" t="s">
        <v>81</v>
      </c>
      <c r="C13" s="50">
        <f>COUNTIFS('1. Datos Base'!C3:C134,"IA – Organización y Datos",'1. Datos Base'!B3:B134,"Hombre")</f>
        <v>18</v>
      </c>
      <c r="D13" s="50">
        <f>COUNTIFS('1. Datos Base'!C3:C134,"IA – Organización y Datos",'1. Datos Base'!B3:B134,"Mujer")</f>
        <v>4</v>
      </c>
      <c r="E13" s="50">
        <f t="shared" si="0"/>
        <v>22</v>
      </c>
      <c r="F13" s="44">
        <f t="shared" si="1"/>
        <v>0.18181818181818182</v>
      </c>
    </row>
    <row r="14" spans="2:7" ht="19.5" customHeight="1" x14ac:dyDescent="0.25">
      <c r="B14" s="47" t="s">
        <v>100</v>
      </c>
      <c r="C14" s="48">
        <f>COUNTIFS('1. Datos Base'!C3:C134,"IA – Redacción de Documentos",'1. Datos Base'!B3:B134,"Hombre")</f>
        <v>4</v>
      </c>
      <c r="D14" s="48">
        <f>COUNTIFS('1. Datos Base'!C3:C134,"IA – Redacción de Documentos",'1. Datos Base'!B3:B134,"Mujer")</f>
        <v>2</v>
      </c>
      <c r="E14" s="48">
        <f t="shared" si="0"/>
        <v>6</v>
      </c>
      <c r="F14" s="40">
        <f t="shared" si="1"/>
        <v>0.33333333333333331</v>
      </c>
    </row>
    <row r="15" spans="2:7" ht="19.5" customHeight="1" x14ac:dyDescent="0.25">
      <c r="B15" s="49" t="s">
        <v>14</v>
      </c>
      <c r="C15" s="50">
        <f>COUNTIFS('1. Datos Base'!C3:C134,"Modelo de Negocio / Canvas",'1. Datos Base'!B3:B134,"Hombre")</f>
        <v>4</v>
      </c>
      <c r="D15" s="50">
        <f>COUNTIFS('1. Datos Base'!C3:C134,"Modelo de Negocio / Canvas",'1. Datos Base'!B3:B134,"Mujer")</f>
        <v>18</v>
      </c>
      <c r="E15" s="50">
        <f t="shared" si="0"/>
        <v>22</v>
      </c>
      <c r="F15" s="44">
        <f t="shared" si="1"/>
        <v>0.81818181818181823</v>
      </c>
    </row>
    <row r="16" spans="2:7" ht="19.5" customHeight="1" x14ac:dyDescent="0.25">
      <c r="B16" s="47" t="s">
        <v>23</v>
      </c>
      <c r="C16" s="48">
        <f>COUNTIFS('1. Datos Base'!C3:C134,"Otro",'1. Datos Base'!B3:B134,"Hombre")</f>
        <v>1</v>
      </c>
      <c r="D16" s="48">
        <f>COUNTIFS('1. Datos Base'!C3:C134,"Otro",'1. Datos Base'!B3:B134,"Mujer")</f>
        <v>3</v>
      </c>
      <c r="E16" s="48">
        <f t="shared" si="0"/>
        <v>4</v>
      </c>
      <c r="F16" s="40">
        <f t="shared" si="1"/>
        <v>0.75</v>
      </c>
    </row>
    <row r="18" spans="2:7" ht="21.75" customHeight="1" x14ac:dyDescent="0.25">
      <c r="B18" s="6"/>
      <c r="C18" s="6"/>
      <c r="D18" s="6"/>
      <c r="E18" s="6"/>
      <c r="F18" s="6"/>
      <c r="G18" s="6"/>
    </row>
  </sheetData>
  <mergeCells count="4">
    <mergeCell ref="B1:G1"/>
    <mergeCell ref="B3:G3"/>
    <mergeCell ref="B8:G8"/>
    <mergeCell ref="B18:G18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9"/>
  <sheetViews>
    <sheetView showGridLines="0" zoomScale="70" zoomScaleNormal="70" zoomScaleSheetLayoutView="40" workbookViewId="0">
      <selection activeCell="X9" sqref="X9"/>
    </sheetView>
  </sheetViews>
  <sheetFormatPr baseColWidth="10" defaultColWidth="8.7109375" defaultRowHeight="15" x14ac:dyDescent="0.25"/>
  <cols>
    <col min="1" max="1" width="3" style="8" customWidth="1"/>
    <col min="2" max="2" width="32" style="8" customWidth="1"/>
    <col min="3" max="7" width="14" style="8" customWidth="1"/>
    <col min="8" max="8" width="3" style="8" customWidth="1"/>
  </cols>
  <sheetData>
    <row r="1" spans="2:7" ht="30" customHeight="1" x14ac:dyDescent="0.25">
      <c r="B1" s="7" t="s">
        <v>190</v>
      </c>
      <c r="C1" s="7"/>
      <c r="D1" s="7"/>
      <c r="E1" s="7"/>
      <c r="F1" s="7"/>
      <c r="G1" s="7"/>
    </row>
    <row r="3" spans="2:7" ht="19.5" customHeight="1" x14ac:dyDescent="0.25">
      <c r="B3" s="1" t="s">
        <v>191</v>
      </c>
      <c r="C3" s="1"/>
      <c r="D3" s="1"/>
      <c r="E3" s="1"/>
      <c r="F3" s="1"/>
      <c r="G3" s="1"/>
    </row>
    <row r="4" spans="2:7" ht="19.5" customHeight="1" x14ac:dyDescent="0.25">
      <c r="B4" s="53" t="s">
        <v>192</v>
      </c>
      <c r="C4" s="53" t="s">
        <v>193</v>
      </c>
      <c r="D4" s="53" t="s">
        <v>194</v>
      </c>
      <c r="E4" s="53" t="s">
        <v>186</v>
      </c>
      <c r="F4" s="53" t="s">
        <v>187</v>
      </c>
      <c r="G4" s="53" t="s">
        <v>195</v>
      </c>
    </row>
    <row r="5" spans="2:7" ht="18" customHeight="1" x14ac:dyDescent="0.25">
      <c r="B5" s="54" t="s">
        <v>15</v>
      </c>
      <c r="C5" s="48">
        <f>COUNTIF('1. Datos Base'!D3:D134,"Excelente")</f>
        <v>106</v>
      </c>
      <c r="D5" s="40">
        <f>IFERROR(C5/COUNTA('1. Datos Base'!D3:D134),"")</f>
        <v>0.80303030303030298</v>
      </c>
      <c r="E5" s="48">
        <f>COUNTIFS('1. Datos Base'!D3:D134,"Excelente",'1. Datos Base'!B3:B134,"Hombre")</f>
        <v>43</v>
      </c>
      <c r="F5" s="48">
        <f>COUNTIFS('1. Datos Base'!D3:D134,"Excelente",'1. Datos Base'!B3:B134,"Mujer")</f>
        <v>63</v>
      </c>
      <c r="G5" s="40">
        <f>IFERROR(F5/C5,"")</f>
        <v>0.59433962264150941</v>
      </c>
    </row>
    <row r="6" spans="2:7" ht="18" customHeight="1" x14ac:dyDescent="0.25">
      <c r="B6" s="55" t="s">
        <v>18</v>
      </c>
      <c r="C6" s="50">
        <f>COUNTIF('1. Datos Base'!D3:D134,"Buena")</f>
        <v>22</v>
      </c>
      <c r="D6" s="44">
        <f>IFERROR(C6/COUNTA('1. Datos Base'!D3:D134),"")</f>
        <v>0.16666666666666666</v>
      </c>
      <c r="E6" s="50">
        <f>COUNTIFS('1. Datos Base'!D3:D134,"Buena",'1. Datos Base'!B3:B134,"Hombre")</f>
        <v>10</v>
      </c>
      <c r="F6" s="50">
        <f>COUNTIFS('1. Datos Base'!D3:D134,"Buena",'1. Datos Base'!B3:B134,"Mujer")</f>
        <v>12</v>
      </c>
      <c r="G6" s="44">
        <f>IFERROR(F6/C6,"")</f>
        <v>0.54545454545454541</v>
      </c>
    </row>
    <row r="7" spans="2:7" ht="18" customHeight="1" x14ac:dyDescent="0.25">
      <c r="B7" s="56" t="s">
        <v>37</v>
      </c>
      <c r="C7" s="48">
        <f>COUNTIF('1. Datos Base'!D3:D134,"Regular")</f>
        <v>4</v>
      </c>
      <c r="D7" s="40">
        <f>IFERROR(C7/COUNTA('1. Datos Base'!D3:D134),"")</f>
        <v>3.0303030303030304E-2</v>
      </c>
      <c r="E7" s="48">
        <f>COUNTIFS('1. Datos Base'!D3:D134,"Regular",'1. Datos Base'!B3:B134,"Hombre")</f>
        <v>1</v>
      </c>
      <c r="F7" s="48">
        <f>COUNTIFS('1. Datos Base'!D3:D134,"Regular",'1. Datos Base'!B3:B134,"Mujer")</f>
        <v>3</v>
      </c>
      <c r="G7" s="40">
        <f>IFERROR(F7/C7,"")</f>
        <v>0.75</v>
      </c>
    </row>
    <row r="8" spans="2:7" ht="18" customHeight="1" x14ac:dyDescent="0.25">
      <c r="B8" s="57" t="s">
        <v>196</v>
      </c>
      <c r="C8" s="50">
        <f>COUNTIF('1. Datos Base'!D3:D134,"Deficiente")</f>
        <v>0</v>
      </c>
      <c r="D8" s="44">
        <f>IFERROR(C8/COUNTA('1. Datos Base'!D3:D134),"")</f>
        <v>0</v>
      </c>
      <c r="E8" s="50">
        <f>COUNTIFS('1. Datos Base'!D3:D134,"Deficiente",'1. Datos Base'!B3:B134,"Hombre")</f>
        <v>0</v>
      </c>
      <c r="F8" s="50">
        <f>COUNTIFS('1. Datos Base'!D3:D134,"Deficiente",'1. Datos Base'!B3:B134,"Mujer")</f>
        <v>0</v>
      </c>
      <c r="G8" s="44" t="str">
        <f>IFERROR(F8/C8,"")</f>
        <v/>
      </c>
    </row>
    <row r="10" spans="2:7" ht="19.5" customHeight="1" x14ac:dyDescent="0.25">
      <c r="B10" s="1" t="s">
        <v>197</v>
      </c>
      <c r="C10" s="1"/>
      <c r="D10" s="1"/>
      <c r="E10" s="1"/>
      <c r="F10" s="1"/>
      <c r="G10" s="1"/>
    </row>
    <row r="11" spans="2:7" ht="19.5" customHeight="1" x14ac:dyDescent="0.25">
      <c r="B11" s="53" t="s">
        <v>192</v>
      </c>
      <c r="C11" s="53" t="s">
        <v>193</v>
      </c>
      <c r="D11" s="53" t="s">
        <v>194</v>
      </c>
      <c r="E11" s="53" t="s">
        <v>186</v>
      </c>
      <c r="F11" s="53" t="s">
        <v>187</v>
      </c>
      <c r="G11" s="53" t="s">
        <v>195</v>
      </c>
    </row>
    <row r="12" spans="2:7" ht="18" customHeight="1" x14ac:dyDescent="0.25">
      <c r="B12" s="54" t="s">
        <v>15</v>
      </c>
      <c r="C12" s="48">
        <f>COUNTIF('1. Datos Base'!E3:E134,"Excelente")</f>
        <v>84</v>
      </c>
      <c r="D12" s="40">
        <f>IFERROR(C12/COUNTA('1. Datos Base'!E3:E134),"")</f>
        <v>0.63636363636363635</v>
      </c>
      <c r="E12" s="48">
        <f>COUNTIFS('1. Datos Base'!E3:E134,"Excelente",'1. Datos Base'!B3:B134,"Hombre")</f>
        <v>30</v>
      </c>
      <c r="F12" s="48">
        <f>COUNTIFS('1. Datos Base'!E3:E134,"Excelente",'1. Datos Base'!B3:B134,"Mujer")</f>
        <v>54</v>
      </c>
      <c r="G12" s="40">
        <f>IFERROR(F12/C12,"")</f>
        <v>0.6428571428571429</v>
      </c>
    </row>
    <row r="13" spans="2:7" ht="18" customHeight="1" x14ac:dyDescent="0.25">
      <c r="B13" s="55" t="s">
        <v>18</v>
      </c>
      <c r="C13" s="50">
        <f>COUNTIF('1. Datos Base'!E3:E134,"Buena")</f>
        <v>45</v>
      </c>
      <c r="D13" s="44">
        <f>IFERROR(C13/COUNTA('1. Datos Base'!E3:E134),"")</f>
        <v>0.34090909090909088</v>
      </c>
      <c r="E13" s="50">
        <f>COUNTIFS('1. Datos Base'!E3:E134,"Buena",'1. Datos Base'!B3:B134,"Hombre")</f>
        <v>22</v>
      </c>
      <c r="F13" s="50">
        <f>COUNTIFS('1. Datos Base'!E3:E134,"Buena",'1. Datos Base'!B3:B134,"Mujer")</f>
        <v>23</v>
      </c>
      <c r="G13" s="44">
        <f>IFERROR(F13/C13,"")</f>
        <v>0.51111111111111107</v>
      </c>
    </row>
    <row r="14" spans="2:7" ht="18" customHeight="1" x14ac:dyDescent="0.25">
      <c r="B14" s="56" t="s">
        <v>37</v>
      </c>
      <c r="C14" s="48">
        <f>COUNTIF('1. Datos Base'!E3:E134,"Regular")</f>
        <v>3</v>
      </c>
      <c r="D14" s="40">
        <f>IFERROR(C14/COUNTA('1. Datos Base'!E3:E134),"")</f>
        <v>2.2727272727272728E-2</v>
      </c>
      <c r="E14" s="48">
        <f>COUNTIFS('1. Datos Base'!E3:E134,"Regular",'1. Datos Base'!B3:B134,"Hombre")</f>
        <v>2</v>
      </c>
      <c r="F14" s="48">
        <f>COUNTIFS('1. Datos Base'!E3:E134,"Regular",'1. Datos Base'!B3:B134,"Mujer")</f>
        <v>1</v>
      </c>
      <c r="G14" s="40">
        <f>IFERROR(F14/C14,"")</f>
        <v>0.33333333333333331</v>
      </c>
    </row>
    <row r="15" spans="2:7" ht="18" customHeight="1" x14ac:dyDescent="0.25">
      <c r="B15" s="57" t="s">
        <v>196</v>
      </c>
      <c r="C15" s="50">
        <f>COUNTIF('1. Datos Base'!E3:E134,"Deficiente")</f>
        <v>0</v>
      </c>
      <c r="D15" s="44">
        <f>IFERROR(C15/COUNTA('1. Datos Base'!E3:E134),"")</f>
        <v>0</v>
      </c>
      <c r="E15" s="50">
        <f>COUNTIFS('1. Datos Base'!E3:E134,"Deficiente",'1. Datos Base'!B3:B134,"Hombre")</f>
        <v>0</v>
      </c>
      <c r="F15" s="50">
        <f>COUNTIFS('1. Datos Base'!E3:E134,"Deficiente",'1. Datos Base'!B3:B134,"Mujer")</f>
        <v>0</v>
      </c>
      <c r="G15" s="44" t="str">
        <f>IFERROR(F15/C15,"")</f>
        <v/>
      </c>
    </row>
    <row r="17" spans="2:7" ht="19.5" customHeight="1" x14ac:dyDescent="0.25">
      <c r="B17" s="1" t="s">
        <v>198</v>
      </c>
      <c r="C17" s="1"/>
      <c r="D17" s="1"/>
      <c r="E17" s="1"/>
      <c r="F17" s="1"/>
      <c r="G17" s="1"/>
    </row>
    <row r="18" spans="2:7" ht="19.5" customHeight="1" x14ac:dyDescent="0.25">
      <c r="B18" s="53" t="s">
        <v>192</v>
      </c>
      <c r="C18" s="53" t="s">
        <v>193</v>
      </c>
      <c r="D18" s="53" t="s">
        <v>194</v>
      </c>
      <c r="E18" s="53" t="s">
        <v>186</v>
      </c>
      <c r="F18" s="53" t="s">
        <v>187</v>
      </c>
      <c r="G18" s="53" t="s">
        <v>195</v>
      </c>
    </row>
    <row r="19" spans="2:7" ht="18" customHeight="1" x14ac:dyDescent="0.25">
      <c r="B19" s="54" t="s">
        <v>15</v>
      </c>
      <c r="C19" s="48">
        <f>COUNTIF('1. Datos Base'!F3:F134,"Excelente")</f>
        <v>71</v>
      </c>
      <c r="D19" s="40">
        <f>IFERROR(C19/COUNTA('1. Datos Base'!F3:F134),"")</f>
        <v>0.53787878787878785</v>
      </c>
      <c r="E19" s="48">
        <f>COUNTIFS('1. Datos Base'!F3:F134,"Excelente",'1. Datos Base'!B3:B134,"Hombre")</f>
        <v>29</v>
      </c>
      <c r="F19" s="48">
        <f>COUNTIFS('1. Datos Base'!F3:F134,"Excelente",'1. Datos Base'!B3:B134,"Mujer")</f>
        <v>42</v>
      </c>
      <c r="G19" s="40">
        <f>IFERROR(F19/C19,"")</f>
        <v>0.59154929577464788</v>
      </c>
    </row>
    <row r="20" spans="2:7" ht="18" customHeight="1" x14ac:dyDescent="0.25">
      <c r="B20" s="55" t="s">
        <v>18</v>
      </c>
      <c r="C20" s="50">
        <f>COUNTIF('1. Datos Base'!F3:F134,"Buena")</f>
        <v>56</v>
      </c>
      <c r="D20" s="44">
        <f>IFERROR(C20/COUNTA('1. Datos Base'!F3:F134),"")</f>
        <v>0.42424242424242425</v>
      </c>
      <c r="E20" s="50">
        <f>COUNTIFS('1. Datos Base'!F3:F134,"Buena",'1. Datos Base'!B3:B134,"Hombre")</f>
        <v>25</v>
      </c>
      <c r="F20" s="50">
        <f>COUNTIFS('1. Datos Base'!F3:F134,"Buena",'1. Datos Base'!B3:B134,"Mujer")</f>
        <v>31</v>
      </c>
      <c r="G20" s="44">
        <f>IFERROR(F20/C20,"")</f>
        <v>0.5535714285714286</v>
      </c>
    </row>
    <row r="21" spans="2:7" ht="18" customHeight="1" x14ac:dyDescent="0.25">
      <c r="B21" s="56" t="s">
        <v>37</v>
      </c>
      <c r="C21" s="48">
        <f>COUNTIF('1. Datos Base'!F3:F134,"Regular")</f>
        <v>5</v>
      </c>
      <c r="D21" s="40">
        <f>IFERROR(C21/COUNTA('1. Datos Base'!F3:F134),"")</f>
        <v>3.787878787878788E-2</v>
      </c>
      <c r="E21" s="48">
        <f>COUNTIFS('1. Datos Base'!F3:F134,"Regular",'1. Datos Base'!B3:B134,"Hombre")</f>
        <v>0</v>
      </c>
      <c r="F21" s="48">
        <f>COUNTIFS('1. Datos Base'!F3:F134,"Regular",'1. Datos Base'!B3:B134,"Mujer")</f>
        <v>5</v>
      </c>
      <c r="G21" s="40">
        <f>IFERROR(F21/C21,"")</f>
        <v>1</v>
      </c>
    </row>
    <row r="22" spans="2:7" ht="18" customHeight="1" x14ac:dyDescent="0.25">
      <c r="B22" s="57" t="s">
        <v>196</v>
      </c>
      <c r="C22" s="50">
        <f>COUNTIF('1. Datos Base'!F3:F134,"Deficiente")</f>
        <v>0</v>
      </c>
      <c r="D22" s="44">
        <f>IFERROR(C22/COUNTA('1. Datos Base'!F3:F134),"")</f>
        <v>0</v>
      </c>
      <c r="E22" s="50">
        <f>COUNTIFS('1. Datos Base'!F3:F134,"Deficiente",'1. Datos Base'!B3:B134,"Hombre")</f>
        <v>0</v>
      </c>
      <c r="F22" s="50">
        <f>COUNTIFS('1. Datos Base'!F3:F134,"Deficiente",'1. Datos Base'!B3:B134,"Mujer")</f>
        <v>0</v>
      </c>
      <c r="G22" s="44" t="str">
        <f>IFERROR(F22/C22,"")</f>
        <v/>
      </c>
    </row>
    <row r="24" spans="2:7" ht="24.75" customHeight="1" x14ac:dyDescent="0.25">
      <c r="B24" s="6"/>
      <c r="C24" s="6"/>
      <c r="D24" s="6"/>
      <c r="E24" s="6"/>
      <c r="F24" s="6"/>
      <c r="G24" s="6"/>
    </row>
    <row r="26" spans="2:7" ht="15" customHeight="1" x14ac:dyDescent="0.25">
      <c r="B26" s="58" t="s">
        <v>165</v>
      </c>
      <c r="C26" s="58" t="s">
        <v>15</v>
      </c>
      <c r="D26" s="58" t="s">
        <v>18</v>
      </c>
      <c r="E26" s="58" t="s">
        <v>37</v>
      </c>
      <c r="F26" s="58" t="s">
        <v>196</v>
      </c>
    </row>
    <row r="27" spans="2:7" ht="15" customHeight="1" x14ac:dyDescent="0.25">
      <c r="B27" s="8" t="s">
        <v>171</v>
      </c>
      <c r="C27" s="59">
        <f>COUNTIF('1. Datos Base'!D3:D134,"Excelente")</f>
        <v>106</v>
      </c>
      <c r="D27" s="59">
        <f>COUNTIF('1. Datos Base'!D3:D134,"Buena")</f>
        <v>22</v>
      </c>
      <c r="E27" s="59">
        <f>COUNTIF('1. Datos Base'!D3:D134,"Regular")</f>
        <v>4</v>
      </c>
      <c r="F27" s="59">
        <f>COUNTIF('1. Datos Base'!D3:D134,"Deficiente")</f>
        <v>0</v>
      </c>
    </row>
    <row r="28" spans="2:7" ht="15" customHeight="1" x14ac:dyDescent="0.25">
      <c r="B28" s="8" t="s">
        <v>5</v>
      </c>
      <c r="C28" s="59">
        <f>COUNTIF('1. Datos Base'!E3:E134,"Excelente")</f>
        <v>84</v>
      </c>
      <c r="D28" s="59">
        <f>COUNTIF('1. Datos Base'!E3:E134,"Buena")</f>
        <v>45</v>
      </c>
      <c r="E28" s="59">
        <f>COUNTIF('1. Datos Base'!E3:E134,"Regular")</f>
        <v>3</v>
      </c>
      <c r="F28" s="59">
        <f>COUNTIF('1. Datos Base'!E3:E134,"Deficiente")</f>
        <v>0</v>
      </c>
    </row>
    <row r="29" spans="2:7" ht="15" customHeight="1" x14ac:dyDescent="0.25">
      <c r="B29" s="8" t="s">
        <v>199</v>
      </c>
      <c r="C29" s="59">
        <f>COUNTIF('1. Datos Base'!F3:F134,"Excelente")</f>
        <v>71</v>
      </c>
      <c r="D29" s="59">
        <f>COUNTIF('1. Datos Base'!F3:F134,"Buena")</f>
        <v>56</v>
      </c>
      <c r="E29" s="59">
        <f>COUNTIF('1. Datos Base'!F3:F134,"Regular")</f>
        <v>5</v>
      </c>
      <c r="F29" s="59">
        <f>COUNTIF('1. Datos Base'!F3:F134,"Deficiente")</f>
        <v>0</v>
      </c>
    </row>
  </sheetData>
  <mergeCells count="5">
    <mergeCell ref="B1:G1"/>
    <mergeCell ref="B3:G3"/>
    <mergeCell ref="B10:G10"/>
    <mergeCell ref="B17:G17"/>
    <mergeCell ref="B24:G24"/>
  </mergeCells>
  <pageMargins left="0.75" right="0.75" top="1" bottom="1" header="0.511811023622047" footer="0.511811023622047"/>
  <pageSetup paperSize="9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"/>
  <sheetViews>
    <sheetView showGridLines="0" zoomScale="70" zoomScaleNormal="70" workbookViewId="0">
      <selection activeCell="W13" sqref="W13"/>
    </sheetView>
  </sheetViews>
  <sheetFormatPr baseColWidth="10" defaultColWidth="8.7109375" defaultRowHeight="15" x14ac:dyDescent="0.25"/>
  <cols>
    <col min="1" max="1" width="3" style="8" customWidth="1"/>
    <col min="2" max="2" width="32" style="8" customWidth="1"/>
    <col min="3" max="7" width="12" style="8" customWidth="1"/>
    <col min="8" max="8" width="15.140625" style="8" customWidth="1"/>
    <col min="9" max="9" width="15.7109375" style="8" customWidth="1"/>
  </cols>
  <sheetData>
    <row r="1" spans="2:9" ht="30" customHeight="1" x14ac:dyDescent="0.25">
      <c r="B1" s="7" t="s">
        <v>200</v>
      </c>
      <c r="C1" s="7"/>
      <c r="D1" s="7"/>
      <c r="E1" s="7"/>
      <c r="F1" s="7"/>
      <c r="G1" s="7"/>
      <c r="H1" s="7"/>
    </row>
    <row r="3" spans="2:9" ht="18" customHeight="1" x14ac:dyDescent="0.25">
      <c r="B3" s="3" t="s">
        <v>201</v>
      </c>
      <c r="C3" s="3"/>
      <c r="D3" s="3"/>
      <c r="E3" s="3"/>
      <c r="F3" s="3"/>
      <c r="G3" s="3"/>
      <c r="H3" s="3"/>
    </row>
    <row r="4" spans="2:9" ht="24.75" customHeight="1" x14ac:dyDescent="0.25">
      <c r="B4" s="53" t="s">
        <v>175</v>
      </c>
      <c r="C4" s="53" t="s">
        <v>202</v>
      </c>
      <c r="D4" s="53" t="s">
        <v>177</v>
      </c>
      <c r="E4" s="53" t="s">
        <v>178</v>
      </c>
      <c r="F4" s="53" t="s">
        <v>179</v>
      </c>
      <c r="G4" s="53" t="s">
        <v>203</v>
      </c>
      <c r="H4" s="53" t="s">
        <v>204</v>
      </c>
      <c r="I4" s="53" t="s">
        <v>205</v>
      </c>
    </row>
    <row r="5" spans="2:9" ht="21.75" customHeight="1" x14ac:dyDescent="0.25">
      <c r="B5" s="47" t="s">
        <v>25</v>
      </c>
      <c r="C5" s="48">
        <f>COUNTIF('1. Datos Base'!C3:C134,"Fortalecimiento Empresarial")</f>
        <v>30</v>
      </c>
      <c r="D5" s="39">
        <f>IFERROR(AVERAGEIF('1. Datos Base'!C3:C134,"Fortalecimiento Empresarial",'1. Datos Base'!G3:G134),"")</f>
        <v>2.9666666666666668</v>
      </c>
      <c r="E5" s="39">
        <f>IFERROR(AVERAGEIF('1. Datos Base'!C3:C134,"Fortalecimiento Empresarial",'1. Datos Base'!H3:H134),"")</f>
        <v>2.5666666666666669</v>
      </c>
      <c r="F5" s="39">
        <f>IFERROR(AVERAGEIF('1. Datos Base'!C3:C134,"Fortalecimiento Empresarial",'1. Datos Base'!I3:I134),"")</f>
        <v>2.7333333333333334</v>
      </c>
      <c r="G5" s="39">
        <f t="shared" ref="G5:G11" si="0">IFERROR(AVERAGE(D5:F5),"")</f>
        <v>2.7555555555555551</v>
      </c>
      <c r="H5" s="48">
        <f>COUNTIFS('1. Datos Base'!C3:C134,"Fortalecimiento Empresarial",'1. Datos Base'!K3:K134,"Si")</f>
        <v>30</v>
      </c>
      <c r="I5" s="40">
        <f t="shared" ref="I5:I11" si="1">IFERROR(H5/C5,"")</f>
        <v>1</v>
      </c>
    </row>
    <row r="6" spans="2:9" ht="21.75" customHeight="1" x14ac:dyDescent="0.25">
      <c r="B6" s="49" t="s">
        <v>90</v>
      </c>
      <c r="C6" s="50">
        <f>COUNTIF('1. Datos Base'!C3:C134,"IA – General")</f>
        <v>8</v>
      </c>
      <c r="D6" s="43">
        <f>IFERROR(AVERAGEIF('1. Datos Base'!C3:C134,"IA – General",'1. Datos Base'!G3:G134),"")</f>
        <v>3</v>
      </c>
      <c r="E6" s="43">
        <f>IFERROR(AVERAGEIF('1. Datos Base'!C3:C134,"IA – General",'1. Datos Base'!H3:H134),"")</f>
        <v>3</v>
      </c>
      <c r="F6" s="43">
        <f>IFERROR(AVERAGEIF('1. Datos Base'!C3:C134,"IA – General",'1. Datos Base'!I3:I134),"")</f>
        <v>2.625</v>
      </c>
      <c r="G6" s="43">
        <f t="shared" si="0"/>
        <v>2.875</v>
      </c>
      <c r="H6" s="50">
        <f>COUNTIFS('1. Datos Base'!C3:C134,"IA – General",'1. Datos Base'!K3:K134,"Si")</f>
        <v>8</v>
      </c>
      <c r="I6" s="44">
        <f t="shared" si="1"/>
        <v>1</v>
      </c>
    </row>
    <row r="7" spans="2:9" ht="21.75" customHeight="1" x14ac:dyDescent="0.25">
      <c r="B7" s="47" t="s">
        <v>75</v>
      </c>
      <c r="C7" s="48">
        <f>COUNTIF('1. Datos Base'!C3:C134,"IA – Herramientas y Principios")</f>
        <v>40</v>
      </c>
      <c r="D7" s="39">
        <f>IFERROR(AVERAGEIF('1. Datos Base'!C3:C134,"IA – Herramientas y Principios",'1. Datos Base'!G3:G134),"")</f>
        <v>2.4750000000000001</v>
      </c>
      <c r="E7" s="39">
        <f>IFERROR(AVERAGEIF('1. Datos Base'!C3:C134,"IA – Herramientas y Principios",'1. Datos Base'!H3:H134),"")</f>
        <v>2.5249999999999999</v>
      </c>
      <c r="F7" s="39">
        <f>IFERROR(AVERAGEIF('1. Datos Base'!C3:C134,"IA – Herramientas y Principios",'1. Datos Base'!I3:I134),"")</f>
        <v>2.2250000000000001</v>
      </c>
      <c r="G7" s="39">
        <f t="shared" si="0"/>
        <v>2.4083333333333332</v>
      </c>
      <c r="H7" s="48">
        <f>COUNTIFS('1. Datos Base'!C3:C134,"IA – Herramientas y Principios",'1. Datos Base'!K3:K134,"Si")</f>
        <v>36</v>
      </c>
      <c r="I7" s="40">
        <f t="shared" si="1"/>
        <v>0.9</v>
      </c>
    </row>
    <row r="8" spans="2:9" ht="21.75" customHeight="1" x14ac:dyDescent="0.25">
      <c r="B8" s="49" t="s">
        <v>81</v>
      </c>
      <c r="C8" s="50">
        <f>COUNTIF('1. Datos Base'!C3:C134,"IA – Organización y Datos")</f>
        <v>22</v>
      </c>
      <c r="D8" s="43">
        <f>IFERROR(AVERAGEIF('1. Datos Base'!C3:C134,"IA – Organización y Datos",'1. Datos Base'!G3:G134),"")</f>
        <v>2.8181818181818183</v>
      </c>
      <c r="E8" s="43">
        <f>IFERROR(AVERAGEIF('1. Datos Base'!C3:C134,"IA – Organización y Datos",'1. Datos Base'!H3:H134),"")</f>
        <v>2.6818181818181817</v>
      </c>
      <c r="F8" s="43">
        <f>IFERROR(AVERAGEIF('1. Datos Base'!C3:C134,"IA – Organización y Datos",'1. Datos Base'!I3:I134),"")</f>
        <v>2.5454545454545454</v>
      </c>
      <c r="G8" s="43">
        <f t="shared" si="0"/>
        <v>2.6818181818181817</v>
      </c>
      <c r="H8" s="50">
        <f>COUNTIFS('1. Datos Base'!C3:C134,"IA – Organización y Datos",'1. Datos Base'!K3:K134,"Si")</f>
        <v>21</v>
      </c>
      <c r="I8" s="44">
        <f t="shared" si="1"/>
        <v>0.95454545454545459</v>
      </c>
    </row>
    <row r="9" spans="2:9" ht="21.75" customHeight="1" x14ac:dyDescent="0.25">
      <c r="B9" s="47" t="s">
        <v>100</v>
      </c>
      <c r="C9" s="48">
        <f>COUNTIF('1. Datos Base'!C3:C134,"IA – Redacción de Documentos")</f>
        <v>6</v>
      </c>
      <c r="D9" s="39">
        <f>IFERROR(AVERAGEIF('1. Datos Base'!C3:C134,"IA – Redacción de Documentos",'1. Datos Base'!G3:G134),"")</f>
        <v>3</v>
      </c>
      <c r="E9" s="39">
        <f>IFERROR(AVERAGEIF('1. Datos Base'!C3:C134,"IA – Redacción de Documentos",'1. Datos Base'!H3:H134),"")</f>
        <v>2.6666666666666665</v>
      </c>
      <c r="F9" s="39">
        <f>IFERROR(AVERAGEIF('1. Datos Base'!C3:C134,"IA – Redacción de Documentos",'1. Datos Base'!I3:I134),"")</f>
        <v>2.6666666666666665</v>
      </c>
      <c r="G9" s="39">
        <f t="shared" si="0"/>
        <v>2.7777777777777772</v>
      </c>
      <c r="H9" s="48">
        <f>COUNTIFS('1. Datos Base'!C3:C134,"IA – Redacción de Documentos",'1. Datos Base'!K3:K134,"Si")</f>
        <v>6</v>
      </c>
      <c r="I9" s="40">
        <f t="shared" si="1"/>
        <v>1</v>
      </c>
    </row>
    <row r="10" spans="2:9" ht="21.75" customHeight="1" x14ac:dyDescent="0.25">
      <c r="B10" s="49" t="s">
        <v>14</v>
      </c>
      <c r="C10" s="50">
        <f>COUNTIF('1. Datos Base'!C3:C134,"Modelo de Negocio / Canvas")</f>
        <v>22</v>
      </c>
      <c r="D10" s="43">
        <f>IFERROR(AVERAGEIF('1. Datos Base'!C3:C134,"Modelo de Negocio / Canvas",'1. Datos Base'!G3:G134),"")</f>
        <v>2.8636363636363638</v>
      </c>
      <c r="E10" s="43">
        <f>IFERROR(AVERAGEIF('1. Datos Base'!C3:C134,"Modelo de Negocio / Canvas",'1. Datos Base'!H3:H134),"")</f>
        <v>2.6818181818181817</v>
      </c>
      <c r="F10" s="43">
        <f>IFERROR(AVERAGEIF('1. Datos Base'!C3:C134,"Modelo de Negocio / Canvas",'1. Datos Base'!I3:I134),"")</f>
        <v>2.5909090909090908</v>
      </c>
      <c r="G10" s="43">
        <f t="shared" si="0"/>
        <v>2.7121212121212124</v>
      </c>
      <c r="H10" s="50">
        <f>COUNTIFS('1. Datos Base'!C3:C134,"Modelo de Negocio / Canvas",'1. Datos Base'!K3:K134,"Si")</f>
        <v>21</v>
      </c>
      <c r="I10" s="44">
        <f t="shared" si="1"/>
        <v>0.95454545454545459</v>
      </c>
    </row>
    <row r="11" spans="2:9" ht="21.75" customHeight="1" x14ac:dyDescent="0.25">
      <c r="B11" s="47" t="s">
        <v>23</v>
      </c>
      <c r="C11" s="48">
        <f>COUNTIF('1. Datos Base'!C3:C134,"Otro")</f>
        <v>4</v>
      </c>
      <c r="D11" s="39">
        <f>IFERROR(AVERAGEIF('1. Datos Base'!C3:C134,"Otro",'1. Datos Base'!G3:G134),"")</f>
        <v>2.75</v>
      </c>
      <c r="E11" s="39">
        <f>IFERROR(AVERAGEIF('1. Datos Base'!C3:C134,"Otro",'1. Datos Base'!H3:H134),"")</f>
        <v>2.25</v>
      </c>
      <c r="F11" s="39">
        <f>IFERROR(AVERAGEIF('1. Datos Base'!C3:C134,"Otro",'1. Datos Base'!I3:I134),"")</f>
        <v>2.25</v>
      </c>
      <c r="G11" s="39">
        <f t="shared" si="0"/>
        <v>2.4166666666666665</v>
      </c>
      <c r="H11" s="48">
        <f>COUNTIFS('1. Datos Base'!C3:C134,"Otro",'1. Datos Base'!K3:K134,"Si")</f>
        <v>4</v>
      </c>
      <c r="I11" s="40">
        <f t="shared" si="1"/>
        <v>1</v>
      </c>
    </row>
    <row r="12" spans="2:9" ht="21.75" customHeight="1" x14ac:dyDescent="0.25">
      <c r="B12" s="60" t="s">
        <v>206</v>
      </c>
      <c r="C12" s="61">
        <f>COUNTA('1. Datos Base'!A3:A134)</f>
        <v>132</v>
      </c>
      <c r="D12" s="62"/>
      <c r="E12" s="62"/>
      <c r="F12" s="62"/>
      <c r="G12" s="62"/>
      <c r="H12" s="62"/>
      <c r="I12" s="62"/>
    </row>
    <row r="14" spans="2:9" ht="21.75" customHeight="1" x14ac:dyDescent="0.25">
      <c r="B14" s="6"/>
      <c r="C14" s="6"/>
      <c r="D14" s="6"/>
      <c r="E14" s="6"/>
      <c r="F14" s="6"/>
      <c r="G14" s="6"/>
      <c r="H14" s="6"/>
    </row>
  </sheetData>
  <mergeCells count="3">
    <mergeCell ref="B1:H1"/>
    <mergeCell ref="B3:H3"/>
    <mergeCell ref="B14:H14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90"/>
  <sheetViews>
    <sheetView topLeftCell="A81" zoomScaleNormal="100" workbookViewId="0">
      <selection activeCell="C90" sqref="C90"/>
    </sheetView>
  </sheetViews>
  <sheetFormatPr baseColWidth="10" defaultColWidth="8.7109375" defaultRowHeight="15" x14ac:dyDescent="0.25"/>
  <cols>
    <col min="1" max="1" width="3" style="8" customWidth="1"/>
    <col min="2" max="2" width="32" style="8" customWidth="1"/>
    <col min="3" max="3" width="14" style="8" customWidth="1"/>
    <col min="4" max="4" width="32" style="8" customWidth="1"/>
    <col min="5" max="5" width="55" style="8" customWidth="1"/>
  </cols>
  <sheetData>
    <row r="1" spans="2:5" ht="30" customHeight="1" x14ac:dyDescent="0.25">
      <c r="B1" s="7" t="s">
        <v>207</v>
      </c>
      <c r="C1" s="7"/>
      <c r="D1" s="7"/>
      <c r="E1" s="7"/>
    </row>
    <row r="2" spans="2:5" ht="19.5" customHeight="1" x14ac:dyDescent="0.25">
      <c r="B2" s="46" t="s">
        <v>1</v>
      </c>
      <c r="C2" s="46" t="s">
        <v>2</v>
      </c>
      <c r="D2" s="46" t="s">
        <v>3</v>
      </c>
      <c r="E2" s="46" t="s">
        <v>208</v>
      </c>
    </row>
    <row r="3" spans="2:5" ht="21.75" customHeight="1" x14ac:dyDescent="0.25">
      <c r="B3" s="10" t="s">
        <v>209</v>
      </c>
      <c r="C3" s="23" t="s">
        <v>20</v>
      </c>
      <c r="D3" s="10" t="s">
        <v>14</v>
      </c>
      <c r="E3" s="10" t="s">
        <v>210</v>
      </c>
    </row>
    <row r="4" spans="2:5" ht="21.75" customHeight="1" x14ac:dyDescent="0.25">
      <c r="B4" s="16" t="s">
        <v>211</v>
      </c>
      <c r="C4" s="19" t="s">
        <v>20</v>
      </c>
      <c r="D4" s="16" t="s">
        <v>23</v>
      </c>
      <c r="E4" s="16" t="s">
        <v>212</v>
      </c>
    </row>
    <row r="5" spans="2:5" ht="21.75" customHeight="1" x14ac:dyDescent="0.25">
      <c r="B5" s="10" t="s">
        <v>213</v>
      </c>
      <c r="C5" s="23" t="s">
        <v>20</v>
      </c>
      <c r="D5" s="10" t="s">
        <v>23</v>
      </c>
      <c r="E5" s="10" t="s">
        <v>214</v>
      </c>
    </row>
    <row r="6" spans="2:5" ht="21.75" customHeight="1" x14ac:dyDescent="0.25">
      <c r="B6" s="16" t="s">
        <v>215</v>
      </c>
      <c r="C6" s="19" t="s">
        <v>20</v>
      </c>
      <c r="D6" s="16" t="s">
        <v>25</v>
      </c>
      <c r="E6" s="16" t="s">
        <v>216</v>
      </c>
    </row>
    <row r="7" spans="2:5" ht="21.75" customHeight="1" x14ac:dyDescent="0.25">
      <c r="B7" s="10" t="s">
        <v>29</v>
      </c>
      <c r="C7" s="23" t="s">
        <v>20</v>
      </c>
      <c r="D7" s="10" t="s">
        <v>14</v>
      </c>
      <c r="E7" s="10" t="s">
        <v>217</v>
      </c>
    </row>
    <row r="8" spans="2:5" ht="21.75" customHeight="1" x14ac:dyDescent="0.25">
      <c r="B8" s="16" t="s">
        <v>218</v>
      </c>
      <c r="C8" s="19" t="s">
        <v>13</v>
      </c>
      <c r="D8" s="16" t="s">
        <v>14</v>
      </c>
      <c r="E8" s="16" t="s">
        <v>219</v>
      </c>
    </row>
    <row r="9" spans="2:5" ht="21.75" customHeight="1" x14ac:dyDescent="0.25">
      <c r="B9" s="10" t="s">
        <v>31</v>
      </c>
      <c r="C9" s="23" t="s">
        <v>13</v>
      </c>
      <c r="D9" s="10" t="s">
        <v>25</v>
      </c>
      <c r="E9" s="10" t="s">
        <v>220</v>
      </c>
    </row>
    <row r="10" spans="2:5" ht="21.75" customHeight="1" x14ac:dyDescent="0.25">
      <c r="B10" s="16" t="s">
        <v>221</v>
      </c>
      <c r="C10" s="19" t="s">
        <v>20</v>
      </c>
      <c r="D10" s="16" t="s">
        <v>25</v>
      </c>
      <c r="E10" s="16" t="s">
        <v>222</v>
      </c>
    </row>
    <row r="11" spans="2:5" ht="21.75" customHeight="1" x14ac:dyDescent="0.25">
      <c r="B11" s="10" t="s">
        <v>223</v>
      </c>
      <c r="C11" s="23" t="s">
        <v>20</v>
      </c>
      <c r="D11" s="10" t="s">
        <v>25</v>
      </c>
      <c r="E11" s="10" t="s">
        <v>224</v>
      </c>
    </row>
    <row r="12" spans="2:5" ht="21.75" customHeight="1" x14ac:dyDescent="0.25">
      <c r="B12" s="16" t="s">
        <v>35</v>
      </c>
      <c r="C12" s="19" t="s">
        <v>20</v>
      </c>
      <c r="D12" s="16" t="s">
        <v>14</v>
      </c>
      <c r="E12" s="16" t="s">
        <v>225</v>
      </c>
    </row>
    <row r="13" spans="2:5" ht="21.75" customHeight="1" x14ac:dyDescent="0.25">
      <c r="B13" s="10" t="s">
        <v>226</v>
      </c>
      <c r="C13" s="23" t="s">
        <v>20</v>
      </c>
      <c r="D13" s="10" t="s">
        <v>14</v>
      </c>
      <c r="E13" s="10" t="s">
        <v>227</v>
      </c>
    </row>
    <row r="14" spans="2:5" ht="21.75" customHeight="1" x14ac:dyDescent="0.25">
      <c r="B14" s="16" t="s">
        <v>39</v>
      </c>
      <c r="C14" s="19" t="s">
        <v>13</v>
      </c>
      <c r="D14" s="16" t="s">
        <v>25</v>
      </c>
      <c r="E14" s="16" t="s">
        <v>228</v>
      </c>
    </row>
    <row r="15" spans="2:5" ht="21.75" customHeight="1" x14ac:dyDescent="0.25">
      <c r="B15" s="10" t="s">
        <v>229</v>
      </c>
      <c r="C15" s="23" t="s">
        <v>20</v>
      </c>
      <c r="D15" s="10" t="s">
        <v>14</v>
      </c>
      <c r="E15" s="10" t="s">
        <v>230</v>
      </c>
    </row>
    <row r="16" spans="2:5" ht="21.75" customHeight="1" x14ac:dyDescent="0.25">
      <c r="B16" s="16" t="s">
        <v>46</v>
      </c>
      <c r="C16" s="19" t="s">
        <v>20</v>
      </c>
      <c r="D16" s="16" t="s">
        <v>25</v>
      </c>
      <c r="E16" s="16" t="s">
        <v>231</v>
      </c>
    </row>
    <row r="17" spans="2:5" ht="21.75" customHeight="1" x14ac:dyDescent="0.25">
      <c r="B17" s="10" t="s">
        <v>232</v>
      </c>
      <c r="C17" s="23" t="s">
        <v>20</v>
      </c>
      <c r="D17" s="10" t="s">
        <v>25</v>
      </c>
      <c r="E17" s="10" t="s">
        <v>219</v>
      </c>
    </row>
    <row r="18" spans="2:5" ht="21.75" customHeight="1" x14ac:dyDescent="0.25">
      <c r="B18" s="16" t="s">
        <v>233</v>
      </c>
      <c r="C18" s="19" t="s">
        <v>20</v>
      </c>
      <c r="D18" s="16" t="s">
        <v>25</v>
      </c>
      <c r="E18" s="16" t="s">
        <v>234</v>
      </c>
    </row>
    <row r="19" spans="2:5" ht="21.75" customHeight="1" x14ac:dyDescent="0.25">
      <c r="B19" s="10" t="s">
        <v>235</v>
      </c>
      <c r="C19" s="23" t="s">
        <v>20</v>
      </c>
      <c r="D19" s="10" t="s">
        <v>25</v>
      </c>
      <c r="E19" s="10" t="s">
        <v>236</v>
      </c>
    </row>
    <row r="20" spans="2:5" ht="21.75" customHeight="1" x14ac:dyDescent="0.25">
      <c r="B20" s="16" t="s">
        <v>237</v>
      </c>
      <c r="C20" s="19" t="s">
        <v>20</v>
      </c>
      <c r="D20" s="16" t="s">
        <v>14</v>
      </c>
      <c r="E20" s="16" t="s">
        <v>238</v>
      </c>
    </row>
    <row r="21" spans="2:5" ht="21.75" customHeight="1" x14ac:dyDescent="0.25">
      <c r="B21" s="10" t="s">
        <v>239</v>
      </c>
      <c r="C21" s="23" t="s">
        <v>20</v>
      </c>
      <c r="D21" s="10" t="s">
        <v>25</v>
      </c>
      <c r="E21" s="10" t="s">
        <v>240</v>
      </c>
    </row>
    <row r="22" spans="2:5" ht="21.75" customHeight="1" x14ac:dyDescent="0.25">
      <c r="B22" s="16" t="s">
        <v>241</v>
      </c>
      <c r="C22" s="19" t="s">
        <v>20</v>
      </c>
      <c r="D22" s="16" t="s">
        <v>14</v>
      </c>
      <c r="E22" s="16" t="s">
        <v>242</v>
      </c>
    </row>
    <row r="23" spans="2:5" ht="21.75" customHeight="1" x14ac:dyDescent="0.25">
      <c r="B23" s="10" t="s">
        <v>243</v>
      </c>
      <c r="C23" s="23" t="s">
        <v>13</v>
      </c>
      <c r="D23" s="10" t="s">
        <v>25</v>
      </c>
      <c r="E23" s="10" t="s">
        <v>244</v>
      </c>
    </row>
    <row r="24" spans="2:5" ht="21.75" customHeight="1" x14ac:dyDescent="0.25">
      <c r="B24" s="16" t="s">
        <v>245</v>
      </c>
      <c r="C24" s="19" t="s">
        <v>20</v>
      </c>
      <c r="D24" s="16" t="s">
        <v>14</v>
      </c>
      <c r="E24" s="16" t="s">
        <v>246</v>
      </c>
    </row>
    <row r="25" spans="2:5" ht="21.75" customHeight="1" x14ac:dyDescent="0.25">
      <c r="B25" s="10" t="s">
        <v>247</v>
      </c>
      <c r="C25" s="23" t="s">
        <v>13</v>
      </c>
      <c r="D25" s="10" t="s">
        <v>25</v>
      </c>
      <c r="E25" s="10" t="s">
        <v>248</v>
      </c>
    </row>
    <row r="26" spans="2:5" ht="21.75" customHeight="1" x14ac:dyDescent="0.25">
      <c r="B26" s="16" t="s">
        <v>61</v>
      </c>
      <c r="C26" s="19" t="s">
        <v>13</v>
      </c>
      <c r="D26" s="16" t="s">
        <v>25</v>
      </c>
      <c r="E26" s="16" t="s">
        <v>249</v>
      </c>
    </row>
    <row r="27" spans="2:5" ht="21.75" customHeight="1" x14ac:dyDescent="0.25">
      <c r="B27" s="10" t="s">
        <v>250</v>
      </c>
      <c r="C27" s="23" t="s">
        <v>13</v>
      </c>
      <c r="D27" s="10" t="s">
        <v>25</v>
      </c>
      <c r="E27" s="10" t="s">
        <v>251</v>
      </c>
    </row>
    <row r="28" spans="2:5" ht="21.75" customHeight="1" x14ac:dyDescent="0.25">
      <c r="B28" s="16" t="s">
        <v>252</v>
      </c>
      <c r="C28" s="19" t="s">
        <v>20</v>
      </c>
      <c r="D28" s="16" t="s">
        <v>14</v>
      </c>
      <c r="E28" s="16" t="s">
        <v>253</v>
      </c>
    </row>
    <row r="29" spans="2:5" ht="21.75" customHeight="1" x14ac:dyDescent="0.25">
      <c r="B29" s="10" t="s">
        <v>65</v>
      </c>
      <c r="C29" s="23" t="s">
        <v>13</v>
      </c>
      <c r="D29" s="10" t="s">
        <v>25</v>
      </c>
      <c r="E29" s="10" t="s">
        <v>254</v>
      </c>
    </row>
    <row r="30" spans="2:5" ht="21.75" customHeight="1" x14ac:dyDescent="0.25">
      <c r="B30" s="16" t="s">
        <v>66</v>
      </c>
      <c r="C30" s="19" t="s">
        <v>20</v>
      </c>
      <c r="D30" s="16" t="s">
        <v>14</v>
      </c>
      <c r="E30" s="16" t="s">
        <v>255</v>
      </c>
    </row>
    <row r="31" spans="2:5" ht="21.75" customHeight="1" x14ac:dyDescent="0.25">
      <c r="B31" s="10" t="s">
        <v>68</v>
      </c>
      <c r="C31" s="23" t="s">
        <v>13</v>
      </c>
      <c r="D31" s="10" t="s">
        <v>25</v>
      </c>
      <c r="E31" s="10" t="s">
        <v>256</v>
      </c>
    </row>
    <row r="32" spans="2:5" ht="21.75" customHeight="1" x14ac:dyDescent="0.25">
      <c r="B32" s="16" t="s">
        <v>257</v>
      </c>
      <c r="C32" s="19" t="s">
        <v>20</v>
      </c>
      <c r="D32" s="16" t="s">
        <v>23</v>
      </c>
      <c r="E32" s="16" t="s">
        <v>258</v>
      </c>
    </row>
    <row r="33" spans="2:5" ht="21.75" customHeight="1" x14ac:dyDescent="0.25">
      <c r="B33" s="10" t="s">
        <v>259</v>
      </c>
      <c r="C33" s="23" t="s">
        <v>20</v>
      </c>
      <c r="D33" s="10" t="s">
        <v>25</v>
      </c>
      <c r="E33" s="10" t="s">
        <v>260</v>
      </c>
    </row>
    <row r="34" spans="2:5" ht="21.75" customHeight="1" x14ac:dyDescent="0.25">
      <c r="B34" s="16" t="s">
        <v>74</v>
      </c>
      <c r="C34" s="19" t="s">
        <v>20</v>
      </c>
      <c r="D34" s="16" t="s">
        <v>75</v>
      </c>
      <c r="E34" s="16" t="s">
        <v>261</v>
      </c>
    </row>
    <row r="35" spans="2:5" ht="21.75" customHeight="1" x14ac:dyDescent="0.25">
      <c r="B35" s="10" t="s">
        <v>80</v>
      </c>
      <c r="C35" s="23" t="s">
        <v>13</v>
      </c>
      <c r="D35" s="10" t="s">
        <v>81</v>
      </c>
      <c r="E35" s="10" t="s">
        <v>262</v>
      </c>
    </row>
    <row r="36" spans="2:5" ht="21.75" customHeight="1" x14ac:dyDescent="0.25">
      <c r="B36" s="16" t="s">
        <v>82</v>
      </c>
      <c r="C36" s="19" t="s">
        <v>13</v>
      </c>
      <c r="D36" s="16" t="s">
        <v>81</v>
      </c>
      <c r="E36" s="16" t="s">
        <v>263</v>
      </c>
    </row>
    <row r="37" spans="2:5" ht="21.75" customHeight="1" x14ac:dyDescent="0.25">
      <c r="B37" s="10" t="s">
        <v>83</v>
      </c>
      <c r="C37" s="23" t="s">
        <v>13</v>
      </c>
      <c r="D37" s="10" t="s">
        <v>81</v>
      </c>
      <c r="E37" s="10" t="s">
        <v>264</v>
      </c>
    </row>
    <row r="38" spans="2:5" ht="21.75" customHeight="1" x14ac:dyDescent="0.25">
      <c r="B38" s="16" t="s">
        <v>84</v>
      </c>
      <c r="C38" s="19" t="s">
        <v>20</v>
      </c>
      <c r="D38" s="16" t="s">
        <v>81</v>
      </c>
      <c r="E38" s="16" t="s">
        <v>265</v>
      </c>
    </row>
    <row r="39" spans="2:5" ht="21.75" customHeight="1" x14ac:dyDescent="0.25">
      <c r="B39" s="10" t="s">
        <v>85</v>
      </c>
      <c r="C39" s="23" t="s">
        <v>13</v>
      </c>
      <c r="D39" s="10" t="s">
        <v>81</v>
      </c>
      <c r="E39" s="10" t="s">
        <v>266</v>
      </c>
    </row>
    <row r="40" spans="2:5" ht="21.75" customHeight="1" x14ac:dyDescent="0.25">
      <c r="B40" s="16" t="s">
        <v>87</v>
      </c>
      <c r="C40" s="19" t="s">
        <v>13</v>
      </c>
      <c r="D40" s="16" t="s">
        <v>81</v>
      </c>
      <c r="E40" s="16" t="s">
        <v>267</v>
      </c>
    </row>
    <row r="41" spans="2:5" ht="21.75" customHeight="1" x14ac:dyDescent="0.25">
      <c r="B41" s="10" t="s">
        <v>88</v>
      </c>
      <c r="C41" s="23" t="s">
        <v>13</v>
      </c>
      <c r="D41" s="10" t="s">
        <v>81</v>
      </c>
      <c r="E41" s="10" t="s">
        <v>268</v>
      </c>
    </row>
    <row r="42" spans="2:5" ht="21.75" customHeight="1" x14ac:dyDescent="0.25">
      <c r="B42" s="16" t="s">
        <v>91</v>
      </c>
      <c r="C42" s="19" t="s">
        <v>20</v>
      </c>
      <c r="D42" s="16" t="s">
        <v>90</v>
      </c>
      <c r="E42" s="16" t="s">
        <v>269</v>
      </c>
    </row>
    <row r="43" spans="2:5" ht="21.75" customHeight="1" x14ac:dyDescent="0.25">
      <c r="B43" s="10" t="s">
        <v>92</v>
      </c>
      <c r="C43" s="23" t="s">
        <v>20</v>
      </c>
      <c r="D43" s="10" t="s">
        <v>81</v>
      </c>
      <c r="E43" s="10" t="s">
        <v>270</v>
      </c>
    </row>
    <row r="44" spans="2:5" ht="21.75" customHeight="1" x14ac:dyDescent="0.25">
      <c r="B44" s="16" t="s">
        <v>93</v>
      </c>
      <c r="C44" s="19" t="s">
        <v>13</v>
      </c>
      <c r="D44" s="16" t="s">
        <v>81</v>
      </c>
      <c r="E44" s="16" t="s">
        <v>271</v>
      </c>
    </row>
    <row r="45" spans="2:5" ht="21.75" customHeight="1" x14ac:dyDescent="0.25">
      <c r="B45" s="10" t="s">
        <v>94</v>
      </c>
      <c r="C45" s="23" t="s">
        <v>13</v>
      </c>
      <c r="D45" s="10" t="s">
        <v>81</v>
      </c>
      <c r="E45" s="10" t="s">
        <v>272</v>
      </c>
    </row>
    <row r="46" spans="2:5" ht="21.75" customHeight="1" x14ac:dyDescent="0.25">
      <c r="B46" s="16" t="s">
        <v>95</v>
      </c>
      <c r="C46" s="19" t="s">
        <v>13</v>
      </c>
      <c r="D46" s="16" t="s">
        <v>81</v>
      </c>
      <c r="E46" s="16" t="s">
        <v>273</v>
      </c>
    </row>
    <row r="47" spans="2:5" ht="21.75" customHeight="1" x14ac:dyDescent="0.25">
      <c r="B47" s="10" t="s">
        <v>96</v>
      </c>
      <c r="C47" s="23" t="s">
        <v>13</v>
      </c>
      <c r="D47" s="10" t="s">
        <v>81</v>
      </c>
      <c r="E47" s="10" t="s">
        <v>274</v>
      </c>
    </row>
    <row r="48" spans="2:5" ht="21.75" customHeight="1" x14ac:dyDescent="0.25">
      <c r="B48" s="16" t="s">
        <v>101</v>
      </c>
      <c r="C48" s="19" t="s">
        <v>13</v>
      </c>
      <c r="D48" s="16" t="s">
        <v>100</v>
      </c>
      <c r="E48" s="16" t="s">
        <v>275</v>
      </c>
    </row>
    <row r="49" spans="2:5" ht="21.75" customHeight="1" x14ac:dyDescent="0.25">
      <c r="B49" s="10" t="s">
        <v>103</v>
      </c>
      <c r="C49" s="23" t="s">
        <v>13</v>
      </c>
      <c r="D49" s="10" t="s">
        <v>90</v>
      </c>
      <c r="E49" s="10" t="s">
        <v>276</v>
      </c>
    </row>
    <row r="50" spans="2:5" ht="21.75" customHeight="1" x14ac:dyDescent="0.25">
      <c r="B50" s="16" t="s">
        <v>110</v>
      </c>
      <c r="C50" s="19" t="s">
        <v>13</v>
      </c>
      <c r="D50" s="16" t="s">
        <v>81</v>
      </c>
      <c r="E50" s="16" t="s">
        <v>277</v>
      </c>
    </row>
    <row r="51" spans="2:5" ht="21.75" customHeight="1" x14ac:dyDescent="0.25">
      <c r="B51" s="10" t="s">
        <v>112</v>
      </c>
      <c r="C51" s="23" t="s">
        <v>20</v>
      </c>
      <c r="D51" s="10" t="s">
        <v>81</v>
      </c>
      <c r="E51" s="10" t="s">
        <v>278</v>
      </c>
    </row>
    <row r="52" spans="2:5" ht="21.75" customHeight="1" x14ac:dyDescent="0.25">
      <c r="B52" s="16" t="s">
        <v>114</v>
      </c>
      <c r="C52" s="19" t="s">
        <v>13</v>
      </c>
      <c r="D52" s="16" t="s">
        <v>81</v>
      </c>
      <c r="E52" s="16" t="s">
        <v>279</v>
      </c>
    </row>
    <row r="53" spans="2:5" ht="21.75" customHeight="1" x14ac:dyDescent="0.25">
      <c r="B53" s="10" t="s">
        <v>117</v>
      </c>
      <c r="C53" s="23" t="s">
        <v>13</v>
      </c>
      <c r="D53" s="10" t="s">
        <v>81</v>
      </c>
      <c r="E53" s="10" t="s">
        <v>280</v>
      </c>
    </row>
    <row r="54" spans="2:5" ht="21.75" customHeight="1" x14ac:dyDescent="0.25">
      <c r="B54" s="16" t="s">
        <v>118</v>
      </c>
      <c r="C54" s="19" t="s">
        <v>13</v>
      </c>
      <c r="D54" s="16" t="s">
        <v>81</v>
      </c>
      <c r="E54" s="16" t="s">
        <v>281</v>
      </c>
    </row>
    <row r="55" spans="2:5" ht="21.75" customHeight="1" x14ac:dyDescent="0.25">
      <c r="B55" s="10" t="s">
        <v>282</v>
      </c>
      <c r="C55" s="23" t="s">
        <v>20</v>
      </c>
      <c r="D55" s="10" t="s">
        <v>90</v>
      </c>
      <c r="E55" s="10" t="s">
        <v>283</v>
      </c>
    </row>
    <row r="56" spans="2:5" ht="21.75" customHeight="1" x14ac:dyDescent="0.25">
      <c r="B56" s="16" t="s">
        <v>121</v>
      </c>
      <c r="C56" s="19" t="s">
        <v>20</v>
      </c>
      <c r="D56" s="16" t="s">
        <v>75</v>
      </c>
      <c r="E56" s="16" t="s">
        <v>284</v>
      </c>
    </row>
    <row r="57" spans="2:5" ht="21.75" customHeight="1" x14ac:dyDescent="0.25">
      <c r="B57" s="10" t="s">
        <v>122</v>
      </c>
      <c r="C57" s="23" t="s">
        <v>20</v>
      </c>
      <c r="D57" s="10" t="s">
        <v>75</v>
      </c>
      <c r="E57" s="10" t="s">
        <v>272</v>
      </c>
    </row>
    <row r="58" spans="2:5" ht="21.75" customHeight="1" x14ac:dyDescent="0.25">
      <c r="B58" s="16" t="s">
        <v>123</v>
      </c>
      <c r="C58" s="19" t="s">
        <v>20</v>
      </c>
      <c r="D58" s="16" t="s">
        <v>75</v>
      </c>
      <c r="E58" s="16" t="s">
        <v>272</v>
      </c>
    </row>
    <row r="59" spans="2:5" ht="21.75" customHeight="1" x14ac:dyDescent="0.25">
      <c r="B59" s="10" t="s">
        <v>124</v>
      </c>
      <c r="C59" s="23" t="s">
        <v>20</v>
      </c>
      <c r="D59" s="10" t="s">
        <v>75</v>
      </c>
      <c r="E59" s="10" t="s">
        <v>285</v>
      </c>
    </row>
    <row r="60" spans="2:5" ht="21.75" customHeight="1" x14ac:dyDescent="0.25">
      <c r="B60" s="16" t="s">
        <v>125</v>
      </c>
      <c r="C60" s="19" t="s">
        <v>20</v>
      </c>
      <c r="D60" s="16" t="s">
        <v>75</v>
      </c>
      <c r="E60" s="16" t="s">
        <v>286</v>
      </c>
    </row>
    <row r="61" spans="2:5" ht="21.75" customHeight="1" x14ac:dyDescent="0.25">
      <c r="B61" s="10" t="s">
        <v>126</v>
      </c>
      <c r="C61" s="23" t="s">
        <v>13</v>
      </c>
      <c r="D61" s="10" t="s">
        <v>75</v>
      </c>
      <c r="E61" s="10" t="s">
        <v>287</v>
      </c>
    </row>
    <row r="62" spans="2:5" ht="21.75" customHeight="1" x14ac:dyDescent="0.25">
      <c r="B62" s="16" t="s">
        <v>127</v>
      </c>
      <c r="C62" s="19" t="s">
        <v>13</v>
      </c>
      <c r="D62" s="16" t="s">
        <v>75</v>
      </c>
      <c r="E62" s="16" t="s">
        <v>288</v>
      </c>
    </row>
    <row r="63" spans="2:5" ht="21.75" customHeight="1" x14ac:dyDescent="0.25">
      <c r="B63" s="10" t="s">
        <v>128</v>
      </c>
      <c r="C63" s="23" t="s">
        <v>13</v>
      </c>
      <c r="D63" s="10" t="s">
        <v>75</v>
      </c>
      <c r="E63" s="10" t="s">
        <v>289</v>
      </c>
    </row>
    <row r="64" spans="2:5" ht="21.75" customHeight="1" x14ac:dyDescent="0.25">
      <c r="B64" s="16" t="s">
        <v>129</v>
      </c>
      <c r="C64" s="19" t="s">
        <v>13</v>
      </c>
      <c r="D64" s="16" t="s">
        <v>75</v>
      </c>
      <c r="E64" s="16" t="s">
        <v>290</v>
      </c>
    </row>
    <row r="65" spans="2:5" ht="21.75" customHeight="1" x14ac:dyDescent="0.25">
      <c r="B65" s="10" t="s">
        <v>130</v>
      </c>
      <c r="C65" s="23" t="s">
        <v>20</v>
      </c>
      <c r="D65" s="10" t="s">
        <v>75</v>
      </c>
      <c r="E65" s="10" t="s">
        <v>291</v>
      </c>
    </row>
    <row r="66" spans="2:5" ht="21.75" customHeight="1" x14ac:dyDescent="0.25">
      <c r="B66" s="16" t="s">
        <v>131</v>
      </c>
      <c r="C66" s="19" t="s">
        <v>20</v>
      </c>
      <c r="D66" s="16" t="s">
        <v>75</v>
      </c>
      <c r="E66" s="16" t="s">
        <v>292</v>
      </c>
    </row>
    <row r="67" spans="2:5" ht="21.75" customHeight="1" x14ac:dyDescent="0.25">
      <c r="B67" s="10" t="s">
        <v>132</v>
      </c>
      <c r="C67" s="23" t="s">
        <v>13</v>
      </c>
      <c r="D67" s="10" t="s">
        <v>75</v>
      </c>
      <c r="E67" s="10" t="s">
        <v>293</v>
      </c>
    </row>
    <row r="68" spans="2:5" ht="21.75" customHeight="1" x14ac:dyDescent="0.25">
      <c r="B68" s="16" t="s">
        <v>133</v>
      </c>
      <c r="C68" s="19" t="s">
        <v>20</v>
      </c>
      <c r="D68" s="16" t="s">
        <v>75</v>
      </c>
      <c r="E68" s="16" t="s">
        <v>294</v>
      </c>
    </row>
    <row r="69" spans="2:5" ht="21.75" customHeight="1" x14ac:dyDescent="0.25">
      <c r="B69" s="10" t="s">
        <v>136</v>
      </c>
      <c r="C69" s="23" t="s">
        <v>20</v>
      </c>
      <c r="D69" s="10" t="s">
        <v>75</v>
      </c>
      <c r="E69" s="10" t="s">
        <v>295</v>
      </c>
    </row>
    <row r="70" spans="2:5" ht="21.75" customHeight="1" x14ac:dyDescent="0.25">
      <c r="B70" s="16" t="s">
        <v>137</v>
      </c>
      <c r="C70" s="19" t="s">
        <v>13</v>
      </c>
      <c r="D70" s="16" t="s">
        <v>75</v>
      </c>
      <c r="E70" s="16" t="s">
        <v>296</v>
      </c>
    </row>
    <row r="71" spans="2:5" ht="21.75" customHeight="1" x14ac:dyDescent="0.25">
      <c r="B71" s="10" t="s">
        <v>138</v>
      </c>
      <c r="C71" s="23" t="s">
        <v>13</v>
      </c>
      <c r="D71" s="10" t="s">
        <v>75</v>
      </c>
      <c r="E71" s="10" t="s">
        <v>297</v>
      </c>
    </row>
    <row r="72" spans="2:5" ht="21.75" customHeight="1" x14ac:dyDescent="0.25">
      <c r="B72" s="16" t="s">
        <v>140</v>
      </c>
      <c r="C72" s="19" t="s">
        <v>20</v>
      </c>
      <c r="D72" s="16" t="s">
        <v>75</v>
      </c>
      <c r="E72" s="16" t="s">
        <v>298</v>
      </c>
    </row>
    <row r="73" spans="2:5" ht="21.75" customHeight="1" x14ac:dyDescent="0.25">
      <c r="B73" s="10" t="s">
        <v>141</v>
      </c>
      <c r="C73" s="23" t="s">
        <v>20</v>
      </c>
      <c r="D73" s="10" t="s">
        <v>75</v>
      </c>
      <c r="E73" s="10" t="s">
        <v>299</v>
      </c>
    </row>
    <row r="74" spans="2:5" ht="21.75" customHeight="1" x14ac:dyDescent="0.25">
      <c r="B74" s="16" t="s">
        <v>145</v>
      </c>
      <c r="C74" s="19" t="s">
        <v>20</v>
      </c>
      <c r="D74" s="16" t="s">
        <v>75</v>
      </c>
      <c r="E74" s="16" t="s">
        <v>300</v>
      </c>
    </row>
    <row r="75" spans="2:5" ht="21.75" customHeight="1" x14ac:dyDescent="0.25">
      <c r="B75" s="10" t="s">
        <v>146</v>
      </c>
      <c r="C75" s="23" t="s">
        <v>20</v>
      </c>
      <c r="D75" s="10" t="s">
        <v>75</v>
      </c>
      <c r="E75" s="10" t="s">
        <v>301</v>
      </c>
    </row>
    <row r="76" spans="2:5" ht="21.75" customHeight="1" x14ac:dyDescent="0.25">
      <c r="B76" s="16" t="s">
        <v>147</v>
      </c>
      <c r="C76" s="19" t="s">
        <v>20</v>
      </c>
      <c r="D76" s="16" t="s">
        <v>75</v>
      </c>
      <c r="E76" s="16" t="s">
        <v>302</v>
      </c>
    </row>
    <row r="77" spans="2:5" ht="21.75" customHeight="1" x14ac:dyDescent="0.25">
      <c r="B77" s="10" t="s">
        <v>148</v>
      </c>
      <c r="C77" s="23" t="s">
        <v>13</v>
      </c>
      <c r="D77" s="10" t="s">
        <v>75</v>
      </c>
      <c r="E77" s="10" t="s">
        <v>303</v>
      </c>
    </row>
    <row r="78" spans="2:5" ht="21.75" customHeight="1" x14ac:dyDescent="0.25">
      <c r="B78" s="16" t="s">
        <v>151</v>
      </c>
      <c r="C78" s="19" t="s">
        <v>20</v>
      </c>
      <c r="D78" s="16" t="s">
        <v>75</v>
      </c>
      <c r="E78" s="16" t="s">
        <v>304</v>
      </c>
    </row>
    <row r="79" spans="2:5" ht="21.75" customHeight="1" x14ac:dyDescent="0.25">
      <c r="B79" s="10" t="s">
        <v>153</v>
      </c>
      <c r="C79" s="23" t="s">
        <v>13</v>
      </c>
      <c r="D79" s="10" t="s">
        <v>75</v>
      </c>
      <c r="E79" s="10" t="s">
        <v>305</v>
      </c>
    </row>
    <row r="80" spans="2:5" ht="21.75" customHeight="1" x14ac:dyDescent="0.25">
      <c r="B80" s="16" t="s">
        <v>155</v>
      </c>
      <c r="C80" s="19" t="s">
        <v>20</v>
      </c>
      <c r="D80" s="16" t="s">
        <v>75</v>
      </c>
      <c r="E80" s="16" t="s">
        <v>306</v>
      </c>
    </row>
    <row r="82" spans="2:5" ht="18" customHeight="1" x14ac:dyDescent="0.25">
      <c r="B82" s="2" t="s">
        <v>353</v>
      </c>
      <c r="C82" s="2"/>
      <c r="D82" s="2"/>
      <c r="E82" s="2"/>
    </row>
    <row r="83" spans="2:5" ht="19.5" customHeight="1" x14ac:dyDescent="0.25">
      <c r="B83" s="37" t="s">
        <v>307</v>
      </c>
      <c r="C83" s="37" t="s">
        <v>308</v>
      </c>
    </row>
    <row r="84" spans="2:5" ht="18" customHeight="1" x14ac:dyDescent="0.25">
      <c r="B84" s="38" t="s">
        <v>309</v>
      </c>
      <c r="C84" s="41">
        <v>8</v>
      </c>
    </row>
    <row r="85" spans="2:5" ht="18" customHeight="1" x14ac:dyDescent="0.25">
      <c r="B85" s="42" t="s">
        <v>310</v>
      </c>
      <c r="C85" s="45">
        <v>7</v>
      </c>
    </row>
    <row r="86" spans="2:5" ht="18" customHeight="1" x14ac:dyDescent="0.25">
      <c r="B86" s="38" t="s">
        <v>311</v>
      </c>
      <c r="C86" s="41">
        <v>12</v>
      </c>
    </row>
    <row r="87" spans="2:5" ht="18" customHeight="1" x14ac:dyDescent="0.25">
      <c r="B87" s="42" t="s">
        <v>312</v>
      </c>
      <c r="C87" s="45">
        <v>4</v>
      </c>
    </row>
    <row r="88" spans="2:5" ht="18" customHeight="1" x14ac:dyDescent="0.25">
      <c r="B88" s="38" t="s">
        <v>313</v>
      </c>
      <c r="C88" s="41">
        <v>3</v>
      </c>
    </row>
    <row r="89" spans="2:5" ht="18" customHeight="1" x14ac:dyDescent="0.25">
      <c r="B89" s="42" t="s">
        <v>314</v>
      </c>
      <c r="C89" s="45">
        <v>4</v>
      </c>
    </row>
    <row r="90" spans="2:5" ht="18" customHeight="1" x14ac:dyDescent="0.25">
      <c r="B90" s="38" t="s">
        <v>315</v>
      </c>
      <c r="C90" s="41">
        <v>6</v>
      </c>
    </row>
  </sheetData>
  <mergeCells count="2">
    <mergeCell ref="B1:E1"/>
    <mergeCell ref="B82:E82"/>
  </mergeCells>
  <pageMargins left="0.75" right="0.75" top="1" bottom="1" header="0.511811023622047" footer="0.511811023622047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6212D-AB70-4313-8B28-E2CC206B96AE}">
  <dimension ref="B1:C19"/>
  <sheetViews>
    <sheetView showGridLines="0" zoomScaleNormal="100" workbookViewId="0">
      <selection activeCell="C26" sqref="C26"/>
    </sheetView>
  </sheetViews>
  <sheetFormatPr baseColWidth="10" defaultColWidth="8.7109375" defaultRowHeight="15" x14ac:dyDescent="0.25"/>
  <cols>
    <col min="1" max="1" width="3" customWidth="1"/>
    <col min="2" max="2" width="22" customWidth="1"/>
    <col min="3" max="3" width="80" customWidth="1"/>
  </cols>
  <sheetData>
    <row r="1" spans="2:3" ht="30" customHeight="1" x14ac:dyDescent="0.25">
      <c r="B1" s="68" t="s">
        <v>354</v>
      </c>
      <c r="C1" s="68"/>
    </row>
    <row r="3" spans="2:3" ht="21.75" customHeight="1" x14ac:dyDescent="0.25">
      <c r="B3" s="69" t="s">
        <v>355</v>
      </c>
    </row>
    <row r="4" spans="2:3" ht="48" customHeight="1" x14ac:dyDescent="0.25">
      <c r="B4" s="70" t="s">
        <v>356</v>
      </c>
      <c r="C4" s="70"/>
    </row>
    <row r="6" spans="2:3" ht="21.75" customHeight="1" x14ac:dyDescent="0.25">
      <c r="B6" s="69" t="s">
        <v>357</v>
      </c>
    </row>
    <row r="7" spans="2:3" ht="50.25" customHeight="1" x14ac:dyDescent="0.25">
      <c r="B7" s="70" t="s">
        <v>364</v>
      </c>
      <c r="C7" s="70"/>
    </row>
    <row r="9" spans="2:3" ht="35.25" customHeight="1" x14ac:dyDescent="0.25">
      <c r="B9" s="69" t="s">
        <v>358</v>
      </c>
    </row>
    <row r="10" spans="2:3" ht="55.5" customHeight="1" x14ac:dyDescent="0.25">
      <c r="B10" s="70" t="s">
        <v>365</v>
      </c>
      <c r="C10" s="70"/>
    </row>
    <row r="12" spans="2:3" ht="21.75" customHeight="1" x14ac:dyDescent="0.25">
      <c r="B12" s="69" t="s">
        <v>359</v>
      </c>
    </row>
    <row r="13" spans="2:3" ht="198" customHeight="1" x14ac:dyDescent="0.25">
      <c r="B13" s="70" t="s">
        <v>366</v>
      </c>
      <c r="C13" s="70"/>
    </row>
    <row r="15" spans="2:3" ht="21.75" customHeight="1" x14ac:dyDescent="0.25">
      <c r="B15" s="69" t="s">
        <v>360</v>
      </c>
    </row>
    <row r="16" spans="2:3" ht="111.75" customHeight="1" x14ac:dyDescent="0.25">
      <c r="B16" s="70" t="s">
        <v>361</v>
      </c>
      <c r="C16" s="70"/>
    </row>
    <row r="18" spans="2:3" ht="21.75" customHeight="1" x14ac:dyDescent="0.25">
      <c r="B18" s="69" t="s">
        <v>362</v>
      </c>
    </row>
    <row r="19" spans="2:3" ht="90" customHeight="1" x14ac:dyDescent="0.25">
      <c r="B19" s="70" t="s">
        <v>363</v>
      </c>
      <c r="C19" s="70"/>
    </row>
  </sheetData>
  <mergeCells count="7">
    <mergeCell ref="B19:C19"/>
    <mergeCell ref="B1:C1"/>
    <mergeCell ref="B4:C4"/>
    <mergeCell ref="B7:C7"/>
    <mergeCell ref="B10:C10"/>
    <mergeCell ref="B13:C13"/>
    <mergeCell ref="B16:C16"/>
  </mergeCells>
  <pageMargins left="0.75" right="0.75" top="1" bottom="1" header="0.511811023622047" footer="0.511811023622047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3"/>
  <sheetViews>
    <sheetView zoomScaleNormal="100" workbookViewId="0"/>
  </sheetViews>
  <sheetFormatPr baseColWidth="10" defaultColWidth="8.7109375" defaultRowHeight="15" x14ac:dyDescent="0.25"/>
  <cols>
    <col min="1" max="1" width="3" style="8" customWidth="1"/>
    <col min="2" max="2" width="28" style="8" customWidth="1"/>
    <col min="3" max="3" width="50" style="8" customWidth="1"/>
    <col min="4" max="4" width="40" style="8" customWidth="1"/>
  </cols>
  <sheetData>
    <row r="1" spans="2:4" ht="30" customHeight="1" x14ac:dyDescent="0.25">
      <c r="B1" s="7" t="s">
        <v>316</v>
      </c>
      <c r="C1" s="7"/>
      <c r="D1" s="7"/>
    </row>
    <row r="2" spans="2:4" ht="21.75" customHeight="1" x14ac:dyDescent="0.25">
      <c r="B2" s="46" t="s">
        <v>317</v>
      </c>
      <c r="C2" s="46" t="s">
        <v>318</v>
      </c>
      <c r="D2" s="46" t="s">
        <v>319</v>
      </c>
    </row>
    <row r="3" spans="2:4" ht="39.75" customHeight="1" x14ac:dyDescent="0.25">
      <c r="B3" s="63" t="s">
        <v>320</v>
      </c>
      <c r="C3" s="64" t="s">
        <v>321</v>
      </c>
      <c r="D3" s="65" t="s">
        <v>322</v>
      </c>
    </row>
    <row r="4" spans="2:4" ht="39.75" customHeight="1" x14ac:dyDescent="0.25">
      <c r="B4" s="66" t="s">
        <v>323</v>
      </c>
      <c r="C4" s="64" t="s">
        <v>324</v>
      </c>
      <c r="D4" s="67" t="s">
        <v>325</v>
      </c>
    </row>
    <row r="5" spans="2:4" ht="39.75" customHeight="1" x14ac:dyDescent="0.25">
      <c r="B5" s="63" t="s">
        <v>326</v>
      </c>
      <c r="C5" s="64" t="s">
        <v>327</v>
      </c>
      <c r="D5" s="65" t="s">
        <v>328</v>
      </c>
    </row>
    <row r="6" spans="2:4" ht="39.75" customHeight="1" x14ac:dyDescent="0.25">
      <c r="B6" s="66" t="s">
        <v>329</v>
      </c>
      <c r="C6" s="64" t="s">
        <v>330</v>
      </c>
      <c r="D6" s="67" t="s">
        <v>331</v>
      </c>
    </row>
    <row r="7" spans="2:4" ht="39.75" customHeight="1" x14ac:dyDescent="0.25">
      <c r="B7" s="63" t="s">
        <v>332</v>
      </c>
      <c r="C7" s="64" t="s">
        <v>333</v>
      </c>
      <c r="D7" s="65" t="s">
        <v>334</v>
      </c>
    </row>
    <row r="8" spans="2:4" ht="39.75" customHeight="1" x14ac:dyDescent="0.25">
      <c r="B8" s="66" t="s">
        <v>335</v>
      </c>
      <c r="C8" s="64" t="s">
        <v>336</v>
      </c>
      <c r="D8" s="67" t="s">
        <v>337</v>
      </c>
    </row>
    <row r="9" spans="2:4" ht="39.75" customHeight="1" x14ac:dyDescent="0.25">
      <c r="B9" s="63" t="s">
        <v>338</v>
      </c>
      <c r="C9" s="64" t="s">
        <v>339</v>
      </c>
      <c r="D9" s="65" t="s">
        <v>340</v>
      </c>
    </row>
    <row r="10" spans="2:4" ht="39.75" customHeight="1" x14ac:dyDescent="0.25">
      <c r="B10" s="66" t="s">
        <v>341</v>
      </c>
      <c r="C10" s="64" t="s">
        <v>342</v>
      </c>
      <c r="D10" s="67" t="s">
        <v>343</v>
      </c>
    </row>
    <row r="11" spans="2:4" ht="39.75" customHeight="1" x14ac:dyDescent="0.25">
      <c r="B11" s="63" t="s">
        <v>344</v>
      </c>
      <c r="C11" s="64" t="s">
        <v>345</v>
      </c>
      <c r="D11" s="65" t="s">
        <v>346</v>
      </c>
    </row>
    <row r="12" spans="2:4" ht="39.75" customHeight="1" x14ac:dyDescent="0.25">
      <c r="B12" s="66" t="s">
        <v>347</v>
      </c>
      <c r="C12" s="64" t="s">
        <v>348</v>
      </c>
      <c r="D12" s="67" t="s">
        <v>349</v>
      </c>
    </row>
    <row r="13" spans="2:4" ht="39.75" customHeight="1" x14ac:dyDescent="0.25">
      <c r="B13" s="63" t="s">
        <v>350</v>
      </c>
      <c r="C13" s="64" t="s">
        <v>351</v>
      </c>
      <c r="D13" s="65" t="s">
        <v>352</v>
      </c>
    </row>
  </sheetData>
  <mergeCells count="1">
    <mergeCell ref="B1:D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1. Datos Base</vt:lpstr>
      <vt:lpstr>2. Resumen Ejecutivo</vt:lpstr>
      <vt:lpstr>3. Análisis por Género</vt:lpstr>
      <vt:lpstr>4. Distribución Calificaciones</vt:lpstr>
      <vt:lpstr>5. Análisis por Tema</vt:lpstr>
      <vt:lpstr>6. Temas Sugeridos</vt:lpstr>
      <vt:lpstr>7. Análisis Narrativo</vt:lpstr>
      <vt:lpstr>7. Guía de Fórmulas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WINDOWS 10</cp:lastModifiedBy>
  <cp:revision>3</cp:revision>
  <dcterms:created xsi:type="dcterms:W3CDTF">2026-05-25T19:51:00Z</dcterms:created>
  <dcterms:modified xsi:type="dcterms:W3CDTF">2026-05-25T20:21:31Z</dcterms:modified>
  <dc:language>en-US</dc:language>
</cp:coreProperties>
</file>