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WINDOWS 10\Documents\Alcaldia\2026\"/>
    </mc:Choice>
  </mc:AlternateContent>
  <xr:revisionPtr revIDLastSave="0" documentId="13_ncr:1_{7A829C79-C7E5-45F5-BD7F-B8B723C963D3}" xr6:coauthVersionLast="47" xr6:coauthVersionMax="47" xr10:uidLastSave="{00000000-0000-0000-0000-000000000000}"/>
  <bookViews>
    <workbookView xWindow="-120" yWindow="-120" windowWidth="20730" windowHeight="11040" tabRatio="500" firstSheet="3" activeTab="5" xr2:uid="{00000000-000D-0000-FFFF-FFFF00000000}"/>
  </bookViews>
  <sheets>
    <sheet name="Datos_Encuesta" sheetId="1" r:id="rId1"/>
    <sheet name="Análisis_Dimensiones" sheetId="2" r:id="rId2"/>
    <sheet name="Análisis_Por_Feria" sheetId="3" r:id="rId3"/>
    <sheet name="Fidelización_Retorno" sheetId="4" r:id="rId4"/>
    <sheet name="Gráficos" sheetId="5" r:id="rId5"/>
    <sheet name="Dashboard_Ejecutivo" sheetId="6" r:id="rId6"/>
    <sheet name="Informe_Narrativo"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4" i="6" l="1"/>
  <c r="A4" i="6"/>
  <c r="T60" i="5"/>
  <c r="S60" i="5"/>
  <c r="T59" i="5"/>
  <c r="S59" i="5"/>
  <c r="T58" i="5"/>
  <c r="S58" i="5"/>
  <c r="T57" i="5"/>
  <c r="S57" i="5"/>
  <c r="T56" i="5"/>
  <c r="S56" i="5"/>
  <c r="T55" i="5"/>
  <c r="S55" i="5"/>
  <c r="T54" i="5"/>
  <c r="S54" i="5"/>
  <c r="T50" i="5"/>
  <c r="S50" i="5"/>
  <c r="T49" i="5"/>
  <c r="S49" i="5"/>
  <c r="S41" i="5"/>
  <c r="S40" i="5"/>
  <c r="S39" i="5"/>
  <c r="S38" i="5"/>
  <c r="S35" i="5"/>
  <c r="S34" i="5"/>
  <c r="S23" i="5"/>
  <c r="S22" i="5"/>
  <c r="S20" i="5"/>
  <c r="S19" i="5"/>
  <c r="S18" i="5"/>
  <c r="S15" i="5"/>
  <c r="S14" i="5"/>
  <c r="S11" i="5"/>
  <c r="S10" i="5"/>
  <c r="S9" i="5"/>
  <c r="S8" i="5"/>
  <c r="S7" i="5"/>
  <c r="S6" i="5"/>
  <c r="S5" i="5"/>
  <c r="S4" i="5"/>
  <c r="S3" i="5"/>
  <c r="D28" i="4"/>
  <c r="C28" i="4"/>
  <c r="B28" i="4"/>
  <c r="D27" i="4"/>
  <c r="C27" i="4"/>
  <c r="B27" i="4"/>
  <c r="D26" i="4"/>
  <c r="C26" i="4"/>
  <c r="B26" i="4"/>
  <c r="D25" i="4"/>
  <c r="C25" i="4"/>
  <c r="B25" i="4"/>
  <c r="B9" i="4"/>
  <c r="C9" i="4" s="1"/>
  <c r="B8" i="4"/>
  <c r="C8" i="4" s="1"/>
  <c r="B7" i="4"/>
  <c r="C7" i="4" s="1"/>
  <c r="B6" i="4"/>
  <c r="C6" i="4" s="1"/>
  <c r="B5" i="4"/>
  <c r="C5" i="4" s="1"/>
  <c r="K8" i="3"/>
  <c r="J8" i="3"/>
  <c r="I8" i="3"/>
  <c r="H8" i="3"/>
  <c r="G8" i="3"/>
  <c r="F8" i="3"/>
  <c r="E8" i="3"/>
  <c r="D8" i="3"/>
  <c r="C8" i="3"/>
  <c r="B8" i="3"/>
  <c r="B13" i="6" s="1"/>
  <c r="K7" i="3"/>
  <c r="J7" i="3"/>
  <c r="I7" i="3"/>
  <c r="H7" i="3"/>
  <c r="G7" i="3"/>
  <c r="F7" i="3"/>
  <c r="E7" i="3"/>
  <c r="D7" i="3"/>
  <c r="C7" i="3"/>
  <c r="B7" i="3"/>
  <c r="B12" i="6" s="1"/>
  <c r="K6" i="3"/>
  <c r="J6" i="3"/>
  <c r="I6" i="3"/>
  <c r="H6" i="3"/>
  <c r="G6" i="3"/>
  <c r="F6" i="3"/>
  <c r="E6" i="3"/>
  <c r="D6" i="3"/>
  <c r="C6" i="3"/>
  <c r="B6" i="3"/>
  <c r="B11" i="6" s="1"/>
  <c r="K5" i="3"/>
  <c r="J5" i="3"/>
  <c r="I5" i="3"/>
  <c r="H5" i="3"/>
  <c r="G5" i="3"/>
  <c r="F5" i="3"/>
  <c r="E5" i="3"/>
  <c r="D5" i="3"/>
  <c r="C5" i="3"/>
  <c r="B5" i="3"/>
  <c r="B10" i="6" s="1"/>
  <c r="K23" i="2"/>
  <c r="J23" i="2"/>
  <c r="I23" i="2"/>
  <c r="H23" i="2"/>
  <c r="G23" i="2"/>
  <c r="F23" i="2"/>
  <c r="E23" i="2"/>
  <c r="D23" i="2"/>
  <c r="C23" i="2"/>
  <c r="K22" i="2"/>
  <c r="J22" i="2"/>
  <c r="I22" i="2"/>
  <c r="H22" i="2"/>
  <c r="G22" i="2"/>
  <c r="F22" i="2"/>
  <c r="E22" i="2"/>
  <c r="D22" i="2"/>
  <c r="C22" i="2"/>
  <c r="K21" i="2"/>
  <c r="J21" i="2"/>
  <c r="I21" i="2"/>
  <c r="H21" i="2"/>
  <c r="G21" i="2"/>
  <c r="F21" i="2"/>
  <c r="E21" i="2"/>
  <c r="D21" i="2"/>
  <c r="C21" i="2"/>
  <c r="K20" i="2"/>
  <c r="J20" i="2"/>
  <c r="I20" i="2"/>
  <c r="H20" i="2"/>
  <c r="G20" i="2"/>
  <c r="F20" i="2"/>
  <c r="E20" i="2"/>
  <c r="D20" i="2"/>
  <c r="C20" i="2"/>
  <c r="K19" i="2"/>
  <c r="J19" i="2"/>
  <c r="I19" i="2"/>
  <c r="H19" i="2"/>
  <c r="G19" i="2"/>
  <c r="F19" i="2"/>
  <c r="E19" i="2"/>
  <c r="D19" i="2"/>
  <c r="C19" i="2"/>
  <c r="C14" i="2"/>
  <c r="K13" i="2"/>
  <c r="F26" i="6" s="1"/>
  <c r="J13" i="2"/>
  <c r="E26" i="6" s="1"/>
  <c r="I13" i="2"/>
  <c r="D26" i="6" s="1"/>
  <c r="H13" i="2"/>
  <c r="G13" i="2"/>
  <c r="F13" i="2"/>
  <c r="E13" i="2"/>
  <c r="D13" i="2"/>
  <c r="C26" i="6" s="1"/>
  <c r="G26" i="6" s="1"/>
  <c r="C13" i="2"/>
  <c r="K12" i="2"/>
  <c r="F25" i="6" s="1"/>
  <c r="J12" i="2"/>
  <c r="E25" i="6" s="1"/>
  <c r="I12" i="2"/>
  <c r="D25" i="6" s="1"/>
  <c r="H12" i="2"/>
  <c r="G12" i="2"/>
  <c r="F12" i="2"/>
  <c r="E12" i="2"/>
  <c r="D12" i="2"/>
  <c r="C25" i="6" s="1"/>
  <c r="G25" i="6" s="1"/>
  <c r="C12" i="2"/>
  <c r="K11" i="2"/>
  <c r="F24" i="6" s="1"/>
  <c r="J11" i="2"/>
  <c r="E24" i="6" s="1"/>
  <c r="I11" i="2"/>
  <c r="D24" i="6" s="1"/>
  <c r="H11" i="2"/>
  <c r="G11" i="2"/>
  <c r="F11" i="2"/>
  <c r="E11" i="2"/>
  <c r="D11" i="2"/>
  <c r="C24" i="6" s="1"/>
  <c r="G24" i="6" s="1"/>
  <c r="C11" i="2"/>
  <c r="K10" i="2"/>
  <c r="F23" i="6" s="1"/>
  <c r="J10" i="2"/>
  <c r="E23" i="6" s="1"/>
  <c r="I10" i="2"/>
  <c r="D23" i="6" s="1"/>
  <c r="H10" i="2"/>
  <c r="G10" i="2"/>
  <c r="F10" i="2"/>
  <c r="E10" i="2"/>
  <c r="D10" i="2"/>
  <c r="C23" i="6" s="1"/>
  <c r="G23" i="6" s="1"/>
  <c r="C10" i="2"/>
  <c r="K9" i="2"/>
  <c r="F22" i="6" s="1"/>
  <c r="J9" i="2"/>
  <c r="E22" i="6" s="1"/>
  <c r="I9" i="2"/>
  <c r="D22" i="6" s="1"/>
  <c r="H9" i="2"/>
  <c r="G9" i="2"/>
  <c r="F9" i="2"/>
  <c r="E9" i="2"/>
  <c r="D9" i="2"/>
  <c r="C22" i="6" s="1"/>
  <c r="G22" i="6" s="1"/>
  <c r="C9" i="2"/>
  <c r="K8" i="2"/>
  <c r="F21" i="6" s="1"/>
  <c r="J8" i="2"/>
  <c r="E21" i="6" s="1"/>
  <c r="I8" i="2"/>
  <c r="D21" i="6" s="1"/>
  <c r="H8" i="2"/>
  <c r="G8" i="2"/>
  <c r="F8" i="2"/>
  <c r="E8" i="2"/>
  <c r="D8" i="2"/>
  <c r="C21" i="6" s="1"/>
  <c r="G21" i="6" s="1"/>
  <c r="C8" i="2"/>
  <c r="K7" i="2"/>
  <c r="F20" i="6" s="1"/>
  <c r="J7" i="2"/>
  <c r="E20" i="6" s="1"/>
  <c r="I7" i="2"/>
  <c r="D20" i="6" s="1"/>
  <c r="H7" i="2"/>
  <c r="G7" i="2"/>
  <c r="F7" i="2"/>
  <c r="E7" i="2"/>
  <c r="D7" i="2"/>
  <c r="C20" i="6" s="1"/>
  <c r="G20" i="6" s="1"/>
  <c r="C7" i="2"/>
  <c r="K6" i="2"/>
  <c r="F19" i="6" s="1"/>
  <c r="J6" i="2"/>
  <c r="E19" i="6" s="1"/>
  <c r="I6" i="2"/>
  <c r="D19" i="6" s="1"/>
  <c r="H6" i="2"/>
  <c r="G6" i="2"/>
  <c r="F6" i="2"/>
  <c r="E6" i="2"/>
  <c r="D6" i="2"/>
  <c r="D14" i="2" s="1"/>
  <c r="D4" i="6" s="1"/>
  <c r="C6" i="2"/>
  <c r="K5" i="2"/>
  <c r="J5" i="2"/>
  <c r="E18" i="6" s="1"/>
  <c r="I5" i="2"/>
  <c r="D18" i="6" s="1"/>
  <c r="H5" i="2"/>
  <c r="G5" i="2"/>
  <c r="F5" i="2"/>
  <c r="E5" i="2"/>
  <c r="D5" i="2"/>
  <c r="C18" i="6" s="1"/>
  <c r="G18" i="6" s="1"/>
  <c r="C5" i="2"/>
  <c r="B17" i="3" l="1"/>
  <c r="B14" i="3"/>
  <c r="B20" i="3"/>
  <c r="E26" i="4"/>
  <c r="F26" i="4" s="1"/>
  <c r="E24" i="2"/>
  <c r="K24" i="2"/>
  <c r="E27" i="4"/>
  <c r="E12" i="6" s="1"/>
  <c r="D19" i="3"/>
  <c r="G24" i="2"/>
  <c r="D24" i="2"/>
  <c r="J24" i="2"/>
  <c r="L6" i="3"/>
  <c r="C11" i="6" s="1"/>
  <c r="B18" i="3"/>
  <c r="I14" i="2"/>
  <c r="G4" i="6" s="1"/>
  <c r="E28" i="4"/>
  <c r="J14" i="2"/>
  <c r="D15" i="3"/>
  <c r="D21" i="3"/>
  <c r="C19" i="3"/>
  <c r="E25" i="4"/>
  <c r="E10" i="6" s="1"/>
  <c r="E16" i="3"/>
  <c r="E22" i="3"/>
  <c r="L8" i="3"/>
  <c r="M8" i="3" s="1"/>
  <c r="D13" i="6" s="1"/>
  <c r="E14" i="3"/>
  <c r="E20" i="3"/>
  <c r="K14" i="2"/>
  <c r="D18" i="3"/>
  <c r="L7" i="3"/>
  <c r="C12" i="6" s="1"/>
  <c r="B15" i="3"/>
  <c r="B21" i="3"/>
  <c r="C19" i="6"/>
  <c r="G19" i="6" s="1"/>
  <c r="H24" i="2"/>
  <c r="F24" i="2"/>
  <c r="C24" i="2"/>
  <c r="I24" i="2"/>
  <c r="H9" i="3"/>
  <c r="E17" i="3"/>
  <c r="F25" i="4"/>
  <c r="E13" i="6"/>
  <c r="F28" i="4"/>
  <c r="E9" i="3"/>
  <c r="K9" i="3"/>
  <c r="C16" i="3"/>
  <c r="C22" i="3"/>
  <c r="L5" i="3"/>
  <c r="C9" i="3"/>
  <c r="I9" i="3"/>
  <c r="C14" i="3"/>
  <c r="E15" i="3"/>
  <c r="C17" i="3"/>
  <c r="E18" i="3"/>
  <c r="C20" i="3"/>
  <c r="E21" i="3"/>
  <c r="F18" i="6"/>
  <c r="F9" i="3"/>
  <c r="D16" i="3"/>
  <c r="D22" i="3"/>
  <c r="D9" i="3"/>
  <c r="J9" i="3"/>
  <c r="D14" i="3"/>
  <c r="B16" i="3"/>
  <c r="D17" i="3"/>
  <c r="B19" i="3"/>
  <c r="D20" i="3"/>
  <c r="B22" i="3"/>
  <c r="B10" i="4"/>
  <c r="G9" i="3"/>
  <c r="C15" i="3"/>
  <c r="C18" i="3"/>
  <c r="E19" i="3"/>
  <c r="C21" i="3"/>
  <c r="B9" i="3"/>
  <c r="E11" i="6" l="1"/>
  <c r="M6" i="3"/>
  <c r="D11" i="6" s="1"/>
  <c r="C13" i="6"/>
  <c r="F27" i="4"/>
  <c r="M7" i="3"/>
  <c r="D12" i="6" s="1"/>
  <c r="B23" i="3"/>
  <c r="M5" i="3"/>
  <c r="D10" i="6" s="1"/>
  <c r="D23" i="3"/>
  <c r="L9" i="3"/>
  <c r="M9" i="3" s="1"/>
  <c r="C10" i="6"/>
  <c r="C23" i="3"/>
  <c r="E23" i="3"/>
  <c r="C19" i="4"/>
  <c r="D19" i="4" s="1"/>
  <c r="C16" i="4"/>
  <c r="D16" i="4" s="1"/>
  <c r="C18" i="4"/>
  <c r="D18" i="4" s="1"/>
  <c r="C17" i="4"/>
  <c r="D17" i="4" s="1"/>
  <c r="C15" i="4"/>
  <c r="D15" i="4" s="1"/>
  <c r="C10" i="4"/>
</calcChain>
</file>

<file path=xl/sharedStrings.xml><?xml version="1.0" encoding="utf-8"?>
<sst xmlns="http://schemas.openxmlformats.org/spreadsheetml/2006/main" count="875" uniqueCount="466">
  <si>
    <t>ENCUESTA DE SATISFACCIÓN – PARTICIPACIÓN EN FERIAS 2026</t>
  </si>
  <si>
    <t>Base de datos de respuestas reales – Secretaría de Desarrollo Económico, Barranquilla 2026</t>
  </si>
  <si>
    <t>N°</t>
  </si>
  <si>
    <t>Fecha Registro</t>
  </si>
  <si>
    <t>Nombre Completo</t>
  </si>
  <si>
    <t>Tipo Doc.</t>
  </si>
  <si>
    <t>Número Doc.</t>
  </si>
  <si>
    <t>Teléfono</t>
  </si>
  <si>
    <t>Nombre de la Feria</t>
  </si>
  <si>
    <t>Fecha Inicio</t>
  </si>
  <si>
    <t>Sector</t>
  </si>
  <si>
    <t>Acompañamiento
Organizadores</t>
  </si>
  <si>
    <t>Organización
del Evento</t>
  </si>
  <si>
    <t>Logística
Espacio/Montaje</t>
  </si>
  <si>
    <t>Gestión
Público</t>
  </si>
  <si>
    <t>Promoción y
Publicidad</t>
  </si>
  <si>
    <t>Resultados
en Ventas</t>
  </si>
  <si>
    <t>Nuevos Clientes
/Contactos</t>
  </si>
  <si>
    <t>Visibilidad
de Marca</t>
  </si>
  <si>
    <t>Resultados
Generales</t>
  </si>
  <si>
    <t>Beneficios Obtenidos</t>
  </si>
  <si>
    <t>¿Participaría
Nuevamente?</t>
  </si>
  <si>
    <t>Sugerencias</t>
  </si>
  <si>
    <t>Grupo Feria
(Auxiliar)</t>
  </si>
  <si>
    <t>Género</t>
  </si>
  <si>
    <t>2026-03-10 09:22:26</t>
  </si>
  <si>
    <t>LAURA VANESSA ANILLO BELTRAN</t>
  </si>
  <si>
    <t>CC</t>
  </si>
  <si>
    <t>MALECON EMPRENDE 2026</t>
  </si>
  <si>
    <t>2026-02-06</t>
  </si>
  <si>
    <t>Artesanias, Moda y accesorios</t>
  </si>
  <si>
    <t>Aumento de ventas, Nuevos clientes, Mas reconocimiento para mi marca, Aprendizajes y experiencia</t>
  </si>
  <si>
    <t>Definitivamente sí</t>
  </si>
  <si>
    <t>MEJOR DISTRIBUCION DE LOS STANDS</t>
  </si>
  <si>
    <t>Ferias de Carnaval / Malecón / Emprende</t>
  </si>
  <si>
    <t>Femenino</t>
  </si>
  <si>
    <t>2026-03-10 09:25:19</t>
  </si>
  <si>
    <t>Angelica Patricia orozco corro</t>
  </si>
  <si>
    <t>Feria Carnaval en el malecón</t>
  </si>
  <si>
    <t>Moda y accesorios</t>
  </si>
  <si>
    <t>Posibles alianzas, Aprendizajes y experiencia</t>
  </si>
  <si>
    <t>Mas publicidad a la feria Pero en términos generales muy buena.</t>
  </si>
  <si>
    <t>2026-03-10 09:25:44</t>
  </si>
  <si>
    <t>Luz Marelis Escandon</t>
  </si>
  <si>
    <t>Feria malecón</t>
  </si>
  <si>
    <t>Alimentos</t>
  </si>
  <si>
    <t>Aumento de ventas</t>
  </si>
  <si>
    <t>Agradecer por la oportunidad</t>
  </si>
  <si>
    <t>2026-03-10 09:30:02</t>
  </si>
  <si>
    <t>Gabriel José García Juvinao</t>
  </si>
  <si>
    <t>Gabriel García Juvinao</t>
  </si>
  <si>
    <t>Artesanias</t>
  </si>
  <si>
    <t>Aumento de ventas, Aprendizajes y experiencia</t>
  </si>
  <si>
    <t>Mayor publicidad en los medios tradicionales, no basta sólo con las redes sociales.</t>
  </si>
  <si>
    <t>Masculino</t>
  </si>
  <si>
    <t>2026-03-10 09:30:38</t>
  </si>
  <si>
    <t>Consuelo de Jesús Ariza Mazenet</t>
  </si>
  <si>
    <t>Feria malecom 2026</t>
  </si>
  <si>
    <t>Aprendizajes y experiencia</t>
  </si>
  <si>
    <t>Que hayan muchas más ferias como esta, para seguir ayudando al emprendedor.🙌</t>
  </si>
  <si>
    <t>2026-03-10 09:33:27</t>
  </si>
  <si>
    <t>Ilva corina florez ochoa</t>
  </si>
  <si>
    <t>Feria carnaval 2026</t>
  </si>
  <si>
    <t>2026-02-09</t>
  </si>
  <si>
    <t>Aumento de ventas, Mas reconocimiento para mi marca, Aprendizajes y experiencia</t>
  </si>
  <si>
    <t>No tengo sugerencias, solo agradecimiento por esta oportunidad</t>
  </si>
  <si>
    <t>2026-03-10 09:35:04</t>
  </si>
  <si>
    <t>Karoll Juliana Carval Reyes</t>
  </si>
  <si>
    <t>Feria malecon del río</t>
  </si>
  <si>
    <t>Aumento de ventas, Nuevos clientes</t>
  </si>
  <si>
    <t>Ninguna</t>
  </si>
  <si>
    <t>2026-03-10 09:40:04</t>
  </si>
  <si>
    <t>Claudia patricia sierra</t>
  </si>
  <si>
    <t>Feria Carnaval 2026 Mall plaza Mo</t>
  </si>
  <si>
    <t>Aumento de ventas, Nuevos clientes, Mas reconocimiento para mi marca, Posibles alianzas, Aprendizajes y experiencia</t>
  </si>
  <si>
    <t>Excelente fue su aporte y mi marca ha crecido considerablemente, de pronto hacer con más frecuencia estos excelentes eventos.</t>
  </si>
  <si>
    <t>2026-03-10 09:40:22</t>
  </si>
  <si>
    <t>Beatriz Elena De la cruz Cerra</t>
  </si>
  <si>
    <t>Feria malecón carnaval</t>
  </si>
  <si>
    <t>Mayor publicidad ya que esos días solo estuvieron promocionando la feria del cc Buenavista</t>
  </si>
  <si>
    <t>2026-03-10 09:42:37</t>
  </si>
  <si>
    <t>Consuelo Isabel Perez Escorcia</t>
  </si>
  <si>
    <t>Feria Mall Plaza</t>
  </si>
  <si>
    <t>Hasta el momento todo fue excelente la atención y organización por parte de secretaria de desarrollo económico el personal muy especial muy atentos sugerencias que nos sigan apoyando como hasta el momento.</t>
  </si>
  <si>
    <t>2026-03-10 09:42:50</t>
  </si>
  <si>
    <t>Ana María Martínez Fontalvo</t>
  </si>
  <si>
    <t>Feria emprende al malecón</t>
  </si>
  <si>
    <t>Mas reconocimiento para mi marca, Aprendizajes y experiencia</t>
  </si>
  <si>
    <t>Apertura de la feria, considero que debería ser a partir de las 10 de la mañana y no a las 2 de la tarde, hay personas que visitan el sitio desde la mañana.</t>
  </si>
  <si>
    <t>2026-03-10 09:50:39</t>
  </si>
  <si>
    <t>Omaira Karina De La Hoz Manga</t>
  </si>
  <si>
    <t>Malecón</t>
  </si>
  <si>
    <t>2026-03-06</t>
  </si>
  <si>
    <t>Dar más publicidad en la redes</t>
  </si>
  <si>
    <t>2026-03-10 09:53:34</t>
  </si>
  <si>
    <t>Edith Cecilia Romero Acosta</t>
  </si>
  <si>
    <t>Feria Emprende</t>
  </si>
  <si>
    <t>Sería bueno tener a alguien de su equipo presente los días de feria.</t>
  </si>
  <si>
    <t>2026-03-10 09:54:36</t>
  </si>
  <si>
    <t>Greys ramos</t>
  </si>
  <si>
    <t>Feria malecom</t>
  </si>
  <si>
    <t>Todo excelente...</t>
  </si>
  <si>
    <t>2026-03-10 09:59:35</t>
  </si>
  <si>
    <t>Ezequiela Arias Vasquez</t>
  </si>
  <si>
    <t>Feria del carnaval mall plaza 2026</t>
  </si>
  <si>
    <t>2026-01-26</t>
  </si>
  <si>
    <t>Todo perfecto gracias</t>
  </si>
  <si>
    <t>2026-03-10 10:03:01</t>
  </si>
  <si>
    <t>Laurent Senilth castro Gutiérrez</t>
  </si>
  <si>
    <t>Feria emprende Barranquilla mall plaza</t>
  </si>
  <si>
    <t>2026-02-02</t>
  </si>
  <si>
    <t>Aumento de ventas, Mas reconocimiento para mi marca, Posibles alianzas, Aprendizajes y experiencia</t>
  </si>
  <si>
    <t>La organización estuvo excelente, buen acompañamiento, para mejorar me parece que realizar eventos o traer música ej:un grupo de millo atrae mucha gente. También uniformar a las participantes mostrando que son apoyadas por la alcaldía como mujeres emprendedoras.</t>
  </si>
  <si>
    <t>2026-03-10 10:10:42</t>
  </si>
  <si>
    <t>Mónica Emira Amelia Garzón Buelvas</t>
  </si>
  <si>
    <t>Nuevos clientes, Mas reconocimiento para mi marca</t>
  </si>
  <si>
    <t>Que sea más seguido o más días. Muchas gracias.</t>
  </si>
  <si>
    <t>2026-03-10 10:14:11</t>
  </si>
  <si>
    <t>Lilia Mercedes Antequera Martínez</t>
  </si>
  <si>
    <t>Feria emprende</t>
  </si>
  <si>
    <t>Aumento de ventas, Nuevos clientes, Mas reconocimiento para mi marca</t>
  </si>
  <si>
    <t>.</t>
  </si>
  <si>
    <t>2026-03-10 10:16:26</t>
  </si>
  <si>
    <t>Susan Lorena Ancinez Sarmiento</t>
  </si>
  <si>
    <t>Feria de Carnaval 2026</t>
  </si>
  <si>
    <t>2026-03-02</t>
  </si>
  <si>
    <t>Gracias por esta oportunidad de aprendizaje y aumentar la ventas de nuestros emprendimientos</t>
  </si>
  <si>
    <t>2026-03-10 10:30:42</t>
  </si>
  <si>
    <t>Shirley Atencio Atencio</t>
  </si>
  <si>
    <t>Feria en el Malecón</t>
  </si>
  <si>
    <t>Que fueran mas días  de feria</t>
  </si>
  <si>
    <t>2026-03-10 10:37:57</t>
  </si>
  <si>
    <t>Aliana Milagros Sanchez Peñate</t>
  </si>
  <si>
    <t>Que nos hagan publicidad a todas las marcas una a una , para que seamos más reconocidos.</t>
  </si>
  <si>
    <t>2026-03-10 10:43:24</t>
  </si>
  <si>
    <t>Yajaira esther Prado Obando</t>
  </si>
  <si>
    <t>2026-02-14</t>
  </si>
  <si>
    <t>Más publicidad de la feria en las redes sociales</t>
  </si>
  <si>
    <t>2026-03-10 10:46:04</t>
  </si>
  <si>
    <t>Dayana Julio Viloria</t>
  </si>
  <si>
    <t>Feria Carnaval 2026</t>
  </si>
  <si>
    <t>Nuevos clientes, Aprendizajes y experiencia</t>
  </si>
  <si>
    <t>Sin duda DAJUVI Accesorios está grandemente agradecido por la participación en este espacio. Sin embargo, la ubicación en el M0 es desventajosa. Cada vez se vende menos en ese espacio.</t>
  </si>
  <si>
    <t>2026-03-10 10:46:30</t>
  </si>
  <si>
    <t>Eduy Zapata Zapata</t>
  </si>
  <si>
    <t>Mall plaza</t>
  </si>
  <si>
    <t>2026-01-23</t>
  </si>
  <si>
    <t>Mas reconocimiento para mi marca</t>
  </si>
  <si>
    <t>Que se realizarán más seguido las feria para mejorar las ventas</t>
  </si>
  <si>
    <t>2026-03-10 10:50:51</t>
  </si>
  <si>
    <t>Yudy tarazona tarazona</t>
  </si>
  <si>
    <t>Feria malecon 2026</t>
  </si>
  <si>
    <t>Servicios</t>
  </si>
  <si>
    <t>Ninguna todo muy bien</t>
  </si>
  <si>
    <t>2026-03-10 10:57:41</t>
  </si>
  <si>
    <t>Hilda Romero Agamez</t>
  </si>
  <si>
    <t>Feria del carnaval</t>
  </si>
  <si>
    <t>Más días en la feria</t>
  </si>
  <si>
    <t>2026-03-10 11:13:37</t>
  </si>
  <si>
    <t>Mariela Patricia Lara Manjarres</t>
  </si>
  <si>
    <t>Feria emprende al malecon</t>
  </si>
  <si>
    <t>Nuevos clientes</t>
  </si>
  <si>
    <t>Q dure más días la feria</t>
  </si>
  <si>
    <t>2026-03-10 12:15:59</t>
  </si>
  <si>
    <t>Silvana Margarita Escobar Martinez</t>
  </si>
  <si>
    <t>Feria Emprende Carnaval 2026</t>
  </si>
  <si>
    <t>Realizar la convocatoria y la selección de los emprendimientos con mas tiempo de antelacion que permita una mejor prrparacion para la participación.
Una mayor publicidad del evento por fuera y dentro del Centro Comercial</t>
  </si>
  <si>
    <t>2026-03-10 12:23:36</t>
  </si>
  <si>
    <t>Jurlanis Pinedo Cabrera</t>
  </si>
  <si>
    <t>Carnaval malecón</t>
  </si>
  <si>
    <t>En dar más publicidad</t>
  </si>
  <si>
    <t>2026-03-10 12:25:22</t>
  </si>
  <si>
    <t>Katerine marti</t>
  </si>
  <si>
    <t>Malecln del río 6 7 8</t>
  </si>
  <si>
    <t>Wx9</t>
  </si>
  <si>
    <t>2026-03-10 12:33:43</t>
  </si>
  <si>
    <t>Luz Karina Llerena Mosquera</t>
  </si>
  <si>
    <t>Feria Emprende Al Malecón 2026</t>
  </si>
  <si>
    <t>Siento que todo estuvo bien organizado desde la logística, la organización de los stand, la música y sobre todo las personas que siempre estuvieron presentes y pendientes de cada emprendimiento. Fueron de gran bendición, gracias por las meriendas estuvieron super ricas. Gracias a los organizadores, gracias a señora Liliana Verdugo del centro de oportunidad y al señor Alfonso Oliver Dios los bendiga. Me quedo corta muchas gracias.</t>
  </si>
  <si>
    <t>2026-03-10 13:12:41</t>
  </si>
  <si>
    <t>Julys Stella Dominguez Cantillo</t>
  </si>
  <si>
    <t>Malecón (carnavales)</t>
  </si>
  <si>
    <t>La forma de organizar los módulos, para que todos tengan visibilidad.  No fue mi caso pero si vi compañeros que tuvieron ese problema</t>
  </si>
  <si>
    <t>2026-03-10 13:22:45</t>
  </si>
  <si>
    <t>Hilda Raquel Orozco Suárez</t>
  </si>
  <si>
    <t>Emprende</t>
  </si>
  <si>
    <t>La.mejor feria de Barranquilla</t>
  </si>
  <si>
    <t>2026-03-10 15:06:33</t>
  </si>
  <si>
    <t>Katherine Torres Escorcia</t>
  </si>
  <si>
    <t>Feria emprende carnaval</t>
  </si>
  <si>
    <t>Fue mi primera participación en feria en el mall plaza y me encantó la experiencia 💕</t>
  </si>
  <si>
    <t>2026-03-12 05:41:58</t>
  </si>
  <si>
    <t>Jordi Gonzalez mercado</t>
  </si>
  <si>
    <t>Malecon</t>
  </si>
  <si>
    <t>No estoy seguro(a)</t>
  </si>
  <si>
    <t>La feria de carnaval se realizó en el fin de semana de la guacherna por ende el viernes fue un día muerto y el sábado era santo Tomás. La única sugerencia sería hacerla un fin de semana diferente.</t>
  </si>
  <si>
    <t>2026-03-12 08:37:44</t>
  </si>
  <si>
    <t>Michael Enrique Granados Hernández</t>
  </si>
  <si>
    <t>Atelier creativo</t>
  </si>
  <si>
    <t>Mayor publicidad</t>
  </si>
  <si>
    <t>2026-03-12 10:37:51</t>
  </si>
  <si>
    <t>Rocío Benedetti</t>
  </si>
  <si>
    <t>Feria emprende 2026</t>
  </si>
  <si>
    <t>Sería bueno que la promoción que hacen en redes para el inicio y durante la primera semana de la feria, también se hiciera para los que participamos en la última semana</t>
  </si>
  <si>
    <t>2026-03-30 14:24:45</t>
  </si>
  <si>
    <t>Maria Paula Gomez</t>
  </si>
  <si>
    <t>Feria de la mujer</t>
  </si>
  <si>
    <t>2026-03-23</t>
  </si>
  <si>
    <t>Gracias por la invitacion</t>
  </si>
  <si>
    <t>Feria de la Mujer</t>
  </si>
  <si>
    <t>2026-03-30 14:28:25</t>
  </si>
  <si>
    <t>Ivón lara de la cruz</t>
  </si>
  <si>
    <t>Feria de la mujer 2026 mall plaza</t>
  </si>
  <si>
    <t>Todo estuvo excelente</t>
  </si>
  <si>
    <t>2026-03-30 14:40:20</t>
  </si>
  <si>
    <t>Nancy Esther García Quiroz</t>
  </si>
  <si>
    <t>Feria de la mujer 2026</t>
  </si>
  <si>
    <t>Nada</t>
  </si>
  <si>
    <t>2026-03-30 14:43:47</t>
  </si>
  <si>
    <t>Diana Carolina Cardona Fernández</t>
  </si>
  <si>
    <t>Como ingeniera industrial se que siempre hay algo por mejorar, pero mi experiencia fue tan increíble que para mi todo esta excelente</t>
  </si>
  <si>
    <t>2026-03-30 14:50:34</t>
  </si>
  <si>
    <t>Lissette Pabón Polo</t>
  </si>
  <si>
    <t>Feria de la Mujer 2026</t>
  </si>
  <si>
    <t>Mi sugerencia es que los stands deberían estar en lo posible más juntos para que todos los emprendedores participantes puedan tener mayor visibilidad.</t>
  </si>
  <si>
    <t>2026-03-30 14:58:52</t>
  </si>
  <si>
    <t>Martha Patricia Name Domínguez</t>
  </si>
  <si>
    <t>Mallplaza</t>
  </si>
  <si>
    <t>Todo estuvo muy bien organizado el lugar perfecto me sentí muy contenta y agradecida por todo el apoyo gracias</t>
  </si>
  <si>
    <t>2026-03-30 17:58:58</t>
  </si>
  <si>
    <t>Alba torrenegra</t>
  </si>
  <si>
    <t>Nuevos clientes, Mas reconocimiento para mi marca, Posibles alianzas, Aprendizajes y experiencia</t>
  </si>
  <si>
    <t>A modp personal Me gustaria que  mientras estamos en feria mostrar en redes videos o foticos con las marcas participantes, eso atraeria mas personal para comprar</t>
  </si>
  <si>
    <t>2026-04-01 07:27:54</t>
  </si>
  <si>
    <t>Sonia consuelo sierra</t>
  </si>
  <si>
    <t>La logística excelente, de pronto poder ubicar nuestro logo</t>
  </si>
  <si>
    <t>2026-04-08 10:38:38</t>
  </si>
  <si>
    <t>Shirly Salgado Valdes</t>
  </si>
  <si>
    <t>Semana santa mall plaza</t>
  </si>
  <si>
    <t>2026-03-30</t>
  </si>
  <si>
    <t>Un poco más de control con los expositores saliente, exigirles qué dejen el Stad que utilizaron limpio y sin publicidad o Qr de sus negocios</t>
  </si>
  <si>
    <t>Feria Semana Santa</t>
  </si>
  <si>
    <t>2026-04-08 10:42:22</t>
  </si>
  <si>
    <t>Yomaira valdez</t>
  </si>
  <si>
    <t>Feria de dulces mall plaza</t>
  </si>
  <si>
    <t>Todo excelente gracias!</t>
  </si>
  <si>
    <t>Feria del Dulce</t>
  </si>
  <si>
    <t>2026-04-08 10:51:32</t>
  </si>
  <si>
    <t>Shanny Lansz Barrios Salgado</t>
  </si>
  <si>
    <t>Feria del dulce</t>
  </si>
  <si>
    <t>2026-04-05</t>
  </si>
  <si>
    <t>Nuevos clientes, Mas reconocimiento para mi marca, Posibles alianzas</t>
  </si>
  <si>
    <t>Aumentar la publicidad</t>
  </si>
  <si>
    <t>2026-04-08 10:56:41</t>
  </si>
  <si>
    <t>Johanna Patricia Salgado casseres</t>
  </si>
  <si>
    <t>Feria del dulce 2026</t>
  </si>
  <si>
    <t>La fecha de inicio</t>
  </si>
  <si>
    <t>ANÁLISIS POR DIMENSIÓN DE SATISFACCIÓN</t>
  </si>
  <si>
    <t>A. ESTADÍSTICOS DESCRIPTIVOS POR DIMENSIÓN</t>
  </si>
  <si>
    <t>Dimensión</t>
  </si>
  <si>
    <t>Categoría</t>
  </si>
  <si>
    <t>N</t>
  </si>
  <si>
    <t>Promedio</t>
  </si>
  <si>
    <t>Mínimo</t>
  </si>
  <si>
    <t>Máximo</t>
  </si>
  <si>
    <t>Desv. Estándar</t>
  </si>
  <si>
    <t>Mediana</t>
  </si>
  <si>
    <t>% Satisfecho
(≥4)</t>
  </si>
  <si>
    <t>% Neutro
(=3)</t>
  </si>
  <si>
    <t>% Insatisfecho
(≤2)</t>
  </si>
  <si>
    <t>Acompañamiento y apoyo de los organizadores</t>
  </si>
  <si>
    <t>Experiencia</t>
  </si>
  <si>
    <t>Organización del evento</t>
  </si>
  <si>
    <t>Logística: espacio, ubicación y montaje</t>
  </si>
  <si>
    <t>Gestión para atraer público</t>
  </si>
  <si>
    <t>Promoción y publicidad del evento</t>
  </si>
  <si>
    <t>Resultados en ventas durante la feria</t>
  </si>
  <si>
    <t>Resultados</t>
  </si>
  <si>
    <t>Generación de nuevos clientes/contactos</t>
  </si>
  <si>
    <t>Visibilidad y reconocimiento de marca</t>
  </si>
  <si>
    <t>Resultados generales de participación</t>
  </si>
  <si>
    <t>ÍNDICE GLOBAL DE SATISFACCIÓN</t>
  </si>
  <si>
    <t>B. DISTRIBUCIÓN DE FRECUENCIAS POR PUNTUACIÓN Y DIMENSIÓN</t>
  </si>
  <si>
    <t>Puntuación</t>
  </si>
  <si>
    <t>Descripción</t>
  </si>
  <si>
    <t>Acomp.</t>
  </si>
  <si>
    <t>Organiz.</t>
  </si>
  <si>
    <t>Logística</t>
  </si>
  <si>
    <t>Gest.Público</t>
  </si>
  <si>
    <t>Prom./Publi.</t>
  </si>
  <si>
    <t>Ventas</t>
  </si>
  <si>
    <t>Nuevos Cli.</t>
  </si>
  <si>
    <t>Visibilidad</t>
  </si>
  <si>
    <t>Res.General</t>
  </si>
  <si>
    <t>Muy Bueno/Excelente</t>
  </si>
  <si>
    <t>Bueno/Buena</t>
  </si>
  <si>
    <t>Regular/Aceptable</t>
  </si>
  <si>
    <t>Malo/Bajos</t>
  </si>
  <si>
    <t>Muy Malo/Muy Bajos</t>
  </si>
  <si>
    <t>TOTAL</t>
  </si>
  <si>
    <t>ANÁLISIS DE SATISFACCIÓN POR GRUPO DE FERIA</t>
  </si>
  <si>
    <t>A. PUNTAJES PROMEDIO POR GRUPO DE FERIA</t>
  </si>
  <si>
    <t>Grupo de Feria</t>
  </si>
  <si>
    <t>N Expositores</t>
  </si>
  <si>
    <t>Acomp.
Organizadores</t>
  </si>
  <si>
    <t>Organización</t>
  </si>
  <si>
    <t>Prom./
Publicidad</t>
  </si>
  <si>
    <t>Nuevos
Clientes</t>
  </si>
  <si>
    <t>Índice
Global</t>
  </si>
  <si>
    <t>Clasificación</t>
  </si>
  <si>
    <t>PROMEDIO GENERAL</t>
  </si>
  <si>
    <t>B. RANKING POR DIMENSIÓN – MEJOR Y MENOR DESEMPEÑO</t>
  </si>
  <si>
    <t>Grupo con Mayor Puntaje</t>
  </si>
  <si>
    <t>Valor</t>
  </si>
  <si>
    <t>Grupo con Menor Puntaje</t>
  </si>
  <si>
    <t>Acomp. Organizadores</t>
  </si>
  <si>
    <t>Organización Evento</t>
  </si>
  <si>
    <t>Gestión Público</t>
  </si>
  <si>
    <t>Prom./Publicidad</t>
  </si>
  <si>
    <t>Nuevos Clientes</t>
  </si>
  <si>
    <t>Resultados Generales</t>
  </si>
  <si>
    <t>Índice Global</t>
  </si>
  <si>
    <t>FIDELIZACIÓN Y PROBABILIDAD DE RETORNO</t>
  </si>
  <si>
    <t>A. INTENCIÓN DE RETORNO – RESULTADOS GLOBALES</t>
  </si>
  <si>
    <t>Respuesta</t>
  </si>
  <si>
    <t>Frecuencia</t>
  </si>
  <si>
    <t>Porcentaje</t>
  </si>
  <si>
    <t>Interpretación</t>
  </si>
  <si>
    <t>Semáforo</t>
  </si>
  <si>
    <t>Alta fidelización – expositor consolidado</t>
  </si>
  <si>
    <t>🟢 Alto</t>
  </si>
  <si>
    <t>Probablemente sí</t>
  </si>
  <si>
    <t>Buena fidelización – leve incertidumbre</t>
  </si>
  <si>
    <t>🟢 Medio</t>
  </si>
  <si>
    <t>Fidelización en riesgo – requiere atención</t>
  </si>
  <si>
    <t>🟡 Riesgo</t>
  </si>
  <si>
    <t>Probablemente no</t>
  </si>
  <si>
    <t>Expositor insatisfecho – posible deserción</t>
  </si>
  <si>
    <t>🔴 Bajo</t>
  </si>
  <si>
    <t>Definitivamente no</t>
  </si>
  <si>
    <t>Expositor perdido – baja crítica</t>
  </si>
  <si>
    <t>🔴 Crítico</t>
  </si>
  <si>
    <t>TOTAL ENCUESTADOS</t>
  </si>
  <si>
    <t>B. BENEFICIOS OBTENIDOS POR LOS EXPOSITORES</t>
  </si>
  <si>
    <t>Beneficio</t>
  </si>
  <si>
    <t>% del Total
de Encuestados</t>
  </si>
  <si>
    <t>Visualización</t>
  </si>
  <si>
    <t>Más reconocimiento para mi marca</t>
  </si>
  <si>
    <t>Posibles alianzas</t>
  </si>
  <si>
    <t>C. TASA DE RETORNO POR GRUPO DE FERIA</t>
  </si>
  <si>
    <t>Total</t>
  </si>
  <si>
    <t>Def. Sí</t>
  </si>
  <si>
    <t>No Seguro</t>
  </si>
  <si>
    <t>Tasa Retorno</t>
  </si>
  <si>
    <t>📊  GRÁFICOS DE ANÁLISIS – SATISFACCIÓN EN FERIAS 2026</t>
  </si>
  <si>
    <t>1. PROMEDIO DE SATISFACCIÓN POR DIMENSIÓN</t>
  </si>
  <si>
    <t>Cantidad</t>
  </si>
  <si>
    <t>2. DISTRIBUCIÓN DE GÉNERO DE LOS EXPOSITORES</t>
  </si>
  <si>
    <t>3. INTENCIÓN DE RETORNO A LA FERIA</t>
  </si>
  <si>
    <t>¿Participaría?</t>
  </si>
  <si>
    <t>Grupo Feria</t>
  </si>
  <si>
    <t>% Satisf.</t>
  </si>
  <si>
    <t>% Neutro</t>
  </si>
  <si>
    <t>4. DISTRIBUCIÓN POR SECTOR DE EMPRENDIMIENTO</t>
  </si>
  <si>
    <t>5. PARTICIPANTES POR GRUPO DE FERIA</t>
  </si>
  <si>
    <t>6. % SATISFACCIÓN VS % NEUTRO POR DIMENSIÓN</t>
  </si>
  <si>
    <t>📊  DASHBOARD EJECUTIVO – SATISFACCIÓN EN FERIAS 2026</t>
  </si>
  <si>
    <t>Total
Encuestados</t>
  </si>
  <si>
    <t>Índice Global
de Satisfacción</t>
  </si>
  <si>
    <t>% Altamente
Satisfechos (≥4)</t>
  </si>
  <si>
    <t>Tasa de
Retorno</t>
  </si>
  <si>
    <t>RESUMEN POR GRUPO DE FERIA</t>
  </si>
  <si>
    <t>Fortaleza</t>
  </si>
  <si>
    <t>Área de Mejora</t>
  </si>
  <si>
    <t>✅ Organización del evento</t>
  </si>
  <si>
    <t>⚠ Promoción/Publicidad</t>
  </si>
  <si>
    <t>✅ Acomp. organizadores</t>
  </si>
  <si>
    <t>⚠ Nuevos clientes</t>
  </si>
  <si>
    <t>✅ Organización</t>
  </si>
  <si>
    <t>⚠ Resultados en ventas</t>
  </si>
  <si>
    <t>✅ Logística</t>
  </si>
  <si>
    <t>⚠ Gestión público</t>
  </si>
  <si>
    <t>RANKING DE DIMENSIONES DE SATISFACCIÓN</t>
  </si>
  <si>
    <t>% Satisfecho</t>
  </si>
  <si>
    <t>% Insatisfecho</t>
  </si>
  <si>
    <t>Prioridad de Acción</t>
  </si>
  <si>
    <t>INFORME NARRATIVO – ANÁLISIS DE SATISFACCIÓN EN FERIAS 2026</t>
  </si>
  <si>
    <t>1. PRESENTACIÓN Y CONTEXTO DEL ESTUDIO</t>
  </si>
  <si>
    <t>El presente informe expone los resultados del análisis estadístico derivado de la Encuesta de Satisfacción sobre la Participación en Ferias, aplicada a 49 expositores emprendedores que participaron en ferias organizadas por la Secretaría de Desarrollo Económico de Barranquilla durante el período enero – abril de 2026.</t>
  </si>
  <si>
    <t>El instrumento evaluó dos grandes bloques: (1) Experiencia en la Feria, compuesto por cinco dimensiones: Acompañamiento y apoyo de los organizadores, Organización del evento, Logística, Gestión para atraer público, y Promoción y publicidad del evento; y (2) Resultados Obtenidos, con cuatro dimensiones: Resultados en ventas, Generación de nuevos clientes/contactos, Visibilidad y reconocimiento de marca, y Resultados generales de participación. Adicionalmente se recogió información sobre beneficios obtenidos e intención de retorno.</t>
  </si>
  <si>
    <t>La escala de calificación utilizada fue de tipo Likert de 5 puntos (1=Muy malo/Muy bajos, 5=Excelente/Muy buenos). Los 49 expositores participantes pertenecen principalmente a los sectores de Moda y accesorios (46.9%), Artesanías (36.7%) y Alimentos (10.2%). Las ferias se agruparon en cuatro categorías: Ferias de Carnaval/Malecón/Emprende (37 expositores), Feria de la Mujer (7), Feria del Dulce (3) y Feria de Semana Santa (1).</t>
  </si>
  <si>
    <t>2. RESULTADOS GLOBALES DEL ÍNDICE DE SATISFACCIÓN</t>
  </si>
  <si>
    <t>2.1 Índice Global de Satisfacción</t>
  </si>
  <si>
    <t>El Índice Global de Satisfacción (IGS) promedio alcanzó 4.46 sobre 5.0, resultado que se sitúa en la categoría 'Excelente' según la escala de interpretación. Este es un resultado sobresaliente que evidencia una muy alta valoración de los expositores hacia las ferias organizadas. El 90.0% de las calificaciones emitidas corresponden a los niveles de satisfecho (4) o muy satisfecho (5), el 7.9% al nivel neutro (3), y apenas el 2.0% a niveles de insatisfacción (1 o 2).</t>
  </si>
  <si>
    <t>La distribución de frecuencias global muestra que el 59.2% de todas las puntuaciones fueron 5 (Muy bueno/Excelente) y el 30.8% fueron 4 (Bueno/Buena), confirmando una concentración mayoritaria en los niveles superiores de satisfacción. Los registros de insatisfacción son puntuales y están asociados principalmente a casos específicos de ubicación de stands y condiciones particulares de determinadas ferias.</t>
  </si>
  <si>
    <t>2.2 Bloque I: Experiencia en la Feria</t>
  </si>
  <si>
    <t>▸  Acompañamiento y apoyo de los organizadores — Promedio: 4.71/5.0  |  % Satisfecho: 98.0%  |  % Neutro: 2.0%</t>
  </si>
  <si>
    <t>La dimensión mejor calificada del bloque de experiencia. El 98% de los expositores calificó con 4 o 5 esta dimensión. Los participantes destacan ampliamente el trato cercano y el apoyo constante del equipo organizador, con menciones especiales al personal de la Secretaría de Desarrollo Económico. Solo un caso reportó puntuación de 1, asociado a una situación particular de acompañamiento.</t>
  </si>
  <si>
    <t>▸  Organización del evento — Promedio: 4.78/5.0  |  % Satisfecho: 100.0%  |  % Neutro: 0.0%</t>
  </si>
  <si>
    <t>Dimensión con la puntuación más alta de todo el estudio y cero casos de insatisfacción. La totalidad de los expositores calificó con 4 o 5, siendo la única dimensión con 100% de satisfacción. Esto refleja una excelente planificación logística, claridad en instrucciones y cumplimiento de los compromisos adquiridos con los expositores.</t>
  </si>
  <si>
    <t>▸  Logística: espacio, ubicación y montaje — Promedio: 4.67/5.0  |  % Satisfecho: 98.0%  |  % Neutro: 2.0%</t>
  </si>
  <si>
    <t>Puntaje muy alto con 98% de satisfacción. Los expositores valoran positivamente la distribución de los espacios y el proceso de montaje. El único caso de insatisfacción (puntaje 2) está asociado a una ubicación percibida como desventajosa en un espacio comercial específico. Las sugerencias más frecuentes apuntan a mejorar la distribución y visibilidad de todos los stands.</t>
  </si>
  <si>
    <t>▸  Gestión para atraer público — Promedio: 4.43/5.0  |  % Satisfecho: 93.9%  |  % Neutro: 6.1%</t>
  </si>
  <si>
    <t>Dimensión con buena valoración pero con el mayor porcentaje de respuestas neutras (6.1%) dentro del bloque de experiencia. Los expositores reconocen los esfuerzos para atraer visitantes, pero identifican oportunidades de mejora en la convocatoria de público, especialmente en ferias realizadas en fechas que coincidieron con otros eventos de ciudad (como festividades de carnaval).</t>
  </si>
  <si>
    <t>▸  Promoción y publicidad del evento — Promedio: 4.27/5.0  |  % Satisfecho: 81.6%  |  % Neutro: 18.4%</t>
  </si>
  <si>
    <t>La dimensión del bloque de experiencia con mayor espacio de mejora, con un 18.4% de respuestas neutras y la desviación estándar más alta de su bloque (0.76). Esta es la dimensión que más sugerencias de mejora acumula en los comentarios abiertos: los expositores solicitan mayor publicidad en redes sociales, medios tradicionales, y especialmente, difusión durante todo el ciclo de la feria, no solo al inicio.</t>
  </si>
  <si>
    <t>2.3 Bloque II: Resultados Obtenidos</t>
  </si>
  <si>
    <t>▸  Resultados en ventas durante la feria — Promedio: 4.33/5.0  |  % Satisfecho: 85.7%  |  % Neutro: 10.2%</t>
  </si>
  <si>
    <t>El 85.7% de los expositores reportó buenos o muy buenos resultados en ventas durante la feria. Sin embargo, esta dimensión presenta la variabilidad más alta del bloque (desviación estándar 0.90), lo que indica experiencias muy heterogéneas entre expositores. Algunos reportaron ventas excelentes mientras que casos puntuales registraron resultados muy bajos, relacionados con fechas y ubicaciones específicas que afectaron el flujo de visitantes.</t>
  </si>
  <si>
    <t>▸  Generación de nuevos clientes y contactos — Promedio: 4.14/5.0  |  % Satisfecho: 75.5%  |  % Neutro: 20.4%</t>
  </si>
  <si>
    <t>Dimensión con el mayor porcentaje de respuestas neutras de todo el estudio (20.4%) y la desviación estándar más alta (0.96). Si bien el 75.5% reportó buenos o muy buenos resultados, hay un segmento significativo que no percibió un incremento notable en su cartera de clientes. Esta dimensión se convierte en la principal área de oportunidad del bloque de resultados, pues la generación de contactos es un objetivo central de la participación ferial.</t>
  </si>
  <si>
    <t>▸  Visibilidad y reconocimiento de marca — Promedio: 4.37/5.0  |  % Satisfecho: 87.8%  |  % Neutro: 8.2%</t>
  </si>
  <si>
    <t>Buena valoración con el 87.8% de satisfacción. Los expositores reconocen que la feria les permitió dar a conocer sus marcas a un público más amplio. El beneficio 'Más reconocimiento para mi marca' fue el segundo más citado (28 de 49 expositores), confirmando que las ferias cumplen una función estratégica de posicionamiento de marca para los emprendedores participantes.</t>
  </si>
  <si>
    <t>▸  Resultados generales de participación — Promedio: 4.45/5.0  |  % Satisfecho: 89.8%  |  % Neutro: 8.2%</t>
  </si>
  <si>
    <t>Esta dimensión de cierre del instrumento obtuvo una puntuación de 4.45, coherente con el Índice Global. El 89.8% calificó con 4 o 5, lo que refleja una visión global positiva de la experiencia. Incluso expositores que registraron menores puntajes en dimensiones específicas (como ventas) expresaron en sus comentarios abiertos gratitud por la oportunidad y satisfacción con la organización del evento en general.</t>
  </si>
  <si>
    <t>3. ANÁLISIS POR GRUPO DE FERIA</t>
  </si>
  <si>
    <t>🏛  Ferias de Carnaval / Malecón / Emprende (n=37)   |   IGS: 4.43/5.0   |   Clasificación: EXCELENTE</t>
  </si>
  <si>
    <t>Grupo con mayor representación (75.5% de la muestra). Incluye las ferias realizadas en el Malecón del Río y en Mall Plaza durante la temporada de Carnaval 2026 y eventos Emprende. Obtuvo un IGS de 4.43, con la mayor fortaleza en Organización del evento (4.78) y Logística (4.65). La Gestión para atraer público (4.49) y la Promoción/Publicidad (4.30) son las áreas de mejora del grupo. Las sugerencias se concentran en mayor publicidad, especialmente en redes sociales, y en mejor distribución y visibilidad de los stands. Algunos expositores señalaron que ferias realizadas en fines de semana de eventos masivos de Carnaval afectaron el flujo de visitantes.</t>
  </si>
  <si>
    <t>🏛  Feria de la Mujer (n=7)   |   IGS: 4.83/5.0   |   Clasificación: EXCELENTE</t>
  </si>
  <si>
    <t>El grupo con el índice de satisfacción más alto del estudio (4.83/5.0), prácticamente en el umbral de la excelencia máxima. Todas las dimensiones del bloque de experiencia alcanzaron el máximo (5.0), y los resultados obtenidos también registraron valoraciones muy altas (4.86 en ventas, 4.86 en nuevos clientes, 5.0 en visibilidad). Este grupo demuestra que cuando las condiciones de organización y el perfil del evento se alinean correctamente con el público objetivo, los resultados son extraordinarios. Su tasa de retorno es del 100%.</t>
  </si>
  <si>
    <t>🏛  Feria del Dulce (n=3)   |   IGS: 4.00/5.0   |   Clasificación: BUENO</t>
  </si>
  <si>
    <t>Grupo con un IGS de 4.00, que, si bien alcanza el umbral de satisfacción, se sitúa por debajo del promedio general. La Promoción/Publicidad (3.67) y los Resultados en ventas (3.67) son las dimensiones más bajas. Los tres expositores pertenecen al sector de Alimentos y participaron en ferias de Semana Santa. Las sugerencias apuntan a mayor publicidad del evento y a una mejor definición del horario de inicio. La menor afluencia en períodos de alta competencia con otros eventos de la ciudad puede explicar los menores resultados comerciales.</t>
  </si>
  <si>
    <t>🏛  Feria de Semana Santa (n=1)   |   IGS: 4.78/5.0   |   Clasificación: EXCELENTE</t>
  </si>
  <si>
    <t>Con un único expositor registrado, no es posible hacer inferencias estadísticas robustas para este grupo. Sin embargo, la puntuación reportada es muy alta (4.78), con máximos en Acompañamiento, Organización y Logística. Este resultado aislado puede considerarse una referencia preliminar positiva para futuras ediciones de esta feria.</t>
  </si>
  <si>
    <t>4. ANÁLISIS DE FIDELIZACIÓN Y BENEFICIOS</t>
  </si>
  <si>
    <t>4.1 Intención de Retorno</t>
  </si>
  <si>
    <t>La tasa de fidelización es excepcionalmente alta: el 98.0% (48 de 49 expositores) respondió 'Definitivamente sí' a la pregunta de si participaría nuevamente en una feria. Solo un expositor expresó 'No estoy seguro(a)', vinculando su duda exclusivamente a la fecha de realización de la feria (coincidencia con el fin de semana de la Guacherna en Carnaval), no a la calidad del evento en sí. Esta tasa es uno de los indicadores de gestión más sólidos del estudio y refleja una altísima valoración del programa de ferias como política de apoyo al emprendimiento.</t>
  </si>
  <si>
    <t>El 100% de los expositores de la Feria de la Mujer, Feria de Semana Santa, y prácticamente todos los del grupo Carnaval/Malecón/Emprende manifestaron intención definitiva de retorno. Este resultado posiciona el programa ferial como una intervención pública de alto impacto percibido para los emprendedores de Barranquilla.</t>
  </si>
  <si>
    <t>4.2 Beneficios Reportados por los Expositores</t>
  </si>
  <si>
    <t>Los cinco beneficios más reportados por los 49 expositores fueron: Aumento de ventas (35 expositores, 71.4%), Más reconocimiento para mi marca (28, 57.1%), Aprendizajes y experiencia (28, 57.1%), Nuevos clientes (26, 53.1%) y Posibles alianzas (12, 24.5%). El beneficio más frecuente —aumento de ventas— coincide con el objetivo principal de participación en ferias, validando que el programa cumple su propósito central. La alta frecuencia de 'aprendizajes y experiencia' indica además que los expositores valoran la feria no solo como canal comercial sino también como espacio formativo.</t>
  </si>
  <si>
    <t>5. TEMAS RECURRENTES EN SUGERENCIAS CUALITATIVAS</t>
  </si>
  <si>
    <t>El análisis de los comentarios cualitativos de los 49 expositores permite identificar cinco ejes temáticos recurrentes:</t>
  </si>
  <si>
    <t>📌  1. Mayor publicidad y difusión del evento</t>
  </si>
  <si>
    <t>Es el tema más recurrente. Los expositores solicitan más publicidad en redes sociales, medios de comunicación tradicionales (radio, TV), y especialmente difusión durante todo el período de la feria, no solo al inicio. Varios mencionaron que la publicidad concentrada en los primeros días perjudicó a expositores de semanas posteriores.</t>
  </si>
  <si>
    <t>📌  2. Mejor distribución y visibilidad de los stands</t>
  </si>
  <si>
    <t>Segunda temática más frecuente. Los expositores solicitan que la distribución de módulos garantice visibilidad equitativa para todos. Algunos señalan que ciertas ubicaciones dentro de los espacios comerciales tienen menor tráfico de visitantes. Se sugiere rotar posiciones o reconfigurar el diseño del espacio ferial.</t>
  </si>
  <si>
    <t>📌  3. Mayor duración y frecuencia de las ferias</t>
  </si>
  <si>
    <t>Numerosos expositores solicitan que las ferias sean más largas (más días) y más frecuentes a lo largo del año. La alta tasa de retorno del 98% hace que esta solicitud sea coherente y señala una demanda insatisfecha de espacios feriales por parte del ecosistema emprendedor local.</t>
  </si>
  <si>
    <t>📌  4. Horarios de apertura</t>
  </si>
  <si>
    <t>Algunos expositores sugieren que el horario de inicio de las ferias sea desde las 10:00 AM y no desde las 2:00 PM, argumentando que hay visitantes potenciales en las horas de la mañana que no pueden acceder al evento.</t>
  </si>
  <si>
    <t>📌  5. Selección y convocatoria con mayor anticipación</t>
  </si>
  <si>
    <t>Se solicita que el proceso de selección y comunicación a los emprendedores seleccionados se realice con más tiempo de antelación, permitiendo una mejor preparación logística y de producto para la participación.</t>
  </si>
  <si>
    <t>6. CONCLUSIONES EJECUTIVAS</t>
  </si>
  <si>
    <t>✅  El Índice Global de Satisfacción de 4.46/5.0 posiciona el programa ferial en la categoría Excelente. Es un resultado destacado que refleja la efectividad de la gestión organizativa de la Secretaría de Desarrollo Económico de Barranquilla.</t>
  </si>
  <si>
    <t>✅  La Organización del evento (4.78) y el Acompañamiento de los organizadores (4.71) son las mayores fortalezas del programa, con 100% y 98% de satisfacción respectivamente. Estos estándares deben preservarse y documentarse como modelo de gestión.</t>
  </si>
  <si>
    <t>✅  La tasa de retorno del 98% (48 de 49 expositores) es un indicador de gestión excepcional. El programa ferial genera un altísimo nivel de fidelización y lealtad entre los emprendedores beneficiados.</t>
  </si>
  <si>
    <t>✅  El 71.4% de los expositores reportó aumento de ventas y el 53.1% generación de nuevos clientes, validando que las ferias cumplen su propósito central de apoyo comercial al emprendimiento.</t>
  </si>
  <si>
    <t>⚠  La Promoción y Publicidad (4.27) y la Generación de Nuevos Clientes (4.14) son las dos dimensiones con mayor espacio de mejora. El 18.4% de respuestas neutras en publicidad y el 20.4% en nuevos clientes señalan oportunidades concretas de intervención.</t>
  </si>
  <si>
    <t>⚠  La Feria del Dulce (IGS 4.00) es el grupo con menor desempeño relativo, especialmente en Resultados en Ventas (3.67). Requiere una revisión del modelo de la feria, incluyendo fecha, lugar y estrategia de convocatoria de público.</t>
  </si>
  <si>
    <t>📋  Los datos cualitativos son coherentes con los cuantitativos: los expositores están satisfechos con la organización y quieren más ferias, más públicas y más visibles. La demanda supera la oferta actual del programa.</t>
  </si>
  <si>
    <t>7. RECOMENDACIONES ESTRATÉGICAS</t>
  </si>
  <si>
    <t>R1. Fortalecer la estrategia digital de difusión  |  Prioridad: Alta</t>
  </si>
  <si>
    <t>Implementar un plan de comunicación digital integral que incluya: difusión sostenida durante todo el periodo ferial (no solo el primer día), publicaciones por expositor/marca, cobertura en tiempo real con fotos y videos etiquetando a los emprendedores, y pauta pagada en redes sociales. Evaluar alianzas con medios locales de radio y TV para ampliar alcance.</t>
  </si>
  <si>
    <t>R2. Revisar la distribución y asignación de stands  |  Prioridad: Alta</t>
  </si>
  <si>
    <t>Realizar un estudio de flujo de visitantes en cada espacio ferial para identificar zonas de menor tráfico y rediseñar la distribución de stands garantizando equidad de visibilidad. Considerar sistemas de rotación de posiciones en ferias de varios días y comunicar criterios de asignación con transparencia a todos los expositores.</t>
  </si>
  <si>
    <t>R3. Aumentar la frecuencia y duración de las ferias  |  Prioridad: Media</t>
  </si>
  <si>
    <t>La altísima tasa de retorno (98%) y la solicitud recurrente de más ferias y más días evidencian una demanda no satisfecha. Se recomienda diseñar un calendario ferial anual con mayor número de eventos y duración extendida, priorizando fechas estratégicas y evitando coincidencias con eventos masivos de la ciudad que compitan por la atención del público.</t>
  </si>
  <si>
    <t>R4. Fortalecer el componente de generación de nuevos clientes  |  Prioridad: Media</t>
  </si>
  <si>
    <t>Implementar herramientas de networking estructurado dentro de la feria: ruedas de negocios, base de datos de visitantes, registro digital de interesados en cada stand, y seguimiento post-feria. Medir el indicador de 'contactos convertidos en clientes' en evaluaciones posteriores para capturar el impacto de mediano plazo de la participación.</t>
  </si>
  <si>
    <t>R5. Estandarizar y ampliar el modelo de Feria de la Mujer  |  Prioridad: Media</t>
  </si>
  <si>
    <t>Con un IGS de 4.83 y retorno del 100%, la Feria de la Mujer es el modelo de referencia del programa. Se recomienda documentar sus prácticas organizativas, replicar su modelo en nuevas ediciones temáticas, y estudiar su diseño para identificar los factores diferenciadores que explican su desempeño superior.</t>
  </si>
  <si>
    <t>R6. Revisar el modelo de Feria del Dulce  |  Prioridad: Baja</t>
  </si>
  <si>
    <t>Con un IGS de 4.00 y menores resultados en ventas (3.67), esta feria requiere una revisión de su modelo: fecha y horarios, perfil de visitante esperado, estrategia de atracción de público específica para el sector de alimentos, y posible articulación con eventos gastronómicos de ciudad para mejorar el flujo de visitantes.</t>
  </si>
  <si>
    <t>8. NOTA METODOLÓGICA</t>
  </si>
  <si>
    <t>Instrumento: Encuesta de satisfacción estructurada con escala de Likert de 5 puntos. Dimensiones evaluadas: 9 (5 de experiencia + 4 de resultados). Muestra: 49 encuestas válidas de expositores reales. Período: enero – abril 2026. Ciudad: Barranquilla, Colombia. Organización: Secretaría de Desarrollo Económico de Barranquilla. Técnicas estadísticas: media aritmética, desviación estándar, mediana, distribución de frecuencias, AVERAGEIF y COUNTIFS por grupo. Umbral de satisfacción: ≥4.0. Umbral de excelencia: ≥4.5. Análisis cualitativo de sugerencias abiertas mediante identificación de ejes temáticos recurrentes.</t>
  </si>
  <si>
    <t>Genero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</si>
</sst>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
  </numFmts>
  <fonts count="33" x14ac:knownFonts="1">
    <font>
      <sz val="11"/>
      <color theme="1"/>
      <name val="Calibri"/>
      <family val="2"/>
      <charset val="1"/>
    </font>
    <font>
      <b/>
      <sz val="14"/>
      <color rgb="FFFFFFFF"/>
      <name val="Arial"/>
      <charset val="1"/>
    </font>
    <font>
      <sz val="10"/>
      <color rgb="FFFFFFFF"/>
      <name val="Arial"/>
      <charset val="1"/>
    </font>
    <font>
      <b/>
      <sz val="9"/>
      <color rgb="FFFFFFFF"/>
      <name val="Arial"/>
      <charset val="1"/>
    </font>
    <font>
      <sz val="10"/>
      <color rgb="FF404040"/>
      <name val="Arial"/>
      <charset val="1"/>
    </font>
    <font>
      <b/>
      <sz val="10"/>
      <color rgb="FF375623"/>
      <name val="Arial"/>
      <charset val="1"/>
    </font>
    <font>
      <b/>
      <sz val="10"/>
      <color rgb="FF9C5700"/>
      <name val="Arial"/>
      <charset val="1"/>
    </font>
    <font>
      <b/>
      <sz val="10"/>
      <color rgb="FF9C0006"/>
      <name val="Arial"/>
      <charset val="1"/>
    </font>
    <font>
      <b/>
      <sz val="10"/>
      <color rgb="FF1F3864"/>
      <name val="Arial"/>
      <charset val="1"/>
    </font>
    <font>
      <b/>
      <sz val="11"/>
      <color rgb="FFFFFFFF"/>
      <name val="Arial"/>
      <charset val="1"/>
    </font>
    <font>
      <b/>
      <sz val="10"/>
      <color rgb="FF404040"/>
      <name val="Arial"/>
      <charset val="1"/>
    </font>
    <font>
      <sz val="10"/>
      <name val="Arial"/>
      <charset val="1"/>
    </font>
    <font>
      <b/>
      <sz val="10"/>
      <name val="Arial"/>
      <charset val="1"/>
    </font>
    <font>
      <b/>
      <sz val="11"/>
      <color rgb="FF404040"/>
      <name val="Arial"/>
      <charset val="1"/>
    </font>
    <font>
      <b/>
      <sz val="11"/>
      <color rgb="FF375623"/>
      <name val="Arial"/>
      <charset val="1"/>
    </font>
    <font>
      <b/>
      <sz val="11"/>
      <color rgb="FF9C5700"/>
      <name val="Arial"/>
      <charset val="1"/>
    </font>
    <font>
      <b/>
      <sz val="11"/>
      <color rgb="FF9C0006"/>
      <name val="Arial"/>
      <charset val="1"/>
    </font>
    <font>
      <b/>
      <sz val="11"/>
      <color rgb="FF660000"/>
      <name val="Arial"/>
      <charset val="1"/>
    </font>
    <font>
      <b/>
      <sz val="10"/>
      <color rgb="FF660000"/>
      <name val="Arial"/>
      <charset val="1"/>
    </font>
    <font>
      <b/>
      <sz val="10"/>
      <color rgb="FFFFFFFF"/>
      <name val="Arial"/>
      <charset val="1"/>
    </font>
    <font>
      <sz val="10"/>
      <color rgb="FF375623"/>
      <name val="Arial"/>
      <charset val="1"/>
    </font>
    <font>
      <sz val="10"/>
      <color rgb="FF9C5700"/>
      <name val="Arial"/>
      <charset val="1"/>
    </font>
    <font>
      <sz val="10"/>
      <color rgb="FF9C0006"/>
      <name val="Arial"/>
      <charset val="1"/>
    </font>
    <font>
      <sz val="10"/>
      <color rgb="FF660000"/>
      <name val="Arial"/>
      <charset val="1"/>
    </font>
    <font>
      <b/>
      <sz val="11"/>
      <name val="Arial"/>
      <charset val="1"/>
    </font>
    <font>
      <sz val="9"/>
      <color rgb="FF1F3864"/>
      <name val="Arial"/>
      <charset val="1"/>
    </font>
    <font>
      <b/>
      <sz val="15"/>
      <color rgb="FFFFFFFF"/>
      <name val="Arial"/>
      <charset val="1"/>
    </font>
    <font>
      <b/>
      <sz val="9"/>
      <name val="Arial"/>
      <charset val="1"/>
    </font>
    <font>
      <b/>
      <sz val="16"/>
      <color rgb="FFFFFFFF"/>
      <name val="Arial"/>
      <charset val="1"/>
    </font>
    <font>
      <b/>
      <sz val="24"/>
      <color rgb="FFFFFFFF"/>
      <name val="Arial"/>
      <charset val="1"/>
    </font>
    <font>
      <sz val="9"/>
      <color rgb="FF375623"/>
      <name val="Arial"/>
      <charset val="1"/>
    </font>
    <font>
      <sz val="9"/>
      <color rgb="FF9C5700"/>
      <name val="Arial"/>
      <charset val="1"/>
    </font>
    <font>
      <b/>
      <sz val="13"/>
      <color rgb="FFFFFFFF"/>
      <name val="Arial"/>
      <charset val="1"/>
    </font>
  </fonts>
  <fills count="20">
    <fill>
      <patternFill patternType="none"/>
    </fill>
    <fill>
      <patternFill patternType="gray125"/>
    </fill>
    <fill>
      <patternFill patternType="solid">
        <fgColor rgb="FF1F3864"/>
        <bgColor rgb="FF333399"/>
      </patternFill>
    </fill>
    <fill>
      <patternFill patternType="solid">
        <fgColor rgb="FF2E75B6"/>
        <bgColor rgb="FF4F81BD"/>
      </patternFill>
    </fill>
    <fill>
      <patternFill patternType="solid">
        <fgColor rgb="FFFFFFFF"/>
        <bgColor rgb="FFF0FAF0"/>
      </patternFill>
    </fill>
    <fill>
      <patternFill patternType="solid">
        <fgColor rgb="FFE2EFDA"/>
        <bgColor rgb="FFF2F2F2"/>
      </patternFill>
    </fill>
    <fill>
      <patternFill patternType="solid">
        <fgColor rgb="FFF2F2F2"/>
        <bgColor rgb="FFEEF6FF"/>
      </patternFill>
    </fill>
    <fill>
      <patternFill patternType="solid">
        <fgColor rgb="FFFFEB9C"/>
        <bgColor rgb="FFFFE0CC"/>
      </patternFill>
    </fill>
    <fill>
      <patternFill patternType="solid">
        <fgColor rgb="FFFFC7CE"/>
        <bgColor rgb="FFFFE0CC"/>
      </patternFill>
    </fill>
    <fill>
      <patternFill patternType="solid">
        <fgColor rgb="FFDDEEFF"/>
        <bgColor rgb="FFEEF6FF"/>
      </patternFill>
    </fill>
    <fill>
      <patternFill patternType="solid">
        <fgColor rgb="FF00B0A0"/>
        <bgColor rgb="FF33CCCC"/>
      </patternFill>
    </fill>
    <fill>
      <patternFill patternType="solid">
        <fgColor rgb="FFEEF6FF"/>
        <bgColor rgb="FFF2F2F2"/>
      </patternFill>
    </fill>
    <fill>
      <patternFill patternType="solid">
        <fgColor rgb="FFF0FAF0"/>
        <bgColor rgb="FFEEF6FF"/>
      </patternFill>
    </fill>
    <fill>
      <patternFill patternType="solid">
        <fgColor rgb="FFF4B942"/>
        <bgColor rgb="FFFF9900"/>
      </patternFill>
    </fill>
    <fill>
      <patternFill patternType="solid">
        <fgColor rgb="FFC6EFCE"/>
        <bgColor rgb="FFE2EFDA"/>
      </patternFill>
    </fill>
    <fill>
      <patternFill patternType="solid">
        <fgColor rgb="FFFF6666"/>
        <bgColor rgb="FFFF6600"/>
      </patternFill>
    </fill>
    <fill>
      <patternFill patternType="solid">
        <fgColor rgb="FFBDD7EE"/>
        <bgColor rgb="FFD9D9D9"/>
      </patternFill>
    </fill>
    <fill>
      <patternFill patternType="solid">
        <fgColor rgb="FFFFE0CC"/>
        <bgColor rgb="FFFFEB9C"/>
      </patternFill>
    </fill>
    <fill>
      <patternFill patternType="solid">
        <fgColor rgb="FFFF9999"/>
        <bgColor rgb="FFF4B942"/>
      </patternFill>
    </fill>
    <fill>
      <patternFill patternType="solid">
        <fgColor rgb="FF375623"/>
        <bgColor rgb="FF404040"/>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67">
    <xf numFmtId="0" fontId="0" fillId="0" borderId="0" xfId="0"/>
    <xf numFmtId="0" fontId="0" fillId="0" borderId="0" xfId="0" applyAlignment="1"/>
    <xf numFmtId="0" fontId="3" fillId="3" borderId="0" xfId="0" applyFont="1" applyFill="1" applyAlignment="1">
      <alignment horizontal="center" vertical="center" wrapText="1"/>
    </xf>
    <xf numFmtId="0" fontId="4" fillId="4" borderId="1" xfId="0"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4" fillId="4" borderId="1" xfId="0" applyFont="1" applyFill="1" applyBorder="1" applyAlignment="1">
      <alignment horizontal="left" vertical="center" wrapText="1"/>
    </xf>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164" fontId="4" fillId="6" borderId="1" xfId="0" applyNumberFormat="1" applyFont="1" applyFill="1" applyBorder="1" applyAlignment="1">
      <alignment horizontal="center" vertical="center" wrapText="1"/>
    </xf>
    <xf numFmtId="0" fontId="4" fillId="6"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8" fillId="9" borderId="1" xfId="0" applyFont="1" applyFill="1" applyBorder="1" applyAlignment="1">
      <alignment horizontal="center" vertical="center"/>
    </xf>
    <xf numFmtId="0" fontId="6" fillId="7" borderId="1" xfId="0" applyFont="1" applyFill="1" applyBorder="1" applyAlignment="1">
      <alignment horizontal="center" vertical="center" wrapText="1"/>
    </xf>
    <xf numFmtId="0" fontId="3" fillId="10" borderId="0" xfId="0" applyFont="1" applyFill="1" applyAlignment="1">
      <alignment horizontal="center" vertical="center" wrapText="1"/>
    </xf>
    <xf numFmtId="0" fontId="10" fillId="11" borderId="1" xfId="0" applyFont="1" applyFill="1" applyBorder="1" applyAlignment="1">
      <alignment horizontal="left" vertical="center" wrapText="1"/>
    </xf>
    <xf numFmtId="0" fontId="4" fillId="11" borderId="1" xfId="0" applyFont="1" applyFill="1" applyBorder="1" applyAlignment="1">
      <alignment horizontal="center" vertical="center" wrapText="1"/>
    </xf>
    <xf numFmtId="0" fontId="11" fillId="11" borderId="1" xfId="0" applyFont="1" applyFill="1" applyBorder="1" applyAlignment="1">
      <alignment horizontal="center"/>
    </xf>
    <xf numFmtId="2" fontId="12" fillId="11" borderId="1" xfId="0" applyNumberFormat="1" applyFont="1" applyFill="1" applyBorder="1" applyAlignment="1">
      <alignment horizontal="center"/>
    </xf>
    <xf numFmtId="2" fontId="11" fillId="11" borderId="1" xfId="0" applyNumberFormat="1" applyFont="1" applyFill="1" applyBorder="1" applyAlignment="1">
      <alignment horizontal="center"/>
    </xf>
    <xf numFmtId="165" fontId="5" fillId="5" borderId="1" xfId="0" applyNumberFormat="1" applyFont="1" applyFill="1" applyBorder="1" applyAlignment="1">
      <alignment horizontal="center"/>
    </xf>
    <xf numFmtId="165" fontId="6" fillId="7" borderId="1" xfId="0" applyNumberFormat="1" applyFont="1" applyFill="1" applyBorder="1" applyAlignment="1">
      <alignment horizontal="center"/>
    </xf>
    <xf numFmtId="165" fontId="7" fillId="8" borderId="1" xfId="0" applyNumberFormat="1" applyFont="1" applyFill="1" applyBorder="1" applyAlignment="1">
      <alignment horizontal="center"/>
    </xf>
    <xf numFmtId="0" fontId="10" fillId="9" borderId="1" xfId="0" applyFont="1" applyFill="1" applyBorder="1" applyAlignment="1">
      <alignment horizontal="left" vertical="center" wrapText="1"/>
    </xf>
    <xf numFmtId="0" fontId="4" fillId="9" borderId="1" xfId="0" applyFont="1" applyFill="1" applyBorder="1" applyAlignment="1">
      <alignment horizontal="center" vertical="center" wrapText="1"/>
    </xf>
    <xf numFmtId="0" fontId="11" fillId="9" borderId="1" xfId="0" applyFont="1" applyFill="1" applyBorder="1" applyAlignment="1">
      <alignment horizontal="center"/>
    </xf>
    <xf numFmtId="2" fontId="12" fillId="9" borderId="1" xfId="0" applyNumberFormat="1" applyFont="1" applyFill="1" applyBorder="1" applyAlignment="1">
      <alignment horizontal="center"/>
    </xf>
    <xf numFmtId="2" fontId="11" fillId="9" borderId="1" xfId="0" applyNumberFormat="1" applyFont="1" applyFill="1" applyBorder="1" applyAlignment="1">
      <alignment horizontal="center"/>
    </xf>
    <xf numFmtId="0" fontId="10" fillId="5"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11" fillId="5" borderId="1" xfId="0" applyFont="1" applyFill="1" applyBorder="1" applyAlignment="1">
      <alignment horizontal="center"/>
    </xf>
    <xf numFmtId="2" fontId="12" fillId="5" borderId="1" xfId="0" applyNumberFormat="1" applyFont="1" applyFill="1" applyBorder="1" applyAlignment="1">
      <alignment horizontal="center"/>
    </xf>
    <xf numFmtId="2" fontId="11" fillId="5" borderId="1" xfId="0" applyNumberFormat="1" applyFont="1" applyFill="1" applyBorder="1" applyAlignment="1">
      <alignment horizontal="center"/>
    </xf>
    <xf numFmtId="0" fontId="10" fillId="12"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11" fillId="12" borderId="1" xfId="0" applyFont="1" applyFill="1" applyBorder="1" applyAlignment="1">
      <alignment horizontal="center"/>
    </xf>
    <xf numFmtId="2" fontId="12" fillId="12" borderId="1" xfId="0" applyNumberFormat="1" applyFont="1" applyFill="1" applyBorder="1" applyAlignment="1">
      <alignment horizontal="center"/>
    </xf>
    <xf numFmtId="2" fontId="11" fillId="12" borderId="1" xfId="0" applyNumberFormat="1" applyFont="1" applyFill="1" applyBorder="1" applyAlignment="1">
      <alignment horizontal="center"/>
    </xf>
    <xf numFmtId="0" fontId="10" fillId="13" borderId="1" xfId="0" applyFont="1" applyFill="1" applyBorder="1" applyAlignment="1">
      <alignment horizontal="center"/>
    </xf>
    <xf numFmtId="2" fontId="13" fillId="13" borderId="1" xfId="0" applyNumberFormat="1" applyFont="1" applyFill="1" applyBorder="1" applyAlignment="1">
      <alignment horizontal="center"/>
    </xf>
    <xf numFmtId="165" fontId="10" fillId="13" borderId="1" xfId="0" applyNumberFormat="1" applyFont="1" applyFill="1" applyBorder="1" applyAlignment="1">
      <alignment horizontal="center"/>
    </xf>
    <xf numFmtId="0" fontId="14" fillId="5"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5" fillId="5" borderId="1" xfId="0" applyFont="1" applyFill="1" applyBorder="1" applyAlignment="1">
      <alignment horizontal="center"/>
    </xf>
    <xf numFmtId="0" fontId="14" fillId="14" borderId="1" xfId="0" applyFont="1" applyFill="1" applyBorder="1" applyAlignment="1">
      <alignment horizontal="center" vertical="center" wrapText="1"/>
    </xf>
    <xf numFmtId="0" fontId="4" fillId="14" borderId="1" xfId="0" applyFont="1" applyFill="1" applyBorder="1" applyAlignment="1">
      <alignment horizontal="left" vertical="center" wrapText="1"/>
    </xf>
    <xf numFmtId="0" fontId="5" fillId="14" borderId="1" xfId="0" applyFont="1" applyFill="1" applyBorder="1" applyAlignment="1">
      <alignment horizontal="center"/>
    </xf>
    <xf numFmtId="0" fontId="15" fillId="7" borderId="1" xfId="0" applyFont="1" applyFill="1" applyBorder="1" applyAlignment="1">
      <alignment horizontal="center" vertical="center" wrapText="1"/>
    </xf>
    <xf numFmtId="0" fontId="4" fillId="7" borderId="1" xfId="0" applyFont="1" applyFill="1" applyBorder="1" applyAlignment="1">
      <alignment horizontal="left" vertical="center" wrapText="1"/>
    </xf>
    <xf numFmtId="0" fontId="6" fillId="7" borderId="1" xfId="0" applyFont="1" applyFill="1" applyBorder="1" applyAlignment="1">
      <alignment horizontal="center"/>
    </xf>
    <xf numFmtId="0" fontId="16" fillId="8" borderId="1" xfId="0" applyFont="1" applyFill="1" applyBorder="1" applyAlignment="1">
      <alignment horizontal="center" vertical="center" wrapText="1"/>
    </xf>
    <xf numFmtId="0" fontId="4" fillId="8" borderId="1" xfId="0" applyFont="1" applyFill="1" applyBorder="1" applyAlignment="1">
      <alignment horizontal="left" vertical="center" wrapText="1"/>
    </xf>
    <xf numFmtId="0" fontId="7" fillId="8" borderId="1" xfId="0" applyFont="1" applyFill="1" applyBorder="1" applyAlignment="1">
      <alignment horizontal="center"/>
    </xf>
    <xf numFmtId="0" fontId="17" fillId="15" borderId="1" xfId="0" applyFont="1" applyFill="1" applyBorder="1" applyAlignment="1">
      <alignment horizontal="center" vertical="center" wrapText="1"/>
    </xf>
    <xf numFmtId="0" fontId="4" fillId="15" borderId="1" xfId="0" applyFont="1" applyFill="1" applyBorder="1" applyAlignment="1">
      <alignment horizontal="left" vertical="center" wrapText="1"/>
    </xf>
    <xf numFmtId="0" fontId="18" fillId="15" borderId="1" xfId="0" applyFont="1" applyFill="1" applyBorder="1" applyAlignment="1">
      <alignment horizontal="center"/>
    </xf>
    <xf numFmtId="0" fontId="19" fillId="3" borderId="1" xfId="0" applyFont="1" applyFill="1" applyBorder="1" applyAlignment="1">
      <alignment horizontal="center"/>
    </xf>
    <xf numFmtId="0" fontId="12" fillId="9" borderId="1" xfId="0" applyFont="1" applyFill="1" applyBorder="1" applyAlignment="1">
      <alignment horizontal="center"/>
    </xf>
    <xf numFmtId="2" fontId="8" fillId="16" borderId="1" xfId="0" applyNumberFormat="1" applyFont="1" applyFill="1" applyBorder="1" applyAlignment="1">
      <alignment horizontal="center"/>
    </xf>
    <xf numFmtId="0" fontId="12" fillId="5" borderId="1" xfId="0" applyFont="1" applyFill="1" applyBorder="1" applyAlignment="1">
      <alignment horizontal="center"/>
    </xf>
    <xf numFmtId="0" fontId="10" fillId="7" borderId="1" xfId="0" applyFont="1" applyFill="1" applyBorder="1" applyAlignment="1">
      <alignment horizontal="left" vertical="center" wrapText="1"/>
    </xf>
    <xf numFmtId="0" fontId="12" fillId="7" borderId="1" xfId="0" applyFont="1" applyFill="1" applyBorder="1" applyAlignment="1">
      <alignment horizontal="center"/>
    </xf>
    <xf numFmtId="2" fontId="11" fillId="7" borderId="1" xfId="0" applyNumberFormat="1" applyFont="1" applyFill="1" applyBorder="1" applyAlignment="1">
      <alignment horizontal="center"/>
    </xf>
    <xf numFmtId="0" fontId="10" fillId="17" borderId="1" xfId="0" applyFont="1" applyFill="1" applyBorder="1" applyAlignment="1">
      <alignment horizontal="left" vertical="center" wrapText="1"/>
    </xf>
    <xf numFmtId="0" fontId="12" fillId="17" borderId="1" xfId="0" applyFont="1" applyFill="1" applyBorder="1" applyAlignment="1">
      <alignment horizontal="center"/>
    </xf>
    <xf numFmtId="2" fontId="11" fillId="17" borderId="1" xfId="0" applyNumberFormat="1" applyFont="1" applyFill="1" applyBorder="1" applyAlignment="1">
      <alignment horizontal="center"/>
    </xf>
    <xf numFmtId="0" fontId="10" fillId="13" borderId="0" xfId="0" applyFont="1" applyFill="1" applyAlignment="1">
      <alignment horizontal="left" vertical="center" wrapText="1"/>
    </xf>
    <xf numFmtId="2" fontId="10" fillId="13" borderId="1" xfId="0" applyNumberFormat="1" applyFont="1" applyFill="1" applyBorder="1" applyAlignment="1">
      <alignment horizontal="center"/>
    </xf>
    <xf numFmtId="0" fontId="10" fillId="4" borderId="1" xfId="0" applyFont="1" applyFill="1" applyBorder="1" applyAlignment="1">
      <alignment horizontal="left" vertical="center" wrapText="1"/>
    </xf>
    <xf numFmtId="0" fontId="5" fillId="5" borderId="1" xfId="0" applyFont="1" applyFill="1" applyBorder="1" applyAlignment="1">
      <alignment horizontal="left"/>
    </xf>
    <xf numFmtId="2" fontId="5" fillId="5" borderId="1" xfId="0" applyNumberFormat="1" applyFont="1" applyFill="1" applyBorder="1" applyAlignment="1">
      <alignment horizontal="center"/>
    </xf>
    <xf numFmtId="0" fontId="7" fillId="8" borderId="1" xfId="0" applyFont="1" applyFill="1" applyBorder="1" applyAlignment="1">
      <alignment horizontal="left"/>
    </xf>
    <xf numFmtId="2" fontId="7" fillId="8" borderId="1" xfId="0" applyNumberFormat="1" applyFont="1" applyFill="1" applyBorder="1" applyAlignment="1">
      <alignment horizontal="center"/>
    </xf>
    <xf numFmtId="0" fontId="10" fillId="6"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14" fillId="5" borderId="1" xfId="0" applyFont="1" applyFill="1" applyBorder="1" applyAlignment="1">
      <alignment horizontal="center"/>
    </xf>
    <xf numFmtId="165" fontId="14" fillId="5" borderId="1" xfId="0" applyNumberFormat="1" applyFont="1" applyFill="1" applyBorder="1" applyAlignment="1">
      <alignment horizontal="center"/>
    </xf>
    <xf numFmtId="0" fontId="20" fillId="5" borderId="1" xfId="0" applyFont="1" applyFill="1" applyBorder="1" applyAlignment="1">
      <alignment horizontal="left" vertical="center" wrapText="1"/>
    </xf>
    <xf numFmtId="0" fontId="5" fillId="14" borderId="1" xfId="0" applyFont="1" applyFill="1" applyBorder="1" applyAlignment="1">
      <alignment horizontal="left" vertical="center" wrapText="1"/>
    </xf>
    <xf numFmtId="0" fontId="14" fillId="14" borderId="1" xfId="0" applyFont="1" applyFill="1" applyBorder="1" applyAlignment="1">
      <alignment horizontal="center"/>
    </xf>
    <xf numFmtId="165" fontId="14" fillId="14" borderId="1" xfId="0" applyNumberFormat="1" applyFont="1" applyFill="1" applyBorder="1" applyAlignment="1">
      <alignment horizontal="center"/>
    </xf>
    <xf numFmtId="0" fontId="20" fillId="14" borderId="1" xfId="0" applyFont="1" applyFill="1" applyBorder="1" applyAlignment="1">
      <alignment horizontal="left" vertical="center" wrapText="1"/>
    </xf>
    <xf numFmtId="0" fontId="5" fillId="14" borderId="1" xfId="0" applyFont="1" applyFill="1" applyBorder="1" applyAlignment="1">
      <alignment horizontal="center" vertical="center" wrapText="1"/>
    </xf>
    <xf numFmtId="0" fontId="6" fillId="7" borderId="1" xfId="0" applyFont="1" applyFill="1" applyBorder="1" applyAlignment="1">
      <alignment horizontal="left" vertical="center" wrapText="1"/>
    </xf>
    <xf numFmtId="0" fontId="15" fillId="7" borderId="1" xfId="0" applyFont="1" applyFill="1" applyBorder="1" applyAlignment="1">
      <alignment horizontal="center"/>
    </xf>
    <xf numFmtId="165" fontId="15" fillId="7" borderId="1" xfId="0" applyNumberFormat="1" applyFont="1" applyFill="1" applyBorder="1" applyAlignment="1">
      <alignment horizontal="center"/>
    </xf>
    <xf numFmtId="0" fontId="21" fillId="7" borderId="1" xfId="0" applyFont="1" applyFill="1" applyBorder="1" applyAlignment="1">
      <alignment horizontal="left" vertical="center" wrapText="1"/>
    </xf>
    <xf numFmtId="0" fontId="7" fillId="8" borderId="1" xfId="0" applyFont="1" applyFill="1" applyBorder="1" applyAlignment="1">
      <alignment horizontal="left" vertical="center" wrapText="1"/>
    </xf>
    <xf numFmtId="0" fontId="16" fillId="8" borderId="1" xfId="0" applyFont="1" applyFill="1" applyBorder="1" applyAlignment="1">
      <alignment horizontal="center"/>
    </xf>
    <xf numFmtId="165" fontId="16" fillId="8" borderId="1" xfId="0" applyNumberFormat="1" applyFont="1" applyFill="1" applyBorder="1" applyAlignment="1">
      <alignment horizontal="center"/>
    </xf>
    <xf numFmtId="0" fontId="22" fillId="8" borderId="1" xfId="0" applyFont="1" applyFill="1" applyBorder="1" applyAlignment="1">
      <alignment horizontal="left" vertical="center" wrapText="1"/>
    </xf>
    <xf numFmtId="0" fontId="7" fillId="8" borderId="1" xfId="0" applyFont="1" applyFill="1" applyBorder="1" applyAlignment="1">
      <alignment horizontal="center" vertical="center" wrapText="1"/>
    </xf>
    <xf numFmtId="0" fontId="18" fillId="18" borderId="1" xfId="0" applyFont="1" applyFill="1" applyBorder="1" applyAlignment="1">
      <alignment horizontal="left" vertical="center" wrapText="1"/>
    </xf>
    <xf numFmtId="0" fontId="17" fillId="18" borderId="1" xfId="0" applyFont="1" applyFill="1" applyBorder="1" applyAlignment="1">
      <alignment horizontal="center"/>
    </xf>
    <xf numFmtId="165" fontId="17" fillId="18" borderId="1" xfId="0" applyNumberFormat="1" applyFont="1" applyFill="1" applyBorder="1" applyAlignment="1">
      <alignment horizontal="center"/>
    </xf>
    <xf numFmtId="0" fontId="23" fillId="18" borderId="1" xfId="0" applyFont="1" applyFill="1" applyBorder="1" applyAlignment="1">
      <alignment horizontal="left" vertical="center" wrapText="1"/>
    </xf>
    <xf numFmtId="0" fontId="18" fillId="18" borderId="1" xfId="0" applyFont="1" applyFill="1" applyBorder="1" applyAlignment="1">
      <alignment horizontal="center" vertical="center" wrapText="1"/>
    </xf>
    <xf numFmtId="0" fontId="9" fillId="3" borderId="0" xfId="0" applyFont="1" applyFill="1" applyAlignment="1">
      <alignment horizontal="left" vertical="center" wrapText="1"/>
    </xf>
    <xf numFmtId="165" fontId="19" fillId="3" borderId="1" xfId="0" applyNumberFormat="1" applyFont="1" applyFill="1" applyBorder="1" applyAlignment="1">
      <alignment horizontal="center"/>
    </xf>
    <xf numFmtId="0" fontId="24" fillId="5" borderId="1" xfId="0" applyFont="1" applyFill="1" applyBorder="1" applyAlignment="1">
      <alignment horizontal="center"/>
    </xf>
    <xf numFmtId="165" fontId="11" fillId="5" borderId="1" xfId="0" applyNumberFormat="1" applyFont="1" applyFill="1" applyBorder="1" applyAlignment="1">
      <alignment horizontal="center"/>
    </xf>
    <xf numFmtId="0" fontId="25" fillId="5" borderId="1" xfId="0" applyFont="1" applyFill="1" applyBorder="1" applyAlignment="1">
      <alignment horizontal="left"/>
    </xf>
    <xf numFmtId="0" fontId="10" fillId="16" borderId="1" xfId="0" applyFont="1" applyFill="1" applyBorder="1" applyAlignment="1">
      <alignment horizontal="left" vertical="center" wrapText="1"/>
    </xf>
    <xf numFmtId="0" fontId="24" fillId="16" borderId="1" xfId="0" applyFont="1" applyFill="1" applyBorder="1" applyAlignment="1">
      <alignment horizontal="center"/>
    </xf>
    <xf numFmtId="165" fontId="11" fillId="16" borderId="1" xfId="0" applyNumberFormat="1" applyFont="1" applyFill="1" applyBorder="1" applyAlignment="1">
      <alignment horizontal="center"/>
    </xf>
    <xf numFmtId="0" fontId="25" fillId="16" borderId="1" xfId="0" applyFont="1" applyFill="1" applyBorder="1" applyAlignment="1">
      <alignment horizontal="left"/>
    </xf>
    <xf numFmtId="0" fontId="24" fillId="7" borderId="1" xfId="0" applyFont="1" applyFill="1" applyBorder="1" applyAlignment="1">
      <alignment horizontal="center"/>
    </xf>
    <xf numFmtId="165" fontId="11" fillId="7" borderId="1" xfId="0" applyNumberFormat="1" applyFont="1" applyFill="1" applyBorder="1" applyAlignment="1">
      <alignment horizontal="center"/>
    </xf>
    <xf numFmtId="0" fontId="25" fillId="7" borderId="1" xfId="0" applyFont="1" applyFill="1" applyBorder="1" applyAlignment="1">
      <alignment horizontal="left"/>
    </xf>
    <xf numFmtId="0" fontId="24" fillId="17" borderId="1" xfId="0" applyFont="1" applyFill="1" applyBorder="1" applyAlignment="1">
      <alignment horizontal="center"/>
    </xf>
    <xf numFmtId="165" fontId="11" fillId="17" borderId="1" xfId="0" applyNumberFormat="1" applyFont="1" applyFill="1" applyBorder="1" applyAlignment="1">
      <alignment horizontal="center"/>
    </xf>
    <xf numFmtId="0" fontId="25" fillId="17" borderId="1" xfId="0" applyFont="1" applyFill="1" applyBorder="1" applyAlignment="1">
      <alignment horizontal="left"/>
    </xf>
    <xf numFmtId="0" fontId="24" fillId="6" borderId="1" xfId="0" applyFont="1" applyFill="1" applyBorder="1" applyAlignment="1">
      <alignment horizontal="center"/>
    </xf>
    <xf numFmtId="165" fontId="11" fillId="6" borderId="1" xfId="0" applyNumberFormat="1" applyFont="1" applyFill="1" applyBorder="1" applyAlignment="1">
      <alignment horizontal="center"/>
    </xf>
    <xf numFmtId="0" fontId="25" fillId="6" borderId="1" xfId="0" applyFont="1" applyFill="1" applyBorder="1" applyAlignment="1">
      <alignment horizontal="left"/>
    </xf>
    <xf numFmtId="0" fontId="11" fillId="7" borderId="1" xfId="0" applyFont="1" applyFill="1" applyBorder="1" applyAlignment="1">
      <alignment horizontal="center"/>
    </xf>
    <xf numFmtId="0" fontId="11" fillId="17" borderId="1" xfId="0" applyFont="1" applyFill="1" applyBorder="1" applyAlignment="1">
      <alignment horizontal="center"/>
    </xf>
    <xf numFmtId="0" fontId="27" fillId="0" borderId="0" xfId="0" applyFont="1"/>
    <xf numFmtId="0" fontId="0" fillId="0" borderId="0" xfId="0" applyFont="1"/>
    <xf numFmtId="9" fontId="0" fillId="0" borderId="0" xfId="0" applyNumberFormat="1"/>
    <xf numFmtId="0" fontId="30" fillId="5" borderId="1" xfId="0" applyFont="1" applyFill="1" applyBorder="1" applyAlignment="1">
      <alignment horizontal="left" vertical="center" wrapText="1"/>
    </xf>
    <xf numFmtId="0" fontId="31" fillId="7" borderId="1" xfId="0" applyFont="1" applyFill="1" applyBorder="1" applyAlignment="1">
      <alignment horizontal="left" vertical="center" wrapText="1"/>
    </xf>
    <xf numFmtId="2" fontId="11" fillId="4" borderId="1" xfId="0" applyNumberFormat="1" applyFont="1" applyFill="1" applyBorder="1" applyAlignment="1">
      <alignment horizontal="center"/>
    </xf>
    <xf numFmtId="165" fontId="11" fillId="4" borderId="1" xfId="0" applyNumberFormat="1" applyFont="1" applyFill="1" applyBorder="1" applyAlignment="1">
      <alignment horizontal="center"/>
    </xf>
    <xf numFmtId="0" fontId="12" fillId="4" borderId="1" xfId="0" applyFont="1" applyFill="1" applyBorder="1" applyAlignment="1">
      <alignment horizontal="center"/>
    </xf>
    <xf numFmtId="2" fontId="11" fillId="6" borderId="1" xfId="0" applyNumberFormat="1" applyFont="1" applyFill="1" applyBorder="1" applyAlignment="1">
      <alignment horizontal="center"/>
    </xf>
    <xf numFmtId="0" fontId="12" fillId="6" borderId="1" xfId="0" applyFont="1" applyFill="1" applyBorder="1" applyAlignment="1">
      <alignment horizontal="center"/>
    </xf>
    <xf numFmtId="0" fontId="4" fillId="4" borderId="1" xfId="0" applyNumberFormat="1" applyFont="1" applyFill="1" applyBorder="1" applyAlignment="1">
      <alignment horizontal="center" vertical="center" wrapText="1"/>
    </xf>
    <xf numFmtId="0" fontId="4" fillId="6" borderId="1" xfId="0" applyNumberFormat="1" applyFont="1" applyFill="1" applyBorder="1" applyAlignment="1">
      <alignment horizontal="center" vertical="center" wrapText="1"/>
    </xf>
    <xf numFmtId="0" fontId="1" fillId="2" borderId="0" xfId="0" applyFont="1" applyFill="1" applyBorder="1" applyAlignment="1">
      <alignment horizontal="center" vertical="center"/>
    </xf>
    <xf numFmtId="0" fontId="2" fillId="3" borderId="0" xfId="0" applyFont="1" applyFill="1" applyBorder="1" applyAlignment="1">
      <alignment horizontal="center" vertical="center"/>
    </xf>
    <xf numFmtId="0" fontId="9" fillId="3" borderId="0" xfId="0" applyFont="1" applyFill="1" applyBorder="1" applyAlignment="1">
      <alignment horizontal="left" vertical="center" wrapText="1"/>
    </xf>
    <xf numFmtId="0" fontId="10" fillId="13" borderId="0" xfId="0" applyFont="1" applyFill="1" applyBorder="1" applyAlignment="1">
      <alignment horizontal="left" vertical="center" wrapText="1"/>
    </xf>
    <xf numFmtId="0" fontId="19" fillId="3" borderId="0" xfId="0" applyFont="1" applyFill="1" applyBorder="1" applyAlignment="1">
      <alignment horizontal="center" vertical="center" wrapText="1"/>
    </xf>
    <xf numFmtId="0" fontId="9" fillId="3" borderId="0" xfId="0" applyFont="1" applyFill="1" applyBorder="1" applyAlignment="1">
      <alignment horizontal="left" vertical="center" indent="1"/>
    </xf>
    <xf numFmtId="0" fontId="26" fillId="2" borderId="0" xfId="0" applyFont="1" applyFill="1" applyBorder="1" applyAlignment="1">
      <alignment horizontal="center" vertical="center"/>
    </xf>
    <xf numFmtId="1" fontId="29" fillId="3" borderId="0" xfId="0" applyNumberFormat="1" applyFont="1" applyFill="1" applyBorder="1" applyAlignment="1">
      <alignment horizontal="center" vertical="center"/>
    </xf>
    <xf numFmtId="2" fontId="29" fillId="10" borderId="0" xfId="0" applyNumberFormat="1" applyFont="1" applyFill="1" applyBorder="1" applyAlignment="1">
      <alignment horizontal="center" vertical="center"/>
    </xf>
    <xf numFmtId="165" fontId="29" fillId="19" borderId="0" xfId="0" applyNumberFormat="1" applyFont="1" applyFill="1" applyBorder="1" applyAlignment="1">
      <alignment horizontal="center" vertical="center"/>
    </xf>
    <xf numFmtId="165" fontId="29" fillId="13" borderId="0" xfId="0" applyNumberFormat="1" applyFont="1" applyFill="1" applyBorder="1" applyAlignment="1">
      <alignment horizontal="center" vertical="center"/>
    </xf>
    <xf numFmtId="0" fontId="28" fillId="2" borderId="0" xfId="0" applyFont="1" applyFill="1" applyBorder="1" applyAlignment="1">
      <alignment horizontal="center" vertical="center"/>
    </xf>
    <xf numFmtId="0" fontId="19" fillId="10" borderId="0" xfId="0" applyFont="1" applyFill="1" applyBorder="1" applyAlignment="1">
      <alignment horizontal="center" vertical="center" wrapText="1"/>
    </xf>
    <xf numFmtId="0" fontId="19" fillId="19" borderId="0" xfId="0" applyFont="1" applyFill="1" applyBorder="1" applyAlignment="1">
      <alignment horizontal="center" vertical="center" wrapText="1"/>
    </xf>
    <xf numFmtId="0" fontId="19" fillId="13" borderId="0" xfId="0" applyFont="1" applyFill="1" applyBorder="1" applyAlignment="1">
      <alignment horizontal="center" vertical="center" wrapText="1"/>
    </xf>
    <xf numFmtId="0" fontId="0" fillId="0" borderId="0" xfId="0" applyBorder="1" applyAlignment="1"/>
    <xf numFmtId="0" fontId="4" fillId="6" borderId="0" xfId="0" applyFont="1" applyFill="1" applyBorder="1" applyAlignment="1">
      <alignment horizontal="left" vertical="center" wrapText="1" indent="2"/>
    </xf>
    <xf numFmtId="0" fontId="4" fillId="4" borderId="0" xfId="0" applyFont="1" applyFill="1" applyBorder="1" applyAlignment="1">
      <alignment horizontal="left" vertical="center" wrapText="1" indent="3"/>
    </xf>
    <xf numFmtId="0" fontId="10" fillId="6" borderId="0" xfId="0" applyFont="1" applyFill="1" applyBorder="1" applyAlignment="1">
      <alignment horizontal="left" vertical="center" wrapText="1" indent="2"/>
    </xf>
    <xf numFmtId="0" fontId="32" fillId="2" borderId="0" xfId="0" applyFont="1" applyFill="1" applyBorder="1" applyAlignment="1">
      <alignment horizontal="left" vertical="center" indent="1"/>
    </xf>
    <xf numFmtId="0" fontId="10" fillId="7" borderId="0" xfId="0" applyFont="1" applyFill="1" applyBorder="1" applyAlignment="1">
      <alignment horizontal="left" vertical="center" wrapText="1" indent="2"/>
    </xf>
    <xf numFmtId="0" fontId="10" fillId="5" borderId="0" xfId="0" applyFont="1" applyFill="1" applyBorder="1" applyAlignment="1">
      <alignment horizontal="left" vertical="center" wrapText="1" indent="2"/>
    </xf>
    <xf numFmtId="0" fontId="10" fillId="8" borderId="0" xfId="0" applyFont="1" applyFill="1" applyBorder="1" applyAlignment="1">
      <alignment horizontal="left" vertical="center" wrapText="1" indent="2"/>
    </xf>
    <xf numFmtId="0" fontId="21" fillId="7" borderId="0" xfId="0" applyFont="1" applyFill="1" applyBorder="1" applyAlignment="1">
      <alignment horizontal="left" vertical="center" wrapText="1" indent="2"/>
    </xf>
    <xf numFmtId="0" fontId="20" fillId="5" borderId="0" xfId="0" applyFont="1" applyFill="1" applyBorder="1" applyAlignment="1">
      <alignment horizontal="left" vertical="center" wrapText="1" indent="2"/>
    </xf>
    <xf numFmtId="0" fontId="4" fillId="4" borderId="0" xfId="0" applyFont="1" applyFill="1" applyBorder="1" applyAlignment="1">
      <alignment horizontal="left" vertical="center" wrapText="1" indent="4"/>
    </xf>
    <xf numFmtId="0" fontId="10" fillId="6" borderId="0" xfId="0" applyFont="1" applyFill="1" applyBorder="1" applyAlignment="1">
      <alignment horizontal="left" vertical="center" wrapText="1" indent="3"/>
    </xf>
    <xf numFmtId="0" fontId="10" fillId="4" borderId="0" xfId="0" applyFont="1" applyFill="1" applyBorder="1" applyAlignment="1">
      <alignment horizontal="left" vertical="center" wrapText="1" indent="3"/>
    </xf>
    <xf numFmtId="0" fontId="10" fillId="4" borderId="0" xfId="0" applyFont="1" applyFill="1" applyBorder="1" applyAlignment="1">
      <alignment horizontal="left" vertical="center" wrapText="1" indent="2"/>
    </xf>
    <xf numFmtId="0" fontId="4" fillId="4" borderId="0" xfId="0" applyFont="1" applyFill="1" applyBorder="1" applyAlignment="1">
      <alignment horizontal="left" vertical="center" wrapText="1" indent="2"/>
    </xf>
    <xf numFmtId="0" fontId="10" fillId="5" borderId="0" xfId="0" applyFont="1" applyFill="1" applyBorder="1" applyAlignment="1">
      <alignment horizontal="left" vertical="center" wrapText="1" indent="3"/>
    </xf>
    <xf numFmtId="0" fontId="10" fillId="16" borderId="0" xfId="0" applyFont="1" applyFill="1" applyBorder="1" applyAlignment="1">
      <alignment horizontal="left" vertical="center" wrapText="1" indent="3"/>
    </xf>
    <xf numFmtId="0" fontId="0" fillId="0" borderId="0" xfId="0" applyAlignment="1">
      <alignment horizontal="center"/>
    </xf>
    <xf numFmtId="0" fontId="27" fillId="0" borderId="0" xfId="0" applyFont="1" applyAlignment="1">
      <alignment horizontal="center"/>
    </xf>
    <xf numFmtId="2" fontId="0" fillId="0" borderId="0" xfId="0" applyNumberFormat="1" applyAlignment="1">
      <alignment horizontal="center"/>
    </xf>
    <xf numFmtId="0" fontId="0" fillId="0" borderId="0" xfId="0" applyFont="1" applyAlignment="1">
      <alignment horizontal="center"/>
    </xf>
    <xf numFmtId="9" fontId="0" fillId="0" borderId="0" xfId="0" applyNumberFormat="1"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E2EFDA"/>
      <rgbColor rgb="FFFF00FF"/>
      <rgbColor rgb="FF00FFFF"/>
      <rgbColor rgb="FF660000"/>
      <rgbColor rgb="FF008000"/>
      <rgbColor rgb="FF000080"/>
      <rgbColor rgb="FF808000"/>
      <rgbColor rgb="FF800080"/>
      <rgbColor rgb="FF008080"/>
      <rgbColor rgb="FFBFBFBF"/>
      <rgbColor rgb="FF808080"/>
      <rgbColor rgb="FF9999FF"/>
      <rgbColor rgb="FF993366"/>
      <rgbColor rgb="FFF0FAF0"/>
      <rgbColor rgb="FFDDEEFF"/>
      <rgbColor rgb="FF660066"/>
      <rgbColor rgb="FFFF6666"/>
      <rgbColor rgb="FF0066CC"/>
      <rgbColor rgb="FFBDD7EE"/>
      <rgbColor rgb="FF000080"/>
      <rgbColor rgb="FFFF00FF"/>
      <rgbColor rgb="FFF2F2F2"/>
      <rgbColor rgb="FF00FFFF"/>
      <rgbColor rgb="FF800080"/>
      <rgbColor rgb="FF9C0006"/>
      <rgbColor rgb="FF008080"/>
      <rgbColor rgb="FF0000FF"/>
      <rgbColor rgb="FF00B0A0"/>
      <rgbColor rgb="FFEEF6FF"/>
      <rgbColor rgb="FFC6EFCE"/>
      <rgbColor rgb="FFFFEB9C"/>
      <rgbColor rgb="FFD9D9D9"/>
      <rgbColor rgb="FFFF9999"/>
      <rgbColor rgb="FFFFE0CC"/>
      <rgbColor rgb="FFFFC7CE"/>
      <rgbColor rgb="FF2E75B6"/>
      <rgbColor rgb="FF33CCCC"/>
      <rgbColor rgb="FF99CC00"/>
      <rgbColor rgb="FFF4B942"/>
      <rgbColor rgb="FFFF9900"/>
      <rgbColor rgb="FFFF6600"/>
      <rgbColor rgb="FF4F81BD"/>
      <rgbColor rgb="FFB3B3B3"/>
      <rgbColor rgb="FF1F3864"/>
      <rgbColor rgb="FF339966"/>
      <rgbColor rgb="FF003300"/>
      <rgbColor rgb="FF375623"/>
      <rgbColor rgb="FF9C57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Promedio de Satisfacción por Dimensión</a:t>
            </a:r>
          </a:p>
        </c:rich>
      </c:tx>
      <c:overlay val="0"/>
      <c:spPr>
        <a:noFill/>
        <a:ln w="0">
          <a:noFill/>
        </a:ln>
      </c:spPr>
    </c:title>
    <c:autoTitleDeleted val="0"/>
    <c:plotArea>
      <c:layout/>
      <c:barChart>
        <c:barDir val="bar"/>
        <c:grouping val="clustered"/>
        <c:varyColors val="0"/>
        <c:ser>
          <c:idx val="0"/>
          <c:order val="0"/>
          <c:tx>
            <c:strRef>
              <c:f>Gráficos!$S$2</c:f>
              <c:strCache>
                <c:ptCount val="1"/>
                <c:pt idx="0">
                  <c:v>Promedio</c:v>
                </c:pt>
              </c:strCache>
            </c:strRef>
          </c:tx>
          <c:spPr>
            <a:solidFill>
              <a:srgbClr val="2E75B6"/>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Calibri"/>
                  </a:defRPr>
                </a:pPr>
                <a:endParaRPr lang="es-CO"/>
              </a:p>
            </c:txPr>
            <c:dLblPos val="outEnd"/>
            <c:showLegendKey val="1"/>
            <c:showVal val="1"/>
            <c:showCatName val="1"/>
            <c:showSerName val="1"/>
            <c:showPercent val="0"/>
            <c:showBubbleSize val="1"/>
            <c:separator>; </c:separator>
            <c:showLeaderLines val="0"/>
            <c:extLst>
              <c:ext xmlns:c15="http://schemas.microsoft.com/office/drawing/2012/chart" uri="{CE6537A1-D6FC-4f65-9D91-7224C49458BB}">
                <c15:showLeaderLines val="1"/>
              </c:ext>
            </c:extLst>
          </c:dLbls>
          <c:cat>
            <c:strRef>
              <c:f>Gráficos!$R$3:$R$11</c:f>
              <c:strCache>
                <c:ptCount val="9"/>
                <c:pt idx="0">
                  <c:v>Acomp. Organizadores</c:v>
                </c:pt>
                <c:pt idx="1">
                  <c:v>Organización Evento</c:v>
                </c:pt>
                <c:pt idx="2">
                  <c:v>Logística</c:v>
                </c:pt>
                <c:pt idx="3">
                  <c:v>Gestión Público</c:v>
                </c:pt>
                <c:pt idx="4">
                  <c:v>Prom./Publicidad</c:v>
                </c:pt>
                <c:pt idx="5">
                  <c:v>Ventas</c:v>
                </c:pt>
                <c:pt idx="6">
                  <c:v>Nuevos Clientes</c:v>
                </c:pt>
                <c:pt idx="7">
                  <c:v>Visibilidad</c:v>
                </c:pt>
                <c:pt idx="8">
                  <c:v>Resultados Generales</c:v>
                </c:pt>
              </c:strCache>
            </c:strRef>
          </c:cat>
          <c:val>
            <c:numRef>
              <c:f>Gráficos!$S$3:$S$11</c:f>
              <c:numCache>
                <c:formatCode>0.00</c:formatCode>
                <c:ptCount val="9"/>
                <c:pt idx="0">
                  <c:v>4.71</c:v>
                </c:pt>
                <c:pt idx="1">
                  <c:v>4.78</c:v>
                </c:pt>
                <c:pt idx="2">
                  <c:v>4.67</c:v>
                </c:pt>
                <c:pt idx="3">
                  <c:v>4.43</c:v>
                </c:pt>
                <c:pt idx="4">
                  <c:v>4.2699999999999996</c:v>
                </c:pt>
                <c:pt idx="5">
                  <c:v>4.33</c:v>
                </c:pt>
                <c:pt idx="6">
                  <c:v>4.1399999999999997</c:v>
                </c:pt>
                <c:pt idx="7">
                  <c:v>4.37</c:v>
                </c:pt>
                <c:pt idx="8">
                  <c:v>4.45</c:v>
                </c:pt>
              </c:numCache>
            </c:numRef>
          </c:val>
          <c:extLst>
            <c:ext xmlns:c16="http://schemas.microsoft.com/office/drawing/2014/chart" uri="{C3380CC4-5D6E-409C-BE32-E72D297353CC}">
              <c16:uniqueId val="{00000000-8E1F-418B-9FA0-5787F9603DDF}"/>
            </c:ext>
          </c:extLst>
        </c:ser>
        <c:dLbls>
          <c:showLegendKey val="0"/>
          <c:showVal val="0"/>
          <c:showCatName val="0"/>
          <c:showSerName val="0"/>
          <c:showPercent val="0"/>
          <c:showBubbleSize val="0"/>
        </c:dLbls>
        <c:gapWidth val="150"/>
        <c:axId val="33337703"/>
        <c:axId val="48172064"/>
      </c:barChart>
      <c:catAx>
        <c:axId val="33337703"/>
        <c:scaling>
          <c:orientation val="minMax"/>
        </c:scaling>
        <c:delete val="0"/>
        <c:axPos val="l"/>
        <c:title>
          <c:tx>
            <c:rich>
              <a:bodyPr rot="-5400000"/>
              <a:lstStyle/>
              <a:p>
                <a:pPr>
                  <a:defRPr sz="1000" b="1" strike="noStrike" spc="-1">
                    <a:solidFill>
                      <a:srgbClr val="000000"/>
                    </a:solidFill>
                    <a:latin typeface="Calibri"/>
                  </a:defRPr>
                </a:pPr>
                <a:r>
                  <a:rPr lang="es-CO" sz="1000" b="1" strike="noStrike" spc="-1">
                    <a:solidFill>
                      <a:srgbClr val="000000"/>
                    </a:solidFill>
                    <a:latin typeface="Calibri"/>
                  </a:rPr>
                  <a:t>Puntuación promedio (1-5)</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48172064"/>
        <c:crosses val="autoZero"/>
        <c:auto val="1"/>
        <c:lblAlgn val="ctr"/>
        <c:lblOffset val="100"/>
        <c:noMultiLvlLbl val="0"/>
      </c:catAx>
      <c:valAx>
        <c:axId val="48172064"/>
        <c:scaling>
          <c:orientation val="minMax"/>
        </c:scaling>
        <c:delete val="0"/>
        <c:axPos val="b"/>
        <c:numFmt formatCode="0.00"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33337703"/>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Distribución por Género</a:t>
            </a:r>
          </a:p>
        </c:rich>
      </c:tx>
      <c:overlay val="0"/>
      <c:spPr>
        <a:noFill/>
        <a:ln w="0">
          <a:noFill/>
        </a:ln>
      </c:spPr>
    </c:title>
    <c:autoTitleDeleted val="0"/>
    <c:plotArea>
      <c:layout/>
      <c:pieChart>
        <c:varyColors val="1"/>
        <c:ser>
          <c:idx val="0"/>
          <c:order val="0"/>
          <c:tx>
            <c:strRef>
              <c:f>Gráficos!$S$13</c:f>
              <c:strCache>
                <c:ptCount val="1"/>
                <c:pt idx="0">
                  <c:v>Cantidad</c:v>
                </c:pt>
              </c:strCache>
            </c:strRef>
          </c:tx>
          <c:spPr>
            <a:solidFill>
              <a:srgbClr val="4F81BD"/>
            </a:solidFill>
            <a:ln w="0">
              <a:solidFill>
                <a:srgbClr val="000000"/>
              </a:solidFill>
            </a:ln>
          </c:spPr>
          <c:dPt>
            <c:idx val="0"/>
            <c:bubble3D val="0"/>
            <c:spPr>
              <a:solidFill>
                <a:srgbClr val="00B0A0"/>
              </a:solidFill>
              <a:ln w="0">
                <a:solidFill>
                  <a:srgbClr val="000000"/>
                </a:solidFill>
              </a:ln>
            </c:spPr>
            <c:extLst>
              <c:ext xmlns:c16="http://schemas.microsoft.com/office/drawing/2014/chart" uri="{C3380CC4-5D6E-409C-BE32-E72D297353CC}">
                <c16:uniqueId val="{00000001-1D0C-4E34-9BC1-0AD2B129C46C}"/>
              </c:ext>
            </c:extLst>
          </c:dPt>
          <c:dPt>
            <c:idx val="1"/>
            <c:bubble3D val="0"/>
            <c:spPr>
              <a:solidFill>
                <a:srgbClr val="2E75B6"/>
              </a:solidFill>
              <a:ln w="0">
                <a:solidFill>
                  <a:srgbClr val="000000"/>
                </a:solidFill>
              </a:ln>
            </c:spPr>
            <c:extLst>
              <c:ext xmlns:c16="http://schemas.microsoft.com/office/drawing/2014/chart" uri="{C3380CC4-5D6E-409C-BE32-E72D297353CC}">
                <c16:uniqueId val="{00000003-1D0C-4E34-9BC1-0AD2B129C46C}"/>
              </c:ext>
            </c:extLst>
          </c:dPt>
          <c:dLbls>
            <c:dLbl>
              <c:idx val="0"/>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extLst>
                <c:ext xmlns:c15="http://schemas.microsoft.com/office/drawing/2012/chart" uri="{CE6537A1-D6FC-4f65-9D91-7224C49458BB}"/>
                <c:ext xmlns:c16="http://schemas.microsoft.com/office/drawing/2014/chart" uri="{C3380CC4-5D6E-409C-BE32-E72D297353CC}">
                  <c16:uniqueId val="{00000001-1D0C-4E34-9BC1-0AD2B129C46C}"/>
                </c:ext>
              </c:extLst>
            </c:dLbl>
            <c:dLbl>
              <c:idx val="1"/>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extLst>
                <c:ext xmlns:c15="http://schemas.microsoft.com/office/drawing/2012/chart" uri="{CE6537A1-D6FC-4f65-9D91-7224C49458BB}"/>
                <c:ext xmlns:c16="http://schemas.microsoft.com/office/drawing/2014/chart" uri="{C3380CC4-5D6E-409C-BE32-E72D297353CC}">
                  <c16:uniqueId val="{00000003-1D0C-4E34-9BC1-0AD2B129C46C}"/>
                </c:ext>
              </c:extLst>
            </c:dLbl>
            <c:spPr>
              <a:noFill/>
              <a:ln>
                <a:noFill/>
              </a:ln>
              <a:effectLst/>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separator>; </c:separator>
            <c:showLeaderLines val="1"/>
            <c:extLst>
              <c:ext xmlns:c15="http://schemas.microsoft.com/office/drawing/2012/chart" uri="{CE6537A1-D6FC-4f65-9D91-7224C49458BB}"/>
            </c:extLst>
          </c:dLbls>
          <c:cat>
            <c:strRef>
              <c:f>Gráficos!$R$14:$R$15</c:f>
              <c:strCache>
                <c:ptCount val="2"/>
                <c:pt idx="0">
                  <c:v>Femenino</c:v>
                </c:pt>
                <c:pt idx="1">
                  <c:v>Masculino</c:v>
                </c:pt>
              </c:strCache>
            </c:strRef>
          </c:cat>
          <c:val>
            <c:numRef>
              <c:f>Gráficos!$S$14:$S$15</c:f>
              <c:numCache>
                <c:formatCode>General</c:formatCode>
                <c:ptCount val="2"/>
                <c:pt idx="0">
                  <c:v>45</c:v>
                </c:pt>
                <c:pt idx="1">
                  <c:v>4</c:v>
                </c:pt>
              </c:numCache>
            </c:numRef>
          </c:val>
          <c:extLst>
            <c:ext xmlns:c16="http://schemas.microsoft.com/office/drawing/2014/chart" uri="{C3380CC4-5D6E-409C-BE32-E72D297353CC}">
              <c16:uniqueId val="{00000004-1D0C-4E34-9BC1-0AD2B129C46C}"/>
            </c:ext>
          </c:extLst>
        </c:ser>
        <c:dLbls>
          <c:showLegendKey val="0"/>
          <c:showVal val="0"/>
          <c:showCatName val="0"/>
          <c:showSerName val="0"/>
          <c:showPercent val="0"/>
          <c:showBubbleSize val="0"/>
          <c:showLeaderLines val="1"/>
        </c:dLbls>
        <c:firstSliceAng val="0"/>
      </c:pieChart>
      <c:spPr>
        <a:noFill/>
        <a:ln w="0">
          <a:noFill/>
        </a:ln>
      </c:spPr>
    </c:plotArea>
    <c:legend>
      <c:legendPos val="r"/>
      <c:overlay val="0"/>
      <c:spPr>
        <a:noFill/>
        <a:ln w="0">
          <a:noFill/>
        </a:ln>
      </c:spPr>
      <c:txPr>
        <a:bodyPr/>
        <a:lstStyle/>
        <a:p>
          <a:pPr>
            <a:defRPr sz="1000" b="0" strike="noStrike" spc="-1">
              <a:solidFill>
                <a:srgbClr val="000000"/>
              </a:solidFill>
              <a:latin typeface="Calibri"/>
            </a:defRPr>
          </a:pPr>
          <a:endParaRPr lang="es-CO"/>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¿Participaría Nuevamente?</a:t>
            </a:r>
          </a:p>
        </c:rich>
      </c:tx>
      <c:overlay val="0"/>
      <c:spPr>
        <a:noFill/>
        <a:ln w="0">
          <a:noFill/>
        </a:ln>
      </c:spPr>
    </c:title>
    <c:autoTitleDeleted val="0"/>
    <c:plotArea>
      <c:layout/>
      <c:pieChart>
        <c:varyColors val="1"/>
        <c:ser>
          <c:idx val="0"/>
          <c:order val="0"/>
          <c:tx>
            <c:strRef>
              <c:f>Gráficos!$S$33</c:f>
              <c:strCache>
                <c:ptCount val="1"/>
                <c:pt idx="0">
                  <c:v>N</c:v>
                </c:pt>
              </c:strCache>
            </c:strRef>
          </c:tx>
          <c:spPr>
            <a:solidFill>
              <a:srgbClr val="4F81BD"/>
            </a:solidFill>
            <a:ln w="0">
              <a:solidFill>
                <a:srgbClr val="000000"/>
              </a:solidFill>
            </a:ln>
          </c:spPr>
          <c:dPt>
            <c:idx val="0"/>
            <c:bubble3D val="0"/>
            <c:spPr>
              <a:solidFill>
                <a:srgbClr val="375623"/>
              </a:solidFill>
              <a:ln w="0">
                <a:solidFill>
                  <a:srgbClr val="000000"/>
                </a:solidFill>
              </a:ln>
            </c:spPr>
            <c:extLst>
              <c:ext xmlns:c16="http://schemas.microsoft.com/office/drawing/2014/chart" uri="{C3380CC4-5D6E-409C-BE32-E72D297353CC}">
                <c16:uniqueId val="{00000001-B8F2-42C5-8D64-4DACB9DF5D96}"/>
              </c:ext>
            </c:extLst>
          </c:dPt>
          <c:dPt>
            <c:idx val="1"/>
            <c:bubble3D val="0"/>
            <c:spPr>
              <a:solidFill>
                <a:srgbClr val="F4B942"/>
              </a:solidFill>
              <a:ln w="0">
                <a:solidFill>
                  <a:srgbClr val="000000"/>
                </a:solidFill>
              </a:ln>
            </c:spPr>
            <c:extLst>
              <c:ext xmlns:c16="http://schemas.microsoft.com/office/drawing/2014/chart" uri="{C3380CC4-5D6E-409C-BE32-E72D297353CC}">
                <c16:uniqueId val="{00000003-B8F2-42C5-8D64-4DACB9DF5D96}"/>
              </c:ext>
            </c:extLst>
          </c:dPt>
          <c:dLbls>
            <c:dLbl>
              <c:idx val="0"/>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extLst>
                <c:ext xmlns:c15="http://schemas.microsoft.com/office/drawing/2012/chart" uri="{CE6537A1-D6FC-4f65-9D91-7224C49458BB}"/>
                <c:ext xmlns:c16="http://schemas.microsoft.com/office/drawing/2014/chart" uri="{C3380CC4-5D6E-409C-BE32-E72D297353CC}">
                  <c16:uniqueId val="{00000001-B8F2-42C5-8D64-4DACB9DF5D96}"/>
                </c:ext>
              </c:extLst>
            </c:dLbl>
            <c:dLbl>
              <c:idx val="1"/>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extLst>
                <c:ext xmlns:c15="http://schemas.microsoft.com/office/drawing/2012/chart" uri="{CE6537A1-D6FC-4f65-9D91-7224C49458BB}"/>
                <c:ext xmlns:c16="http://schemas.microsoft.com/office/drawing/2014/chart" uri="{C3380CC4-5D6E-409C-BE32-E72D297353CC}">
                  <c16:uniqueId val="{00000003-B8F2-42C5-8D64-4DACB9DF5D96}"/>
                </c:ext>
              </c:extLst>
            </c:dLbl>
            <c:spPr>
              <a:noFill/>
              <a:ln>
                <a:noFill/>
              </a:ln>
              <a:effectLst/>
            </c:spPr>
            <c:txPr>
              <a:bodyPr wrap="square"/>
              <a:lstStyle/>
              <a:p>
                <a:pPr>
                  <a:defRPr sz="1000" b="0" strike="noStrike" spc="-1">
                    <a:solidFill>
                      <a:srgbClr val="000000"/>
                    </a:solidFill>
                    <a:latin typeface="Calibri"/>
                  </a:defRPr>
                </a:pPr>
                <a:endParaRPr lang="es-CO"/>
              </a:p>
            </c:txPr>
            <c:dLblPos val="bestFit"/>
            <c:showLegendKey val="1"/>
            <c:showVal val="1"/>
            <c:showCatName val="1"/>
            <c:showSerName val="1"/>
            <c:showPercent val="1"/>
            <c:showBubbleSize val="1"/>
            <c:separator>; </c:separator>
            <c:showLeaderLines val="1"/>
            <c:extLst>
              <c:ext xmlns:c15="http://schemas.microsoft.com/office/drawing/2012/chart" uri="{CE6537A1-D6FC-4f65-9D91-7224C49458BB}"/>
            </c:extLst>
          </c:dLbls>
          <c:cat>
            <c:strRef>
              <c:f>Gráficos!$R$34:$R$35</c:f>
              <c:strCache>
                <c:ptCount val="2"/>
                <c:pt idx="0">
                  <c:v>Definitivamente sí</c:v>
                </c:pt>
                <c:pt idx="1">
                  <c:v>No estoy seguro(a)</c:v>
                </c:pt>
              </c:strCache>
            </c:strRef>
          </c:cat>
          <c:val>
            <c:numRef>
              <c:f>Gráficos!$S$34:$S$35</c:f>
              <c:numCache>
                <c:formatCode>General</c:formatCode>
                <c:ptCount val="2"/>
                <c:pt idx="0">
                  <c:v>48</c:v>
                </c:pt>
                <c:pt idx="1">
                  <c:v>1</c:v>
                </c:pt>
              </c:numCache>
            </c:numRef>
          </c:val>
          <c:extLst>
            <c:ext xmlns:c16="http://schemas.microsoft.com/office/drawing/2014/chart" uri="{C3380CC4-5D6E-409C-BE32-E72D297353CC}">
              <c16:uniqueId val="{00000004-B8F2-42C5-8D64-4DACB9DF5D96}"/>
            </c:ext>
          </c:extLst>
        </c:ser>
        <c:dLbls>
          <c:showLegendKey val="0"/>
          <c:showVal val="0"/>
          <c:showCatName val="0"/>
          <c:showSerName val="0"/>
          <c:showPercent val="0"/>
          <c:showBubbleSize val="0"/>
          <c:showLeaderLines val="1"/>
        </c:dLbls>
        <c:firstSliceAng val="0"/>
      </c:pieChart>
      <c:spPr>
        <a:noFill/>
        <a:ln w="0">
          <a:noFill/>
        </a:ln>
      </c:spPr>
    </c:plotArea>
    <c:legend>
      <c:legendPos val="r"/>
      <c:overlay val="0"/>
      <c:spPr>
        <a:noFill/>
        <a:ln w="0">
          <a:noFill/>
        </a:ln>
      </c:spPr>
      <c:txPr>
        <a:bodyPr/>
        <a:lstStyle/>
        <a:p>
          <a:pPr>
            <a:defRPr sz="1000" b="0" strike="noStrike" spc="-1">
              <a:solidFill>
                <a:srgbClr val="000000"/>
              </a:solidFill>
              <a:latin typeface="Calibri"/>
            </a:defRPr>
          </a:pPr>
          <a:endParaRPr lang="es-CO"/>
        </a:p>
      </c:txPr>
    </c:legend>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Expositores por Sector</a:t>
            </a:r>
          </a:p>
        </c:rich>
      </c:tx>
      <c:overlay val="0"/>
      <c:spPr>
        <a:noFill/>
        <a:ln w="0">
          <a:noFill/>
        </a:ln>
      </c:spPr>
    </c:title>
    <c:autoTitleDeleted val="0"/>
    <c:plotArea>
      <c:layout/>
      <c:barChart>
        <c:barDir val="bar"/>
        <c:grouping val="clustered"/>
        <c:varyColors val="0"/>
        <c:ser>
          <c:idx val="0"/>
          <c:order val="0"/>
          <c:tx>
            <c:strRef>
              <c:f>Gráficos!$S$17</c:f>
              <c:strCache>
                <c:ptCount val="1"/>
                <c:pt idx="0">
                  <c:v>N</c:v>
                </c:pt>
              </c:strCache>
            </c:strRef>
          </c:tx>
          <c:spPr>
            <a:solidFill>
              <a:srgbClr val="00B0A0"/>
            </a:solidFill>
            <a:ln w="0">
              <a:solidFill>
                <a:srgbClr val="000000"/>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Gráficos!$R$18:$R$23</c:f>
              <c:strCache>
                <c:ptCount val="6"/>
                <c:pt idx="0">
                  <c:v>Moda y accesorios</c:v>
                </c:pt>
                <c:pt idx="1">
                  <c:v>Artesanias</c:v>
                </c:pt>
                <c:pt idx="2">
                  <c:v>Alimentos</c:v>
                </c:pt>
                <c:pt idx="4">
                  <c:v>Artesanias, Moda y accesorios</c:v>
                </c:pt>
                <c:pt idx="5">
                  <c:v>Servicios</c:v>
                </c:pt>
              </c:strCache>
            </c:strRef>
          </c:cat>
          <c:val>
            <c:numRef>
              <c:f>Gráficos!$S$18:$S$23</c:f>
              <c:numCache>
                <c:formatCode>General</c:formatCode>
                <c:ptCount val="6"/>
                <c:pt idx="0">
                  <c:v>23</c:v>
                </c:pt>
                <c:pt idx="1">
                  <c:v>18</c:v>
                </c:pt>
                <c:pt idx="2">
                  <c:v>5</c:v>
                </c:pt>
                <c:pt idx="4">
                  <c:v>2</c:v>
                </c:pt>
                <c:pt idx="5">
                  <c:v>1</c:v>
                </c:pt>
              </c:numCache>
            </c:numRef>
          </c:val>
          <c:extLst>
            <c:ext xmlns:c16="http://schemas.microsoft.com/office/drawing/2014/chart" uri="{C3380CC4-5D6E-409C-BE32-E72D297353CC}">
              <c16:uniqueId val="{00000000-E3FC-4987-B91A-1FBDE38BF381}"/>
            </c:ext>
          </c:extLst>
        </c:ser>
        <c:dLbls>
          <c:showLegendKey val="0"/>
          <c:showVal val="0"/>
          <c:showCatName val="0"/>
          <c:showSerName val="0"/>
          <c:showPercent val="0"/>
          <c:showBubbleSize val="0"/>
        </c:dLbls>
        <c:gapWidth val="150"/>
        <c:axId val="91687357"/>
        <c:axId val="93647479"/>
      </c:barChart>
      <c:catAx>
        <c:axId val="91687357"/>
        <c:scaling>
          <c:orientation val="minMax"/>
        </c:scaling>
        <c:delete val="0"/>
        <c:axPos val="l"/>
        <c:title>
          <c:tx>
            <c:rich>
              <a:bodyPr rot="-5400000"/>
              <a:lstStyle/>
              <a:p>
                <a:pPr>
                  <a:defRPr sz="1000" b="1" strike="noStrike" spc="-1">
                    <a:solidFill>
                      <a:srgbClr val="000000"/>
                    </a:solidFill>
                    <a:latin typeface="Calibri"/>
                  </a:defRPr>
                </a:pPr>
                <a:r>
                  <a:rPr lang="es-CO" sz="1000" b="1" strike="noStrike" spc="-1">
                    <a:solidFill>
                      <a:srgbClr val="000000"/>
                    </a:solidFill>
                    <a:latin typeface="Calibri"/>
                  </a:rPr>
                  <a:t>N° Expositores</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93647479"/>
        <c:crosses val="autoZero"/>
        <c:auto val="1"/>
        <c:lblAlgn val="ctr"/>
        <c:lblOffset val="100"/>
        <c:noMultiLvlLbl val="0"/>
      </c:catAx>
      <c:valAx>
        <c:axId val="93647479"/>
        <c:scaling>
          <c:orientation val="minMax"/>
        </c:scaling>
        <c:delete val="0"/>
        <c:axPos val="b"/>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91687357"/>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Participantes por Grupo de Feria</a:t>
            </a:r>
          </a:p>
        </c:rich>
      </c:tx>
      <c:layout>
        <c:manualLayout>
          <c:xMode val="edge"/>
          <c:yMode val="edge"/>
          <c:x val="0.14954219279919026"/>
          <c:y val="5.883404814385527E-3"/>
        </c:manualLayout>
      </c:layout>
      <c:overlay val="0"/>
      <c:spPr>
        <a:noFill/>
        <a:ln w="0">
          <a:noFill/>
        </a:ln>
      </c:spPr>
    </c:title>
    <c:autoTitleDeleted val="0"/>
    <c:plotArea>
      <c:layout/>
      <c:barChart>
        <c:barDir val="col"/>
        <c:grouping val="clustered"/>
        <c:varyColors val="0"/>
        <c:ser>
          <c:idx val="0"/>
          <c:order val="0"/>
          <c:tx>
            <c:strRef>
              <c:f>Gráficos!$S$37</c:f>
              <c:strCache>
                <c:ptCount val="1"/>
                <c:pt idx="0">
                  <c:v>N</c:v>
                </c:pt>
              </c:strCache>
            </c:strRef>
          </c:tx>
          <c:spPr>
            <a:solidFill>
              <a:srgbClr val="1F3864"/>
            </a:solidFill>
            <a:ln w="0">
              <a:solidFill>
                <a:srgbClr val="000000"/>
              </a:solidFill>
            </a:ln>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Gráficos!$R$38:$R$41</c:f>
              <c:strCache>
                <c:ptCount val="4"/>
                <c:pt idx="0">
                  <c:v>Ferias de Carnaval / Malecón / Emprende</c:v>
                </c:pt>
                <c:pt idx="1">
                  <c:v>Feria de la Mujer</c:v>
                </c:pt>
                <c:pt idx="2">
                  <c:v>Feria del Dulce</c:v>
                </c:pt>
                <c:pt idx="3">
                  <c:v>Feria Semana Santa</c:v>
                </c:pt>
              </c:strCache>
            </c:strRef>
          </c:cat>
          <c:val>
            <c:numRef>
              <c:f>Gráficos!$S$38:$S$41</c:f>
              <c:numCache>
                <c:formatCode>General</c:formatCode>
                <c:ptCount val="4"/>
                <c:pt idx="0">
                  <c:v>38</c:v>
                </c:pt>
                <c:pt idx="1">
                  <c:v>7</c:v>
                </c:pt>
                <c:pt idx="2">
                  <c:v>3</c:v>
                </c:pt>
                <c:pt idx="3">
                  <c:v>1</c:v>
                </c:pt>
              </c:numCache>
            </c:numRef>
          </c:val>
          <c:extLst>
            <c:ext xmlns:c16="http://schemas.microsoft.com/office/drawing/2014/chart" uri="{C3380CC4-5D6E-409C-BE32-E72D297353CC}">
              <c16:uniqueId val="{00000000-9BED-405E-B737-AB8717336C81}"/>
            </c:ext>
          </c:extLst>
        </c:ser>
        <c:dLbls>
          <c:showLegendKey val="0"/>
          <c:showVal val="0"/>
          <c:showCatName val="0"/>
          <c:showSerName val="0"/>
          <c:showPercent val="0"/>
          <c:showBubbleSize val="0"/>
        </c:dLbls>
        <c:gapWidth val="150"/>
        <c:axId val="77405482"/>
        <c:axId val="43453194"/>
      </c:barChart>
      <c:catAx>
        <c:axId val="77405482"/>
        <c:scaling>
          <c:orientation val="minMax"/>
        </c:scaling>
        <c:delete val="0"/>
        <c:axPos val="b"/>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43453194"/>
        <c:crosses val="autoZero"/>
        <c:auto val="1"/>
        <c:lblAlgn val="ctr"/>
        <c:lblOffset val="100"/>
        <c:noMultiLvlLbl val="0"/>
      </c:catAx>
      <c:valAx>
        <c:axId val="43453194"/>
        <c:scaling>
          <c:orientation val="minMax"/>
        </c:scaling>
        <c:delete val="0"/>
        <c:axPos val="l"/>
        <c:title>
          <c:tx>
            <c:rich>
              <a:bodyPr rot="-5400000"/>
              <a:lstStyle/>
              <a:p>
                <a:pPr>
                  <a:defRPr sz="1000" b="1" strike="noStrike" spc="-1">
                    <a:solidFill>
                      <a:srgbClr val="000000"/>
                    </a:solidFill>
                    <a:latin typeface="Calibri"/>
                  </a:defRPr>
                </a:pPr>
                <a:r>
                  <a:rPr lang="es-CO" sz="1000" b="1" strike="noStrike" spc="-1">
                    <a:solidFill>
                      <a:srgbClr val="000000"/>
                    </a:solidFill>
                    <a:latin typeface="Calibri"/>
                  </a:rPr>
                  <a:t>N° Expositores</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77405482"/>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c:style val="2"/>
  <c:chart>
    <c:title>
      <c:tx>
        <c:rich>
          <a:bodyPr rot="0"/>
          <a:lstStyle/>
          <a:p>
            <a:pPr>
              <a:defRPr sz="1800" b="1" strike="noStrike" spc="-1">
                <a:solidFill>
                  <a:srgbClr val="000000"/>
                </a:solidFill>
                <a:latin typeface="Calibri"/>
              </a:defRPr>
            </a:pPr>
            <a:r>
              <a:rPr lang="es-CO" sz="1800" b="1" strike="noStrike" spc="-1">
                <a:solidFill>
                  <a:srgbClr val="000000"/>
                </a:solidFill>
                <a:latin typeface="Calibri"/>
              </a:rPr>
              <a:t>% Satisfecho (≥4) vs % Neutro (=3) por Dimensión</a:t>
            </a:r>
          </a:p>
        </c:rich>
      </c:tx>
      <c:overlay val="0"/>
      <c:spPr>
        <a:noFill/>
        <a:ln w="0">
          <a:noFill/>
        </a:ln>
      </c:spPr>
    </c:title>
    <c:autoTitleDeleted val="0"/>
    <c:plotArea>
      <c:layout/>
      <c:barChart>
        <c:barDir val="bar"/>
        <c:grouping val="clustered"/>
        <c:varyColors val="0"/>
        <c:ser>
          <c:idx val="0"/>
          <c:order val="0"/>
          <c:tx>
            <c:strRef>
              <c:f>Gráficos!$S$48</c:f>
              <c:strCache>
                <c:ptCount val="1"/>
                <c:pt idx="0">
                  <c:v>% Satisf.</c:v>
                </c:pt>
              </c:strCache>
            </c:strRef>
          </c:tx>
          <c:spPr>
            <a:solidFill>
              <a:srgbClr val="375623"/>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Calibri"/>
                  </a:defRPr>
                </a:pPr>
                <a:endParaRPr lang="es-CO"/>
              </a:p>
            </c:txPr>
            <c:dLblPos val="outEnd"/>
            <c:showLegendKey val="1"/>
            <c:showVal val="1"/>
            <c:showCatName val="1"/>
            <c:showSerName val="1"/>
            <c:showPercent val="0"/>
            <c:showBubbleSize val="1"/>
            <c:separator>; </c:separator>
            <c:showLeaderLines val="0"/>
            <c:extLst>
              <c:ext xmlns:c15="http://schemas.microsoft.com/office/drawing/2012/chart" uri="{CE6537A1-D6FC-4f65-9D91-7224C49458BB}">
                <c15:showLeaderLines val="1"/>
              </c:ext>
            </c:extLst>
          </c:dLbls>
          <c:cat>
            <c:strRef>
              <c:f>Gráficos!$R$49:$R$60</c:f>
              <c:strCache>
                <c:ptCount val="12"/>
                <c:pt idx="0">
                  <c:v>Acomp. Organizadores</c:v>
                </c:pt>
                <c:pt idx="1">
                  <c:v>Organización Evento</c:v>
                </c:pt>
                <c:pt idx="5">
                  <c:v>Logística</c:v>
                </c:pt>
                <c:pt idx="6">
                  <c:v>Gestión Público</c:v>
                </c:pt>
                <c:pt idx="7">
                  <c:v>Prom./Publicidad</c:v>
                </c:pt>
                <c:pt idx="8">
                  <c:v>Ventas</c:v>
                </c:pt>
                <c:pt idx="9">
                  <c:v>Nuevos Clientes</c:v>
                </c:pt>
                <c:pt idx="10">
                  <c:v>Visibilidad</c:v>
                </c:pt>
                <c:pt idx="11">
                  <c:v>Resultados Generales</c:v>
                </c:pt>
              </c:strCache>
            </c:strRef>
          </c:cat>
          <c:val>
            <c:numRef>
              <c:f>Gráficos!$S$49:$S$60</c:f>
              <c:numCache>
                <c:formatCode>0%</c:formatCode>
                <c:ptCount val="12"/>
                <c:pt idx="0">
                  <c:v>0.97959183673469385</c:v>
                </c:pt>
                <c:pt idx="1">
                  <c:v>1</c:v>
                </c:pt>
                <c:pt idx="5">
                  <c:v>0.97959183673469385</c:v>
                </c:pt>
                <c:pt idx="6">
                  <c:v>0.93877551020408168</c:v>
                </c:pt>
                <c:pt idx="7">
                  <c:v>0.81632653061224492</c:v>
                </c:pt>
                <c:pt idx="8">
                  <c:v>0.8571428571428571</c:v>
                </c:pt>
                <c:pt idx="9">
                  <c:v>0.75510204081632648</c:v>
                </c:pt>
                <c:pt idx="10">
                  <c:v>0.87755102040816324</c:v>
                </c:pt>
                <c:pt idx="11">
                  <c:v>0.89795918367346939</c:v>
                </c:pt>
              </c:numCache>
            </c:numRef>
          </c:val>
          <c:extLst>
            <c:ext xmlns:c16="http://schemas.microsoft.com/office/drawing/2014/chart" uri="{C3380CC4-5D6E-409C-BE32-E72D297353CC}">
              <c16:uniqueId val="{00000000-CA43-4AFD-ADB1-9AB4B71C92A7}"/>
            </c:ext>
          </c:extLst>
        </c:ser>
        <c:ser>
          <c:idx val="1"/>
          <c:order val="1"/>
          <c:tx>
            <c:strRef>
              <c:f>Gráficos!$T$48</c:f>
              <c:strCache>
                <c:ptCount val="1"/>
                <c:pt idx="0">
                  <c:v>% Neutro</c:v>
                </c:pt>
              </c:strCache>
            </c:strRef>
          </c:tx>
          <c:spPr>
            <a:solidFill>
              <a:srgbClr val="F4B942"/>
            </a:solidFill>
            <a:ln w="0">
              <a:solidFill>
                <a:srgbClr val="000000"/>
              </a:solidFill>
            </a:ln>
          </c:spPr>
          <c:invertIfNegative val="0"/>
          <c:dLbls>
            <c:spPr>
              <a:noFill/>
              <a:ln>
                <a:noFill/>
              </a:ln>
              <a:effectLst/>
            </c:spPr>
            <c:txPr>
              <a:bodyPr wrap="square"/>
              <a:lstStyle/>
              <a:p>
                <a:pPr>
                  <a:defRPr sz="1000" b="0" strike="noStrike" spc="-1">
                    <a:solidFill>
                      <a:srgbClr val="000000"/>
                    </a:solidFill>
                    <a:latin typeface="Calibri"/>
                  </a:defRPr>
                </a:pPr>
                <a:endParaRPr lang="es-CO"/>
              </a:p>
            </c:txPr>
            <c:dLblPos val="outEnd"/>
            <c:showLegendKey val="1"/>
            <c:showVal val="1"/>
            <c:showCatName val="1"/>
            <c:showSerName val="1"/>
            <c:showPercent val="0"/>
            <c:showBubbleSize val="1"/>
            <c:separator>; </c:separator>
            <c:showLeaderLines val="0"/>
            <c:extLst>
              <c:ext xmlns:c15="http://schemas.microsoft.com/office/drawing/2012/chart" uri="{CE6537A1-D6FC-4f65-9D91-7224C49458BB}">
                <c15:showLeaderLines val="1"/>
              </c:ext>
            </c:extLst>
          </c:dLbls>
          <c:cat>
            <c:strRef>
              <c:f>Gráficos!$R$49:$R$60</c:f>
              <c:strCache>
                <c:ptCount val="12"/>
                <c:pt idx="0">
                  <c:v>Acomp. Organizadores</c:v>
                </c:pt>
                <c:pt idx="1">
                  <c:v>Organización Evento</c:v>
                </c:pt>
                <c:pt idx="5">
                  <c:v>Logística</c:v>
                </c:pt>
                <c:pt idx="6">
                  <c:v>Gestión Público</c:v>
                </c:pt>
                <c:pt idx="7">
                  <c:v>Prom./Publicidad</c:v>
                </c:pt>
                <c:pt idx="8">
                  <c:v>Ventas</c:v>
                </c:pt>
                <c:pt idx="9">
                  <c:v>Nuevos Clientes</c:v>
                </c:pt>
                <c:pt idx="10">
                  <c:v>Visibilidad</c:v>
                </c:pt>
                <c:pt idx="11">
                  <c:v>Resultados Generales</c:v>
                </c:pt>
              </c:strCache>
            </c:strRef>
          </c:cat>
          <c:val>
            <c:numRef>
              <c:f>Gráficos!$T$49:$T$60</c:f>
              <c:numCache>
                <c:formatCode>0%</c:formatCode>
                <c:ptCount val="12"/>
                <c:pt idx="0">
                  <c:v>0</c:v>
                </c:pt>
                <c:pt idx="1">
                  <c:v>0</c:v>
                </c:pt>
                <c:pt idx="5">
                  <c:v>0</c:v>
                </c:pt>
                <c:pt idx="6">
                  <c:v>6.1224489795918366E-2</c:v>
                </c:pt>
                <c:pt idx="7">
                  <c:v>0.18367346938775511</c:v>
                </c:pt>
                <c:pt idx="8">
                  <c:v>0.10204081632653061</c:v>
                </c:pt>
                <c:pt idx="9">
                  <c:v>0.20408163265306123</c:v>
                </c:pt>
                <c:pt idx="10">
                  <c:v>8.1632653061224483E-2</c:v>
                </c:pt>
                <c:pt idx="11">
                  <c:v>8.1632653061224483E-2</c:v>
                </c:pt>
              </c:numCache>
            </c:numRef>
          </c:val>
          <c:extLst>
            <c:ext xmlns:c16="http://schemas.microsoft.com/office/drawing/2014/chart" uri="{C3380CC4-5D6E-409C-BE32-E72D297353CC}">
              <c16:uniqueId val="{00000001-CA43-4AFD-ADB1-9AB4B71C92A7}"/>
            </c:ext>
          </c:extLst>
        </c:ser>
        <c:dLbls>
          <c:showLegendKey val="0"/>
          <c:showVal val="0"/>
          <c:showCatName val="0"/>
          <c:showSerName val="0"/>
          <c:showPercent val="0"/>
          <c:showBubbleSize val="0"/>
        </c:dLbls>
        <c:gapWidth val="150"/>
        <c:axId val="11269562"/>
        <c:axId val="21862207"/>
      </c:barChart>
      <c:catAx>
        <c:axId val="11269562"/>
        <c:scaling>
          <c:orientation val="minMax"/>
        </c:scaling>
        <c:delete val="0"/>
        <c:axPos val="l"/>
        <c:title>
          <c:tx>
            <c:rich>
              <a:bodyPr rot="-5400000"/>
              <a:lstStyle/>
              <a:p>
                <a:pPr>
                  <a:defRPr sz="1000" b="1" strike="noStrike" spc="-1">
                    <a:solidFill>
                      <a:srgbClr val="000000"/>
                    </a:solidFill>
                    <a:latin typeface="Calibri"/>
                  </a:defRPr>
                </a:pPr>
                <a:r>
                  <a:rPr lang="es-CO" sz="1000" b="1" strike="noStrike" spc="-1">
                    <a:solidFill>
                      <a:srgbClr val="000000"/>
                    </a:solidFill>
                    <a:latin typeface="Calibri"/>
                  </a:rPr>
                  <a:t>Porcentaje</a:t>
                </a:r>
              </a:p>
            </c:rich>
          </c:tx>
          <c:overlay val="0"/>
          <c:spPr>
            <a:noFill/>
            <a:ln w="0">
              <a:noFill/>
            </a:ln>
          </c:spPr>
        </c:title>
        <c:numFmt formatCode="General"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21862207"/>
        <c:crosses val="autoZero"/>
        <c:auto val="1"/>
        <c:lblAlgn val="ctr"/>
        <c:lblOffset val="100"/>
        <c:noMultiLvlLbl val="0"/>
      </c:catAx>
      <c:valAx>
        <c:axId val="21862207"/>
        <c:scaling>
          <c:orientation val="minMax"/>
        </c:scaling>
        <c:delete val="0"/>
        <c:axPos val="b"/>
        <c:numFmt formatCode="0%" sourceLinked="1"/>
        <c:majorTickMark val="none"/>
        <c:minorTickMark val="none"/>
        <c:tickLblPos val="nextTo"/>
        <c:spPr>
          <a:ln w="0">
            <a:solidFill>
              <a:srgbClr val="B3B3B3"/>
            </a:solidFill>
          </a:ln>
        </c:spPr>
        <c:txPr>
          <a:bodyPr/>
          <a:lstStyle/>
          <a:p>
            <a:pPr>
              <a:defRPr sz="1000" b="0" strike="noStrike" spc="-1">
                <a:solidFill>
                  <a:srgbClr val="000000"/>
                </a:solidFill>
                <a:latin typeface="Calibri"/>
              </a:defRPr>
            </a:pPr>
            <a:endParaRPr lang="es-CO"/>
          </a:p>
        </c:txPr>
        <c:crossAx val="11269562"/>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10</xdr:col>
      <xdr:colOff>136080</xdr:colOff>
      <xdr:row>29</xdr:row>
      <xdr:rowOff>84109</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31</xdr:row>
      <xdr:rowOff>0</xdr:rowOff>
    </xdr:from>
    <xdr:to>
      <xdr:col>5</xdr:col>
      <xdr:colOff>202406</xdr:colOff>
      <xdr:row>48</xdr:row>
      <xdr:rowOff>178593</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8</xdr:col>
      <xdr:colOff>0</xdr:colOff>
      <xdr:row>31</xdr:row>
      <xdr:rowOff>0</xdr:rowOff>
    </xdr:from>
    <xdr:to>
      <xdr:col>13</xdr:col>
      <xdr:colOff>427680</xdr:colOff>
      <xdr:row>53</xdr:row>
      <xdr:rowOff>126229</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0</xdr:colOff>
      <xdr:row>57</xdr:row>
      <xdr:rowOff>0</xdr:rowOff>
    </xdr:from>
    <xdr:to>
      <xdr:col>12</xdr:col>
      <xdr:colOff>204107</xdr:colOff>
      <xdr:row>81</xdr:row>
      <xdr:rowOff>95250</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16</xdr:col>
      <xdr:colOff>122464</xdr:colOff>
      <xdr:row>62</xdr:row>
      <xdr:rowOff>23814</xdr:rowOff>
    </xdr:from>
    <xdr:to>
      <xdr:col>25</xdr:col>
      <xdr:colOff>530677</xdr:colOff>
      <xdr:row>81</xdr:row>
      <xdr:rowOff>122464</xdr:rowOff>
    </xdr:to>
    <xdr:graphicFrame macro="">
      <xdr:nvGraphicFramePr>
        <xdr:cNvPr id="6" name="Chart 5">
          <a:extLst>
            <a:ext uri="{FF2B5EF4-FFF2-40B4-BE49-F238E27FC236}">
              <a16:creationId xmlns:a16="http://schemas.microsoft.com/office/drawing/2014/main" id="{00000000-0008-0000-04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82</xdr:row>
      <xdr:rowOff>326570</xdr:rowOff>
    </xdr:from>
    <xdr:to>
      <xdr:col>15</xdr:col>
      <xdr:colOff>244929</xdr:colOff>
      <xdr:row>107</xdr:row>
      <xdr:rowOff>40822</xdr:rowOff>
    </xdr:to>
    <xdr:graphicFrame macro="">
      <xdr:nvGraphicFramePr>
        <xdr:cNvPr id="7" name="Chart 6">
          <a:extLst>
            <a:ext uri="{FF2B5EF4-FFF2-40B4-BE49-F238E27FC236}">
              <a16:creationId xmlns:a16="http://schemas.microsoft.com/office/drawing/2014/main" id="{00000000-0008-0000-04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3864"/>
  </sheetPr>
  <dimension ref="A1:W52"/>
  <sheetViews>
    <sheetView showGridLines="0" zoomScaleNormal="100" workbookViewId="0">
      <pane ySplit="3" topLeftCell="A51" activePane="bottomLeft" state="frozen"/>
      <selection pane="bottomLeft" activeCell="J62" sqref="J62"/>
    </sheetView>
  </sheetViews>
  <sheetFormatPr baseColWidth="10" defaultColWidth="8.7109375" defaultRowHeight="15" x14ac:dyDescent="0.25"/>
  <cols>
    <col min="1" max="1" width="4" style="1" customWidth="1"/>
    <col min="2" max="2" width="14" style="1" customWidth="1"/>
    <col min="3" max="3" width="28" style="1" customWidth="1"/>
    <col min="4" max="4" width="6" style="1" customWidth="1"/>
    <col min="5" max="5" width="15.28515625" style="1" customWidth="1"/>
    <col min="6" max="7" width="12" style="1" customWidth="1"/>
    <col min="8" max="8" width="30" style="1" customWidth="1"/>
    <col min="9" max="9" width="12" style="1" customWidth="1"/>
    <col min="10" max="10" width="18" style="1" customWidth="1"/>
    <col min="11" max="19" width="14" style="1" customWidth="1"/>
    <col min="20" max="20" width="30" style="1" customWidth="1"/>
    <col min="21" max="21" width="19.28515625" style="1" customWidth="1"/>
    <col min="22" max="22" width="45" style="1" customWidth="1"/>
    <col min="23" max="23" width="30" style="1" customWidth="1"/>
  </cols>
  <sheetData>
    <row r="1" spans="1:23" ht="37.5" customHeight="1" x14ac:dyDescent="0.25">
      <c r="A1" s="130" t="s">
        <v>0</v>
      </c>
      <c r="B1" s="130"/>
      <c r="C1" s="130"/>
      <c r="D1" s="130"/>
      <c r="E1" s="130"/>
      <c r="F1" s="130"/>
      <c r="G1" s="130"/>
      <c r="H1" s="130"/>
      <c r="I1" s="130"/>
      <c r="J1" s="130"/>
      <c r="K1" s="130"/>
      <c r="L1" s="130"/>
      <c r="M1" s="130"/>
      <c r="N1" s="130"/>
      <c r="O1" s="130"/>
      <c r="P1" s="130"/>
      <c r="Q1" s="130"/>
      <c r="R1" s="130"/>
      <c r="S1" s="130"/>
      <c r="T1" s="130"/>
      <c r="U1" s="130"/>
      <c r="V1" s="130"/>
    </row>
    <row r="2" spans="1:23" ht="15" customHeight="1" x14ac:dyDescent="0.25">
      <c r="A2" s="131" t="s">
        <v>1</v>
      </c>
      <c r="B2" s="131"/>
      <c r="C2" s="131"/>
      <c r="D2" s="131"/>
      <c r="E2" s="131"/>
      <c r="F2" s="131"/>
      <c r="G2" s="131"/>
      <c r="H2" s="131"/>
      <c r="I2" s="131"/>
      <c r="J2" s="131"/>
      <c r="K2" s="131"/>
      <c r="L2" s="131"/>
      <c r="M2" s="131"/>
      <c r="N2" s="131"/>
      <c r="O2" s="131"/>
      <c r="P2" s="131"/>
      <c r="Q2" s="131"/>
      <c r="R2" s="131"/>
      <c r="S2" s="131"/>
      <c r="T2" s="131"/>
      <c r="U2" s="131"/>
      <c r="V2" s="131"/>
    </row>
    <row r="3" spans="1:23" ht="37.5" customHeight="1" x14ac:dyDescent="0.25">
      <c r="A3" s="2" t="s">
        <v>2</v>
      </c>
      <c r="B3" s="2" t="s">
        <v>3</v>
      </c>
      <c r="C3" s="2" t="s">
        <v>4</v>
      </c>
      <c r="D3" s="2" t="s">
        <v>5</v>
      </c>
      <c r="E3" s="2" t="s">
        <v>465</v>
      </c>
      <c r="F3" s="2" t="s">
        <v>6</v>
      </c>
      <c r="G3" s="2" t="s">
        <v>7</v>
      </c>
      <c r="H3" s="2" t="s">
        <v>8</v>
      </c>
      <c r="I3" s="2" t="s">
        <v>9</v>
      </c>
      <c r="J3" s="2" t="s">
        <v>10</v>
      </c>
      <c r="K3" s="2" t="s">
        <v>11</v>
      </c>
      <c r="L3" s="2" t="s">
        <v>12</v>
      </c>
      <c r="M3" s="2" t="s">
        <v>13</v>
      </c>
      <c r="N3" s="2" t="s">
        <v>14</v>
      </c>
      <c r="O3" s="2" t="s">
        <v>15</v>
      </c>
      <c r="P3" s="2" t="s">
        <v>16</v>
      </c>
      <c r="Q3" s="2" t="s">
        <v>17</v>
      </c>
      <c r="R3" s="2" t="s">
        <v>18</v>
      </c>
      <c r="S3" s="2" t="s">
        <v>19</v>
      </c>
      <c r="T3" s="2" t="s">
        <v>20</v>
      </c>
      <c r="U3" s="2" t="s">
        <v>21</v>
      </c>
      <c r="V3" s="2" t="s">
        <v>22</v>
      </c>
      <c r="W3" s="2" t="s">
        <v>23</v>
      </c>
    </row>
    <row r="4" spans="1:23" ht="45.75" customHeight="1" x14ac:dyDescent="0.25">
      <c r="A4" s="3">
        <v>1</v>
      </c>
      <c r="B4" s="4" t="s">
        <v>25</v>
      </c>
      <c r="C4" s="5" t="s">
        <v>26</v>
      </c>
      <c r="D4" s="3" t="s">
        <v>27</v>
      </c>
      <c r="E4" s="6" t="s">
        <v>35</v>
      </c>
      <c r="F4" s="128">
        <v>1043006034</v>
      </c>
      <c r="G4" s="128">
        <v>3024610077</v>
      </c>
      <c r="H4" s="5" t="s">
        <v>28</v>
      </c>
      <c r="I4" s="4" t="s">
        <v>29</v>
      </c>
      <c r="J4" s="5" t="s">
        <v>30</v>
      </c>
      <c r="K4" s="6">
        <v>5</v>
      </c>
      <c r="L4" s="6">
        <v>5</v>
      </c>
      <c r="M4" s="6">
        <v>4</v>
      </c>
      <c r="N4" s="6">
        <v>4</v>
      </c>
      <c r="O4" s="6">
        <v>5</v>
      </c>
      <c r="P4" s="6">
        <v>5</v>
      </c>
      <c r="Q4" s="6">
        <v>5</v>
      </c>
      <c r="R4" s="6">
        <v>5</v>
      </c>
      <c r="S4" s="6">
        <v>5</v>
      </c>
      <c r="T4" s="5" t="s">
        <v>31</v>
      </c>
      <c r="U4" s="7" t="s">
        <v>32</v>
      </c>
      <c r="V4" s="5" t="s">
        <v>33</v>
      </c>
      <c r="W4" s="3" t="s">
        <v>34</v>
      </c>
    </row>
    <row r="5" spans="1:23" ht="23.25" customHeight="1" x14ac:dyDescent="0.25">
      <c r="A5" s="8">
        <v>2</v>
      </c>
      <c r="B5" s="9" t="s">
        <v>36</v>
      </c>
      <c r="C5" s="10" t="s">
        <v>37</v>
      </c>
      <c r="D5" s="8" t="s">
        <v>27</v>
      </c>
      <c r="E5" s="6" t="s">
        <v>35</v>
      </c>
      <c r="F5" s="129">
        <v>1045711253</v>
      </c>
      <c r="G5" s="129">
        <v>3028350111</v>
      </c>
      <c r="H5" s="10" t="s">
        <v>38</v>
      </c>
      <c r="I5" s="9" t="s">
        <v>29</v>
      </c>
      <c r="J5" s="10" t="s">
        <v>39</v>
      </c>
      <c r="K5" s="6">
        <v>4</v>
      </c>
      <c r="L5" s="6">
        <v>5</v>
      </c>
      <c r="M5" s="6">
        <v>5</v>
      </c>
      <c r="N5" s="11">
        <v>3</v>
      </c>
      <c r="O5" s="11">
        <v>3</v>
      </c>
      <c r="P5" s="6">
        <v>4</v>
      </c>
      <c r="Q5" s="11">
        <v>3</v>
      </c>
      <c r="R5" s="12">
        <v>2</v>
      </c>
      <c r="S5" s="6">
        <v>4</v>
      </c>
      <c r="T5" s="10" t="s">
        <v>40</v>
      </c>
      <c r="U5" s="7" t="s">
        <v>32</v>
      </c>
      <c r="V5" s="10" t="s">
        <v>41</v>
      </c>
      <c r="W5" s="8" t="s">
        <v>34</v>
      </c>
    </row>
    <row r="6" spans="1:23" ht="23.25" customHeight="1" x14ac:dyDescent="0.25">
      <c r="A6" s="3">
        <v>3</v>
      </c>
      <c r="B6" s="4" t="s">
        <v>42</v>
      </c>
      <c r="C6" s="5" t="s">
        <v>43</v>
      </c>
      <c r="D6" s="3" t="s">
        <v>27</v>
      </c>
      <c r="E6" s="6" t="s">
        <v>35</v>
      </c>
      <c r="F6" s="128">
        <v>36594295</v>
      </c>
      <c r="G6" s="128">
        <v>3106273036</v>
      </c>
      <c r="H6" s="5" t="s">
        <v>44</v>
      </c>
      <c r="I6" s="4" t="s">
        <v>29</v>
      </c>
      <c r="J6" s="5" t="s">
        <v>45</v>
      </c>
      <c r="K6" s="6">
        <v>4</v>
      </c>
      <c r="L6" s="6">
        <v>4</v>
      </c>
      <c r="M6" s="6">
        <v>4</v>
      </c>
      <c r="N6" s="6">
        <v>4</v>
      </c>
      <c r="O6" s="6">
        <v>4</v>
      </c>
      <c r="P6" s="6">
        <v>4</v>
      </c>
      <c r="Q6" s="6">
        <v>4</v>
      </c>
      <c r="R6" s="6">
        <v>4</v>
      </c>
      <c r="S6" s="6">
        <v>4</v>
      </c>
      <c r="T6" s="5" t="s">
        <v>46</v>
      </c>
      <c r="U6" s="7" t="s">
        <v>32</v>
      </c>
      <c r="V6" s="5" t="s">
        <v>47</v>
      </c>
      <c r="W6" s="3" t="s">
        <v>34</v>
      </c>
    </row>
    <row r="7" spans="1:23" ht="23.25" customHeight="1" x14ac:dyDescent="0.25">
      <c r="A7" s="8">
        <v>4</v>
      </c>
      <c r="B7" s="9" t="s">
        <v>48</v>
      </c>
      <c r="C7" s="10" t="s">
        <v>49</v>
      </c>
      <c r="D7" s="8" t="s">
        <v>27</v>
      </c>
      <c r="E7" s="13" t="s">
        <v>54</v>
      </c>
      <c r="F7" s="129">
        <v>72144562</v>
      </c>
      <c r="G7" s="129">
        <v>3205599602</v>
      </c>
      <c r="H7" s="10" t="s">
        <v>50</v>
      </c>
      <c r="I7" s="9" t="s">
        <v>29</v>
      </c>
      <c r="J7" s="10" t="s">
        <v>51</v>
      </c>
      <c r="K7" s="6">
        <v>5</v>
      </c>
      <c r="L7" s="6">
        <v>4</v>
      </c>
      <c r="M7" s="6">
        <v>5</v>
      </c>
      <c r="N7" s="6">
        <v>4</v>
      </c>
      <c r="O7" s="6">
        <v>4</v>
      </c>
      <c r="P7" s="11">
        <v>3</v>
      </c>
      <c r="Q7" s="11">
        <v>3</v>
      </c>
      <c r="R7" s="6">
        <v>4</v>
      </c>
      <c r="S7" s="6">
        <v>4</v>
      </c>
      <c r="T7" s="10" t="s">
        <v>52</v>
      </c>
      <c r="U7" s="7" t="s">
        <v>32</v>
      </c>
      <c r="V7" s="10" t="s">
        <v>53</v>
      </c>
      <c r="W7" s="8" t="s">
        <v>34</v>
      </c>
    </row>
    <row r="8" spans="1:23" ht="23.25" customHeight="1" x14ac:dyDescent="0.25">
      <c r="A8" s="3">
        <v>5</v>
      </c>
      <c r="B8" s="4" t="s">
        <v>55</v>
      </c>
      <c r="C8" s="5" t="s">
        <v>56</v>
      </c>
      <c r="D8" s="3" t="s">
        <v>27</v>
      </c>
      <c r="E8" s="6" t="s">
        <v>35</v>
      </c>
      <c r="F8" s="128">
        <v>22545376</v>
      </c>
      <c r="G8" s="128">
        <v>3195451650</v>
      </c>
      <c r="H8" s="5" t="s">
        <v>57</v>
      </c>
      <c r="I8" s="4" t="s">
        <v>29</v>
      </c>
      <c r="J8" s="5" t="s">
        <v>30</v>
      </c>
      <c r="K8" s="6">
        <v>5</v>
      </c>
      <c r="L8" s="6">
        <v>5</v>
      </c>
      <c r="M8" s="6">
        <v>5</v>
      </c>
      <c r="N8" s="6">
        <v>5</v>
      </c>
      <c r="O8" s="6">
        <v>5</v>
      </c>
      <c r="P8" s="6">
        <v>4</v>
      </c>
      <c r="Q8" s="6">
        <v>5</v>
      </c>
      <c r="R8" s="6">
        <v>5</v>
      </c>
      <c r="S8" s="6">
        <v>5</v>
      </c>
      <c r="T8" s="5" t="s">
        <v>58</v>
      </c>
      <c r="U8" s="7" t="s">
        <v>32</v>
      </c>
      <c r="V8" s="5" t="s">
        <v>59</v>
      </c>
      <c r="W8" s="3" t="s">
        <v>34</v>
      </c>
    </row>
    <row r="9" spans="1:23" ht="34.5" customHeight="1" x14ac:dyDescent="0.25">
      <c r="A9" s="8">
        <v>6</v>
      </c>
      <c r="B9" s="9" t="s">
        <v>60</v>
      </c>
      <c r="C9" s="10" t="s">
        <v>61</v>
      </c>
      <c r="D9" s="8" t="s">
        <v>27</v>
      </c>
      <c r="E9" s="6" t="s">
        <v>35</v>
      </c>
      <c r="F9" s="129">
        <v>32875540</v>
      </c>
      <c r="G9" s="129">
        <v>3006738027</v>
      </c>
      <c r="H9" s="10" t="s">
        <v>62</v>
      </c>
      <c r="I9" s="9" t="s">
        <v>63</v>
      </c>
      <c r="J9" s="10" t="s">
        <v>51</v>
      </c>
      <c r="K9" s="6">
        <v>5</v>
      </c>
      <c r="L9" s="6">
        <v>5</v>
      </c>
      <c r="M9" s="6">
        <v>5</v>
      </c>
      <c r="N9" s="6">
        <v>5</v>
      </c>
      <c r="O9" s="6">
        <v>5</v>
      </c>
      <c r="P9" s="6">
        <v>4</v>
      </c>
      <c r="Q9" s="6">
        <v>4</v>
      </c>
      <c r="R9" s="6">
        <v>5</v>
      </c>
      <c r="S9" s="6">
        <v>5</v>
      </c>
      <c r="T9" s="10" t="s">
        <v>64</v>
      </c>
      <c r="U9" s="7" t="s">
        <v>32</v>
      </c>
      <c r="V9" s="10" t="s">
        <v>65</v>
      </c>
      <c r="W9" s="8" t="s">
        <v>34</v>
      </c>
    </row>
    <row r="10" spans="1:23" ht="23.25" customHeight="1" x14ac:dyDescent="0.25">
      <c r="A10" s="3">
        <v>7</v>
      </c>
      <c r="B10" s="4" t="s">
        <v>66</v>
      </c>
      <c r="C10" s="5" t="s">
        <v>67</v>
      </c>
      <c r="D10" s="3" t="s">
        <v>27</v>
      </c>
      <c r="E10" s="6" t="s">
        <v>35</v>
      </c>
      <c r="F10" s="128">
        <v>1047034369</v>
      </c>
      <c r="G10" s="128">
        <v>3009752222</v>
      </c>
      <c r="H10" s="5" t="s">
        <v>68</v>
      </c>
      <c r="I10" s="4" t="s">
        <v>29</v>
      </c>
      <c r="J10" s="5" t="s">
        <v>51</v>
      </c>
      <c r="K10" s="6">
        <v>5</v>
      </c>
      <c r="L10" s="6">
        <v>5</v>
      </c>
      <c r="M10" s="6">
        <v>5</v>
      </c>
      <c r="N10" s="6">
        <v>4</v>
      </c>
      <c r="O10" s="6">
        <v>5</v>
      </c>
      <c r="P10" s="6">
        <v>4</v>
      </c>
      <c r="Q10" s="11">
        <v>3</v>
      </c>
      <c r="R10" s="6">
        <v>5</v>
      </c>
      <c r="S10" s="11">
        <v>3</v>
      </c>
      <c r="T10" s="5" t="s">
        <v>69</v>
      </c>
      <c r="U10" s="7" t="s">
        <v>32</v>
      </c>
      <c r="V10" s="5" t="s">
        <v>70</v>
      </c>
      <c r="W10" s="3" t="s">
        <v>34</v>
      </c>
    </row>
    <row r="11" spans="1:23" ht="45.75" customHeight="1" x14ac:dyDescent="0.25">
      <c r="A11" s="8">
        <v>8</v>
      </c>
      <c r="B11" s="9" t="s">
        <v>71</v>
      </c>
      <c r="C11" s="10" t="s">
        <v>72</v>
      </c>
      <c r="D11" s="8" t="s">
        <v>27</v>
      </c>
      <c r="E11" s="6" t="s">
        <v>35</v>
      </c>
      <c r="F11" s="129">
        <v>37830558</v>
      </c>
      <c r="G11" s="129">
        <v>3205007302</v>
      </c>
      <c r="H11" s="10" t="s">
        <v>73</v>
      </c>
      <c r="I11" s="9" t="s">
        <v>63</v>
      </c>
      <c r="J11" s="10" t="s">
        <v>39</v>
      </c>
      <c r="K11" s="6">
        <v>5</v>
      </c>
      <c r="L11" s="6">
        <v>5</v>
      </c>
      <c r="M11" s="6">
        <v>5</v>
      </c>
      <c r="N11" s="6">
        <v>5</v>
      </c>
      <c r="O11" s="6">
        <v>5</v>
      </c>
      <c r="P11" s="6">
        <v>5</v>
      </c>
      <c r="Q11" s="6">
        <v>5</v>
      </c>
      <c r="R11" s="6">
        <v>5</v>
      </c>
      <c r="S11" s="6">
        <v>5</v>
      </c>
      <c r="T11" s="10" t="s">
        <v>74</v>
      </c>
      <c r="U11" s="7" t="s">
        <v>32</v>
      </c>
      <c r="V11" s="10" t="s">
        <v>75</v>
      </c>
      <c r="W11" s="8" t="s">
        <v>34</v>
      </c>
    </row>
    <row r="12" spans="1:23" ht="23.25" customHeight="1" x14ac:dyDescent="0.25">
      <c r="A12" s="3">
        <v>9</v>
      </c>
      <c r="B12" s="4" t="s">
        <v>76</v>
      </c>
      <c r="C12" s="5" t="s">
        <v>77</v>
      </c>
      <c r="D12" s="3" t="s">
        <v>27</v>
      </c>
      <c r="E12" s="6" t="s">
        <v>35</v>
      </c>
      <c r="F12" s="128">
        <v>1002022203</v>
      </c>
      <c r="G12" s="128">
        <v>3013703563</v>
      </c>
      <c r="H12" s="5" t="s">
        <v>78</v>
      </c>
      <c r="I12" s="4" t="s">
        <v>29</v>
      </c>
      <c r="J12" s="5" t="s">
        <v>39</v>
      </c>
      <c r="K12" s="6">
        <v>5</v>
      </c>
      <c r="L12" s="6">
        <v>5</v>
      </c>
      <c r="M12" s="6">
        <v>5</v>
      </c>
      <c r="N12" s="6">
        <v>5</v>
      </c>
      <c r="O12" s="11">
        <v>3</v>
      </c>
      <c r="P12" s="6">
        <v>5</v>
      </c>
      <c r="Q12" s="6">
        <v>4</v>
      </c>
      <c r="R12" s="6">
        <v>4</v>
      </c>
      <c r="S12" s="6">
        <v>5</v>
      </c>
      <c r="T12" s="5" t="s">
        <v>52</v>
      </c>
      <c r="U12" s="7" t="s">
        <v>32</v>
      </c>
      <c r="V12" s="5" t="s">
        <v>79</v>
      </c>
      <c r="W12" s="3" t="s">
        <v>34</v>
      </c>
    </row>
    <row r="13" spans="1:23" ht="57" customHeight="1" x14ac:dyDescent="0.25">
      <c r="A13" s="8">
        <v>10</v>
      </c>
      <c r="B13" s="9" t="s">
        <v>80</v>
      </c>
      <c r="C13" s="10" t="s">
        <v>81</v>
      </c>
      <c r="D13" s="8" t="s">
        <v>27</v>
      </c>
      <c r="E13" s="6" t="s">
        <v>35</v>
      </c>
      <c r="F13" s="129">
        <v>22443087</v>
      </c>
      <c r="G13" s="129">
        <v>3106525344</v>
      </c>
      <c r="H13" s="10" t="s">
        <v>82</v>
      </c>
      <c r="I13" s="9" t="s">
        <v>63</v>
      </c>
      <c r="J13" s="10" t="s">
        <v>51</v>
      </c>
      <c r="K13" s="6">
        <v>5</v>
      </c>
      <c r="L13" s="6">
        <v>5</v>
      </c>
      <c r="M13" s="6">
        <v>5</v>
      </c>
      <c r="N13" s="6">
        <v>5</v>
      </c>
      <c r="O13" s="6">
        <v>5</v>
      </c>
      <c r="P13" s="6">
        <v>5</v>
      </c>
      <c r="Q13" s="6">
        <v>5</v>
      </c>
      <c r="R13" s="6">
        <v>5</v>
      </c>
      <c r="S13" s="6">
        <v>5</v>
      </c>
      <c r="T13" s="10" t="s">
        <v>74</v>
      </c>
      <c r="U13" s="7" t="s">
        <v>32</v>
      </c>
      <c r="V13" s="10" t="s">
        <v>83</v>
      </c>
      <c r="W13" s="8" t="s">
        <v>34</v>
      </c>
    </row>
    <row r="14" spans="1:23" ht="34.5" customHeight="1" x14ac:dyDescent="0.25">
      <c r="A14" s="3">
        <v>11</v>
      </c>
      <c r="B14" s="4" t="s">
        <v>84</v>
      </c>
      <c r="C14" s="5" t="s">
        <v>85</v>
      </c>
      <c r="D14" s="3" t="s">
        <v>27</v>
      </c>
      <c r="E14" s="6" t="s">
        <v>35</v>
      </c>
      <c r="F14" s="128">
        <v>32770405</v>
      </c>
      <c r="G14" s="128">
        <v>3006917051</v>
      </c>
      <c r="H14" s="5" t="s">
        <v>86</v>
      </c>
      <c r="I14" s="4" t="s">
        <v>29</v>
      </c>
      <c r="J14" s="5" t="s">
        <v>39</v>
      </c>
      <c r="K14" s="6">
        <v>4</v>
      </c>
      <c r="L14" s="6">
        <v>4</v>
      </c>
      <c r="M14" s="6">
        <v>4</v>
      </c>
      <c r="N14" s="6">
        <v>4</v>
      </c>
      <c r="O14" s="6">
        <v>4</v>
      </c>
      <c r="P14" s="11">
        <v>3</v>
      </c>
      <c r="Q14" s="11">
        <v>3</v>
      </c>
      <c r="R14" s="6">
        <v>4</v>
      </c>
      <c r="S14" s="6">
        <v>4</v>
      </c>
      <c r="T14" s="5" t="s">
        <v>87</v>
      </c>
      <c r="U14" s="7" t="s">
        <v>32</v>
      </c>
      <c r="V14" s="5" t="s">
        <v>88</v>
      </c>
      <c r="W14" s="3" t="s">
        <v>34</v>
      </c>
    </row>
    <row r="15" spans="1:23" ht="23.25" customHeight="1" x14ac:dyDescent="0.25">
      <c r="A15" s="8">
        <v>12</v>
      </c>
      <c r="B15" s="9" t="s">
        <v>89</v>
      </c>
      <c r="C15" s="10" t="s">
        <v>90</v>
      </c>
      <c r="D15" s="8" t="s">
        <v>27</v>
      </c>
      <c r="E15" s="6" t="s">
        <v>35</v>
      </c>
      <c r="F15" s="129">
        <v>22503248</v>
      </c>
      <c r="G15" s="129">
        <v>3004888079</v>
      </c>
      <c r="H15" s="10" t="s">
        <v>91</v>
      </c>
      <c r="I15" s="9" t="s">
        <v>92</v>
      </c>
      <c r="J15" s="10" t="s">
        <v>39</v>
      </c>
      <c r="K15" s="6">
        <v>5</v>
      </c>
      <c r="L15" s="6">
        <v>5</v>
      </c>
      <c r="M15" s="6">
        <v>5</v>
      </c>
      <c r="N15" s="6">
        <v>5</v>
      </c>
      <c r="O15" s="11">
        <v>3</v>
      </c>
      <c r="P15" s="6">
        <v>4</v>
      </c>
      <c r="Q15" s="6">
        <v>4</v>
      </c>
      <c r="R15" s="6">
        <v>4</v>
      </c>
      <c r="S15" s="6">
        <v>4</v>
      </c>
      <c r="T15" s="10" t="s">
        <v>46</v>
      </c>
      <c r="U15" s="7" t="s">
        <v>32</v>
      </c>
      <c r="V15" s="10" t="s">
        <v>93</v>
      </c>
      <c r="W15" s="8" t="s">
        <v>34</v>
      </c>
    </row>
    <row r="16" spans="1:23" ht="23.25" customHeight="1" x14ac:dyDescent="0.25">
      <c r="A16" s="3">
        <v>13</v>
      </c>
      <c r="B16" s="4" t="s">
        <v>94</v>
      </c>
      <c r="C16" s="5" t="s">
        <v>95</v>
      </c>
      <c r="D16" s="3" t="s">
        <v>27</v>
      </c>
      <c r="E16" s="6" t="s">
        <v>35</v>
      </c>
      <c r="F16" s="128">
        <v>32698113</v>
      </c>
      <c r="G16" s="128">
        <v>3003742712</v>
      </c>
      <c r="H16" s="5" t="s">
        <v>96</v>
      </c>
      <c r="I16" s="4" t="s">
        <v>63</v>
      </c>
      <c r="J16" s="5" t="s">
        <v>51</v>
      </c>
      <c r="K16" s="6">
        <v>5</v>
      </c>
      <c r="L16" s="6">
        <v>5</v>
      </c>
      <c r="M16" s="6">
        <v>5</v>
      </c>
      <c r="N16" s="6">
        <v>5</v>
      </c>
      <c r="O16" s="6">
        <v>5</v>
      </c>
      <c r="P16" s="6">
        <v>5</v>
      </c>
      <c r="Q16" s="6">
        <v>5</v>
      </c>
      <c r="R16" s="6">
        <v>5</v>
      </c>
      <c r="S16" s="6">
        <v>5</v>
      </c>
      <c r="T16" s="5" t="s">
        <v>69</v>
      </c>
      <c r="U16" s="7" t="s">
        <v>32</v>
      </c>
      <c r="V16" s="5" t="s">
        <v>97</v>
      </c>
      <c r="W16" s="3" t="s">
        <v>34</v>
      </c>
    </row>
    <row r="17" spans="1:23" ht="45.75" customHeight="1" x14ac:dyDescent="0.25">
      <c r="A17" s="8">
        <v>14</v>
      </c>
      <c r="B17" s="9" t="s">
        <v>98</v>
      </c>
      <c r="C17" s="10" t="s">
        <v>99</v>
      </c>
      <c r="D17" s="8" t="s">
        <v>27</v>
      </c>
      <c r="E17" s="6" t="s">
        <v>35</v>
      </c>
      <c r="F17" s="129">
        <v>1143229150</v>
      </c>
      <c r="G17" s="129">
        <v>3006489947</v>
      </c>
      <c r="H17" s="10" t="s">
        <v>100</v>
      </c>
      <c r="I17" s="9" t="s">
        <v>29</v>
      </c>
      <c r="J17" s="10" t="s">
        <v>51</v>
      </c>
      <c r="K17" s="6">
        <v>5</v>
      </c>
      <c r="L17" s="6">
        <v>5</v>
      </c>
      <c r="M17" s="6">
        <v>5</v>
      </c>
      <c r="N17" s="6">
        <v>5</v>
      </c>
      <c r="O17" s="6">
        <v>5</v>
      </c>
      <c r="P17" s="6">
        <v>5</v>
      </c>
      <c r="Q17" s="6">
        <v>4</v>
      </c>
      <c r="R17" s="6">
        <v>5</v>
      </c>
      <c r="S17" s="6">
        <v>5</v>
      </c>
      <c r="T17" s="10" t="s">
        <v>31</v>
      </c>
      <c r="U17" s="7" t="s">
        <v>32</v>
      </c>
      <c r="V17" s="10" t="s">
        <v>101</v>
      </c>
      <c r="W17" s="8" t="s">
        <v>34</v>
      </c>
    </row>
    <row r="18" spans="1:23" ht="23.25" customHeight="1" x14ac:dyDescent="0.25">
      <c r="A18" s="3">
        <v>15</v>
      </c>
      <c r="B18" s="4" t="s">
        <v>102</v>
      </c>
      <c r="C18" s="5" t="s">
        <v>103</v>
      </c>
      <c r="D18" s="3" t="s">
        <v>27</v>
      </c>
      <c r="E18" s="6" t="s">
        <v>35</v>
      </c>
      <c r="F18" s="128">
        <v>32731666</v>
      </c>
      <c r="G18" s="128">
        <v>3004060577</v>
      </c>
      <c r="H18" s="5" t="s">
        <v>104</v>
      </c>
      <c r="I18" s="4" t="s">
        <v>105</v>
      </c>
      <c r="J18" s="5" t="s">
        <v>51</v>
      </c>
      <c r="K18" s="6">
        <v>5</v>
      </c>
      <c r="L18" s="6">
        <v>5</v>
      </c>
      <c r="M18" s="6">
        <v>5</v>
      </c>
      <c r="N18" s="6">
        <v>5</v>
      </c>
      <c r="O18" s="6">
        <v>5</v>
      </c>
      <c r="P18" s="6">
        <v>5</v>
      </c>
      <c r="Q18" s="6">
        <v>5</v>
      </c>
      <c r="R18" s="6">
        <v>5</v>
      </c>
      <c r="S18" s="6">
        <v>5</v>
      </c>
      <c r="T18" s="5" t="s">
        <v>46</v>
      </c>
      <c r="U18" s="7" t="s">
        <v>32</v>
      </c>
      <c r="V18" s="5" t="s">
        <v>106</v>
      </c>
      <c r="W18" s="3" t="s">
        <v>34</v>
      </c>
    </row>
    <row r="19" spans="1:23" ht="68.25" customHeight="1" x14ac:dyDescent="0.25">
      <c r="A19" s="8">
        <v>16</v>
      </c>
      <c r="B19" s="9" t="s">
        <v>107</v>
      </c>
      <c r="C19" s="10" t="s">
        <v>108</v>
      </c>
      <c r="D19" s="8" t="s">
        <v>27</v>
      </c>
      <c r="E19" s="6" t="s">
        <v>35</v>
      </c>
      <c r="F19" s="129">
        <v>32888793</v>
      </c>
      <c r="G19" s="129">
        <v>3005244885</v>
      </c>
      <c r="H19" s="10" t="s">
        <v>109</v>
      </c>
      <c r="I19" s="9" t="s">
        <v>110</v>
      </c>
      <c r="J19" s="10" t="s">
        <v>39</v>
      </c>
      <c r="K19" s="6">
        <v>5</v>
      </c>
      <c r="L19" s="6">
        <v>5</v>
      </c>
      <c r="M19" s="6">
        <v>5</v>
      </c>
      <c r="N19" s="6">
        <v>5</v>
      </c>
      <c r="O19" s="6">
        <v>4</v>
      </c>
      <c r="P19" s="6">
        <v>5</v>
      </c>
      <c r="Q19" s="6">
        <v>5</v>
      </c>
      <c r="R19" s="6">
        <v>4</v>
      </c>
      <c r="S19" s="6">
        <v>5</v>
      </c>
      <c r="T19" s="10" t="s">
        <v>111</v>
      </c>
      <c r="U19" s="7" t="s">
        <v>32</v>
      </c>
      <c r="V19" s="10" t="s">
        <v>112</v>
      </c>
      <c r="W19" s="8" t="s">
        <v>34</v>
      </c>
    </row>
    <row r="20" spans="1:23" ht="23.25" customHeight="1" x14ac:dyDescent="0.25">
      <c r="A20" s="3">
        <v>17</v>
      </c>
      <c r="B20" s="4" t="s">
        <v>113</v>
      </c>
      <c r="C20" s="5" t="s">
        <v>114</v>
      </c>
      <c r="D20" s="3" t="s">
        <v>27</v>
      </c>
      <c r="E20" s="6" t="s">
        <v>35</v>
      </c>
      <c r="F20" s="128">
        <v>32620815</v>
      </c>
      <c r="G20" s="128">
        <v>3015384498</v>
      </c>
      <c r="H20" s="5" t="s">
        <v>91</v>
      </c>
      <c r="I20" s="4" t="s">
        <v>29</v>
      </c>
      <c r="J20" s="5" t="s">
        <v>51</v>
      </c>
      <c r="K20" s="6">
        <v>5</v>
      </c>
      <c r="L20" s="6">
        <v>5</v>
      </c>
      <c r="M20" s="6">
        <v>5</v>
      </c>
      <c r="N20" s="6">
        <v>4</v>
      </c>
      <c r="O20" s="6">
        <v>4</v>
      </c>
      <c r="P20" s="6">
        <v>4</v>
      </c>
      <c r="Q20" s="6">
        <v>4</v>
      </c>
      <c r="R20" s="6">
        <v>4</v>
      </c>
      <c r="S20" s="6">
        <v>5</v>
      </c>
      <c r="T20" s="5" t="s">
        <v>115</v>
      </c>
      <c r="U20" s="7" t="s">
        <v>32</v>
      </c>
      <c r="V20" s="5" t="s">
        <v>116</v>
      </c>
      <c r="W20" s="3" t="s">
        <v>34</v>
      </c>
    </row>
    <row r="21" spans="1:23" ht="34.5" customHeight="1" x14ac:dyDescent="0.25">
      <c r="A21" s="8">
        <v>18</v>
      </c>
      <c r="B21" s="9" t="s">
        <v>117</v>
      </c>
      <c r="C21" s="10" t="s">
        <v>118</v>
      </c>
      <c r="D21" s="8" t="s">
        <v>27</v>
      </c>
      <c r="E21" s="6" t="s">
        <v>35</v>
      </c>
      <c r="F21" s="129">
        <v>1044431391</v>
      </c>
      <c r="G21" s="129">
        <v>3008716623</v>
      </c>
      <c r="H21" s="10" t="s">
        <v>119</v>
      </c>
      <c r="I21" s="9" t="s">
        <v>110</v>
      </c>
      <c r="J21" s="10" t="s">
        <v>39</v>
      </c>
      <c r="K21" s="6">
        <v>5</v>
      </c>
      <c r="L21" s="6">
        <v>5</v>
      </c>
      <c r="M21" s="6">
        <v>5</v>
      </c>
      <c r="N21" s="6">
        <v>5</v>
      </c>
      <c r="O21" s="6">
        <v>5</v>
      </c>
      <c r="P21" s="6">
        <v>5</v>
      </c>
      <c r="Q21" s="6">
        <v>5</v>
      </c>
      <c r="R21" s="6">
        <v>5</v>
      </c>
      <c r="S21" s="6">
        <v>5</v>
      </c>
      <c r="T21" s="10" t="s">
        <v>120</v>
      </c>
      <c r="U21" s="7" t="s">
        <v>32</v>
      </c>
      <c r="V21" s="10" t="s">
        <v>121</v>
      </c>
      <c r="W21" s="8" t="s">
        <v>34</v>
      </c>
    </row>
    <row r="22" spans="1:23" ht="34.5" customHeight="1" x14ac:dyDescent="0.25">
      <c r="A22" s="3">
        <v>19</v>
      </c>
      <c r="B22" s="4" t="s">
        <v>122</v>
      </c>
      <c r="C22" s="5" t="s">
        <v>123</v>
      </c>
      <c r="D22" s="3" t="s">
        <v>27</v>
      </c>
      <c r="E22" s="6" t="s">
        <v>35</v>
      </c>
      <c r="F22" s="128">
        <v>22517458</v>
      </c>
      <c r="G22" s="128">
        <v>3008020860</v>
      </c>
      <c r="H22" s="5" t="s">
        <v>124</v>
      </c>
      <c r="I22" s="4" t="s">
        <v>125</v>
      </c>
      <c r="J22" s="5" t="s">
        <v>39</v>
      </c>
      <c r="K22" s="6">
        <v>5</v>
      </c>
      <c r="L22" s="6">
        <v>5</v>
      </c>
      <c r="M22" s="6">
        <v>5</v>
      </c>
      <c r="N22" s="6">
        <v>5</v>
      </c>
      <c r="O22" s="6">
        <v>5</v>
      </c>
      <c r="P22" s="6">
        <v>5</v>
      </c>
      <c r="Q22" s="6">
        <v>5</v>
      </c>
      <c r="R22" s="6">
        <v>5</v>
      </c>
      <c r="S22" s="6">
        <v>5</v>
      </c>
      <c r="T22" s="5" t="s">
        <v>64</v>
      </c>
      <c r="U22" s="7" t="s">
        <v>32</v>
      </c>
      <c r="V22" s="5" t="s">
        <v>126</v>
      </c>
      <c r="W22" s="3" t="s">
        <v>34</v>
      </c>
    </row>
    <row r="23" spans="1:23" ht="23.25" customHeight="1" x14ac:dyDescent="0.25">
      <c r="A23" s="8">
        <v>20</v>
      </c>
      <c r="B23" s="9" t="s">
        <v>127</v>
      </c>
      <c r="C23" s="10" t="s">
        <v>128</v>
      </c>
      <c r="D23" s="8" t="s">
        <v>27</v>
      </c>
      <c r="E23" s="6" t="s">
        <v>35</v>
      </c>
      <c r="F23" s="129">
        <v>22505803</v>
      </c>
      <c r="G23" s="129">
        <v>3188380824</v>
      </c>
      <c r="H23" s="10" t="s">
        <v>129</v>
      </c>
      <c r="I23" s="9" t="s">
        <v>29</v>
      </c>
      <c r="J23" s="10" t="s">
        <v>51</v>
      </c>
      <c r="K23" s="6">
        <v>5</v>
      </c>
      <c r="L23" s="6">
        <v>5</v>
      </c>
      <c r="M23" s="6">
        <v>4</v>
      </c>
      <c r="N23" s="6">
        <v>5</v>
      </c>
      <c r="O23" s="6">
        <v>5</v>
      </c>
      <c r="P23" s="6">
        <v>5</v>
      </c>
      <c r="Q23" s="6">
        <v>5</v>
      </c>
      <c r="R23" s="6">
        <v>5</v>
      </c>
      <c r="S23" s="6">
        <v>5</v>
      </c>
      <c r="T23" s="10" t="s">
        <v>46</v>
      </c>
      <c r="U23" s="7" t="s">
        <v>32</v>
      </c>
      <c r="V23" s="10" t="s">
        <v>130</v>
      </c>
      <c r="W23" s="8" t="s">
        <v>34</v>
      </c>
    </row>
    <row r="24" spans="1:23" ht="23.25" customHeight="1" x14ac:dyDescent="0.25">
      <c r="A24" s="3">
        <v>21</v>
      </c>
      <c r="B24" s="4" t="s">
        <v>131</v>
      </c>
      <c r="C24" s="5" t="s">
        <v>132</v>
      </c>
      <c r="D24" s="3" t="s">
        <v>27</v>
      </c>
      <c r="E24" s="6" t="s">
        <v>35</v>
      </c>
      <c r="F24" s="128">
        <v>1129567875</v>
      </c>
      <c r="G24" s="128">
        <v>3234036363</v>
      </c>
      <c r="H24" s="5" t="s">
        <v>62</v>
      </c>
      <c r="I24" s="4" t="s">
        <v>110</v>
      </c>
      <c r="J24" s="5" t="s">
        <v>39</v>
      </c>
      <c r="K24" s="6">
        <v>5</v>
      </c>
      <c r="L24" s="6">
        <v>5</v>
      </c>
      <c r="M24" s="6">
        <v>5</v>
      </c>
      <c r="N24" s="6">
        <v>4</v>
      </c>
      <c r="O24" s="6">
        <v>4</v>
      </c>
      <c r="P24" s="6">
        <v>5</v>
      </c>
      <c r="Q24" s="6">
        <v>4</v>
      </c>
      <c r="R24" s="6">
        <v>5</v>
      </c>
      <c r="S24" s="6">
        <v>5</v>
      </c>
      <c r="T24" s="5" t="s">
        <v>69</v>
      </c>
      <c r="U24" s="7" t="s">
        <v>32</v>
      </c>
      <c r="V24" s="5" t="s">
        <v>133</v>
      </c>
      <c r="W24" s="3" t="s">
        <v>34</v>
      </c>
    </row>
    <row r="25" spans="1:23" ht="45.75" customHeight="1" x14ac:dyDescent="0.25">
      <c r="A25" s="8">
        <v>22</v>
      </c>
      <c r="B25" s="9" t="s">
        <v>134</v>
      </c>
      <c r="C25" s="10" t="s">
        <v>135</v>
      </c>
      <c r="D25" s="8" t="s">
        <v>27</v>
      </c>
      <c r="E25" s="6" t="s">
        <v>35</v>
      </c>
      <c r="F25" s="129">
        <v>22732768</v>
      </c>
      <c r="G25" s="129">
        <v>3006341038</v>
      </c>
      <c r="H25" s="10" t="s">
        <v>91</v>
      </c>
      <c r="I25" s="9" t="s">
        <v>136</v>
      </c>
      <c r="J25" s="10" t="s">
        <v>39</v>
      </c>
      <c r="K25" s="6">
        <v>5</v>
      </c>
      <c r="L25" s="6">
        <v>5</v>
      </c>
      <c r="M25" s="6">
        <v>4</v>
      </c>
      <c r="N25" s="6">
        <v>4</v>
      </c>
      <c r="O25" s="6">
        <v>4</v>
      </c>
      <c r="P25" s="6">
        <v>4</v>
      </c>
      <c r="Q25" s="6">
        <v>4</v>
      </c>
      <c r="R25" s="6">
        <v>4</v>
      </c>
      <c r="S25" s="6">
        <v>4</v>
      </c>
      <c r="T25" s="10" t="s">
        <v>31</v>
      </c>
      <c r="U25" s="7" t="s">
        <v>32</v>
      </c>
      <c r="V25" s="10" t="s">
        <v>137</v>
      </c>
      <c r="W25" s="8" t="s">
        <v>34</v>
      </c>
    </row>
    <row r="26" spans="1:23" ht="45.75" customHeight="1" x14ac:dyDescent="0.25">
      <c r="A26" s="3">
        <v>23</v>
      </c>
      <c r="B26" s="4" t="s">
        <v>138</v>
      </c>
      <c r="C26" s="5" t="s">
        <v>139</v>
      </c>
      <c r="D26" s="3" t="s">
        <v>27</v>
      </c>
      <c r="E26" s="6" t="s">
        <v>35</v>
      </c>
      <c r="F26" s="128">
        <v>1143252330</v>
      </c>
      <c r="G26" s="128">
        <v>3015530496</v>
      </c>
      <c r="H26" s="5" t="s">
        <v>140</v>
      </c>
      <c r="I26" s="4" t="s">
        <v>105</v>
      </c>
      <c r="J26" s="5" t="s">
        <v>39</v>
      </c>
      <c r="K26" s="6">
        <v>4</v>
      </c>
      <c r="L26" s="6">
        <v>4</v>
      </c>
      <c r="M26" s="12">
        <v>2</v>
      </c>
      <c r="N26" s="11">
        <v>3</v>
      </c>
      <c r="O26" s="11">
        <v>3</v>
      </c>
      <c r="P26" s="12">
        <v>2</v>
      </c>
      <c r="Q26" s="11">
        <v>3</v>
      </c>
      <c r="R26" s="11">
        <v>3</v>
      </c>
      <c r="S26" s="11">
        <v>3</v>
      </c>
      <c r="T26" s="5" t="s">
        <v>141</v>
      </c>
      <c r="U26" s="7" t="s">
        <v>32</v>
      </c>
      <c r="V26" s="5" t="s">
        <v>142</v>
      </c>
      <c r="W26" s="3" t="s">
        <v>34</v>
      </c>
    </row>
    <row r="27" spans="1:23" ht="23.25" customHeight="1" x14ac:dyDescent="0.25">
      <c r="A27" s="8">
        <v>24</v>
      </c>
      <c r="B27" s="9" t="s">
        <v>143</v>
      </c>
      <c r="C27" s="10" t="s">
        <v>144</v>
      </c>
      <c r="D27" s="8" t="s">
        <v>27</v>
      </c>
      <c r="E27" s="13" t="s">
        <v>54</v>
      </c>
      <c r="F27" s="129">
        <v>72265477</v>
      </c>
      <c r="G27" s="129">
        <v>3017776713</v>
      </c>
      <c r="H27" s="10" t="s">
        <v>145</v>
      </c>
      <c r="I27" s="9" t="s">
        <v>146</v>
      </c>
      <c r="J27" s="10" t="s">
        <v>51</v>
      </c>
      <c r="K27" s="6">
        <v>4</v>
      </c>
      <c r="L27" s="6">
        <v>4</v>
      </c>
      <c r="M27" s="6">
        <v>4</v>
      </c>
      <c r="N27" s="6">
        <v>4</v>
      </c>
      <c r="O27" s="6">
        <v>4</v>
      </c>
      <c r="P27" s="11">
        <v>3</v>
      </c>
      <c r="Q27" s="11">
        <v>3</v>
      </c>
      <c r="R27" s="6">
        <v>4</v>
      </c>
      <c r="S27" s="11">
        <v>3</v>
      </c>
      <c r="T27" s="10" t="s">
        <v>147</v>
      </c>
      <c r="U27" s="7" t="s">
        <v>32</v>
      </c>
      <c r="V27" s="10" t="s">
        <v>148</v>
      </c>
      <c r="W27" s="8" t="s">
        <v>34</v>
      </c>
    </row>
    <row r="28" spans="1:23" ht="34.5" customHeight="1" x14ac:dyDescent="0.25">
      <c r="A28" s="3">
        <v>25</v>
      </c>
      <c r="B28" s="4" t="s">
        <v>149</v>
      </c>
      <c r="C28" s="5" t="s">
        <v>150</v>
      </c>
      <c r="D28" s="3" t="s">
        <v>27</v>
      </c>
      <c r="E28" s="6" t="s">
        <v>35</v>
      </c>
      <c r="F28" s="128">
        <v>37335819</v>
      </c>
      <c r="G28" s="128">
        <v>3046262837</v>
      </c>
      <c r="H28" s="5" t="s">
        <v>151</v>
      </c>
      <c r="I28" s="4" t="s">
        <v>29</v>
      </c>
      <c r="J28" s="5" t="s">
        <v>152</v>
      </c>
      <c r="K28" s="6">
        <v>5</v>
      </c>
      <c r="L28" s="6">
        <v>5</v>
      </c>
      <c r="M28" s="6">
        <v>4</v>
      </c>
      <c r="N28" s="6">
        <v>5</v>
      </c>
      <c r="O28" s="6">
        <v>4</v>
      </c>
      <c r="P28" s="6">
        <v>5</v>
      </c>
      <c r="Q28" s="6">
        <v>5</v>
      </c>
      <c r="R28" s="6">
        <v>4</v>
      </c>
      <c r="S28" s="6">
        <v>5</v>
      </c>
      <c r="T28" s="5" t="s">
        <v>120</v>
      </c>
      <c r="U28" s="7" t="s">
        <v>32</v>
      </c>
      <c r="V28" s="5" t="s">
        <v>153</v>
      </c>
      <c r="W28" s="3" t="s">
        <v>34</v>
      </c>
    </row>
    <row r="29" spans="1:23" ht="23.25" customHeight="1" x14ac:dyDescent="0.25">
      <c r="A29" s="8">
        <v>26</v>
      </c>
      <c r="B29" s="9" t="s">
        <v>154</v>
      </c>
      <c r="C29" s="10" t="s">
        <v>155</v>
      </c>
      <c r="D29" s="8" t="s">
        <v>27</v>
      </c>
      <c r="E29" s="6" t="s">
        <v>35</v>
      </c>
      <c r="F29" s="129">
        <v>55220378</v>
      </c>
      <c r="G29" s="129">
        <v>3015573858</v>
      </c>
      <c r="H29" s="10" t="s">
        <v>156</v>
      </c>
      <c r="I29" s="9" t="s">
        <v>110</v>
      </c>
      <c r="J29" s="10" t="s">
        <v>51</v>
      </c>
      <c r="K29" s="12">
        <v>1</v>
      </c>
      <c r="L29" s="6">
        <v>4</v>
      </c>
      <c r="M29" s="6">
        <v>5</v>
      </c>
      <c r="N29" s="6">
        <v>4</v>
      </c>
      <c r="O29" s="6">
        <v>5</v>
      </c>
      <c r="P29" s="6">
        <v>4</v>
      </c>
      <c r="Q29" s="6">
        <v>4</v>
      </c>
      <c r="R29" s="6">
        <v>5</v>
      </c>
      <c r="S29" s="6">
        <v>5</v>
      </c>
      <c r="T29" s="10" t="s">
        <v>46</v>
      </c>
      <c r="U29" s="7" t="s">
        <v>32</v>
      </c>
      <c r="V29" s="10" t="s">
        <v>157</v>
      </c>
      <c r="W29" s="8" t="s">
        <v>34</v>
      </c>
    </row>
    <row r="30" spans="1:23" ht="23.25" customHeight="1" x14ac:dyDescent="0.25">
      <c r="A30" s="3">
        <v>27</v>
      </c>
      <c r="B30" s="4" t="s">
        <v>158</v>
      </c>
      <c r="C30" s="5" t="s">
        <v>159</v>
      </c>
      <c r="D30" s="3" t="s">
        <v>27</v>
      </c>
      <c r="E30" s="6" t="s">
        <v>35</v>
      </c>
      <c r="F30" s="128">
        <v>1045682124</v>
      </c>
      <c r="G30" s="128">
        <v>3005285600</v>
      </c>
      <c r="H30" s="5" t="s">
        <v>160</v>
      </c>
      <c r="I30" s="4" t="s">
        <v>29</v>
      </c>
      <c r="J30" s="5" t="s">
        <v>39</v>
      </c>
      <c r="K30" s="6">
        <v>5</v>
      </c>
      <c r="L30" s="6">
        <v>5</v>
      </c>
      <c r="M30" s="6">
        <v>5</v>
      </c>
      <c r="N30" s="6">
        <v>5</v>
      </c>
      <c r="O30" s="6">
        <v>5</v>
      </c>
      <c r="P30" s="6">
        <v>4</v>
      </c>
      <c r="Q30" s="11">
        <v>3</v>
      </c>
      <c r="R30" s="6">
        <v>4</v>
      </c>
      <c r="S30" s="6">
        <v>4</v>
      </c>
      <c r="T30" s="5" t="s">
        <v>161</v>
      </c>
      <c r="U30" s="7" t="s">
        <v>32</v>
      </c>
      <c r="V30" s="5" t="s">
        <v>162</v>
      </c>
      <c r="W30" s="3" t="s">
        <v>34</v>
      </c>
    </row>
    <row r="31" spans="1:23" ht="57" customHeight="1" x14ac:dyDescent="0.25">
      <c r="A31" s="8">
        <v>28</v>
      </c>
      <c r="B31" s="9" t="s">
        <v>163</v>
      </c>
      <c r="C31" s="10" t="s">
        <v>164</v>
      </c>
      <c r="D31" s="8" t="s">
        <v>27</v>
      </c>
      <c r="E31" s="6" t="s">
        <v>35</v>
      </c>
      <c r="F31" s="129">
        <v>1129574093</v>
      </c>
      <c r="G31" s="129">
        <v>3014224950</v>
      </c>
      <c r="H31" s="10" t="s">
        <v>165</v>
      </c>
      <c r="I31" s="9" t="s">
        <v>105</v>
      </c>
      <c r="J31" s="10" t="s">
        <v>39</v>
      </c>
      <c r="K31" s="6">
        <v>4</v>
      </c>
      <c r="L31" s="6">
        <v>4</v>
      </c>
      <c r="M31" s="6">
        <v>4</v>
      </c>
      <c r="N31" s="11">
        <v>3</v>
      </c>
      <c r="O31" s="11">
        <v>3</v>
      </c>
      <c r="P31" s="6">
        <v>4</v>
      </c>
      <c r="Q31" s="12">
        <v>2</v>
      </c>
      <c r="R31" s="6">
        <v>4</v>
      </c>
      <c r="S31" s="6">
        <v>4</v>
      </c>
      <c r="T31" s="10" t="s">
        <v>64</v>
      </c>
      <c r="U31" s="7" t="s">
        <v>32</v>
      </c>
      <c r="V31" s="10" t="s">
        <v>166</v>
      </c>
      <c r="W31" s="8" t="s">
        <v>34</v>
      </c>
    </row>
    <row r="32" spans="1:23" ht="23.25" customHeight="1" x14ac:dyDescent="0.25">
      <c r="A32" s="3">
        <v>29</v>
      </c>
      <c r="B32" s="4" t="s">
        <v>167</v>
      </c>
      <c r="C32" s="5" t="s">
        <v>168</v>
      </c>
      <c r="D32" s="3" t="s">
        <v>27</v>
      </c>
      <c r="E32" s="6" t="s">
        <v>35</v>
      </c>
      <c r="F32" s="128">
        <v>1001889334</v>
      </c>
      <c r="G32" s="128">
        <v>3043939761</v>
      </c>
      <c r="H32" s="5" t="s">
        <v>169</v>
      </c>
      <c r="I32" s="4" t="s">
        <v>29</v>
      </c>
      <c r="J32" s="5" t="s">
        <v>39</v>
      </c>
      <c r="K32" s="6">
        <v>5</v>
      </c>
      <c r="L32" s="6">
        <v>5</v>
      </c>
      <c r="M32" s="6">
        <v>5</v>
      </c>
      <c r="N32" s="6">
        <v>5</v>
      </c>
      <c r="O32" s="11">
        <v>3</v>
      </c>
      <c r="P32" s="6">
        <v>4</v>
      </c>
      <c r="Q32" s="11">
        <v>3</v>
      </c>
      <c r="R32" s="11">
        <v>3</v>
      </c>
      <c r="S32" s="6">
        <v>4</v>
      </c>
      <c r="T32" s="5" t="s">
        <v>58</v>
      </c>
      <c r="U32" s="7" t="s">
        <v>32</v>
      </c>
      <c r="V32" s="5" t="s">
        <v>170</v>
      </c>
      <c r="W32" s="3" t="s">
        <v>34</v>
      </c>
    </row>
    <row r="33" spans="1:23" ht="23.25" customHeight="1" x14ac:dyDescent="0.25">
      <c r="A33" s="8">
        <v>30</v>
      </c>
      <c r="B33" s="9" t="s">
        <v>171</v>
      </c>
      <c r="C33" s="10" t="s">
        <v>172</v>
      </c>
      <c r="D33" s="8" t="s">
        <v>27</v>
      </c>
      <c r="E33" s="6" t="s">
        <v>35</v>
      </c>
      <c r="F33" s="129">
        <v>1044420265</v>
      </c>
      <c r="G33" s="129">
        <v>3127043560</v>
      </c>
      <c r="H33" s="10" t="s">
        <v>173</v>
      </c>
      <c r="I33" s="9" t="s">
        <v>29</v>
      </c>
      <c r="J33" s="10" t="s">
        <v>39</v>
      </c>
      <c r="K33" s="6">
        <v>5</v>
      </c>
      <c r="L33" s="6">
        <v>5</v>
      </c>
      <c r="M33" s="6">
        <v>5</v>
      </c>
      <c r="N33" s="6">
        <v>5</v>
      </c>
      <c r="O33" s="6">
        <v>5</v>
      </c>
      <c r="P33" s="6">
        <v>5</v>
      </c>
      <c r="Q33" s="11">
        <v>3</v>
      </c>
      <c r="R33" s="11">
        <v>3</v>
      </c>
      <c r="S33" s="6">
        <v>4</v>
      </c>
      <c r="T33" s="10" t="s">
        <v>141</v>
      </c>
      <c r="U33" s="7" t="s">
        <v>32</v>
      </c>
      <c r="V33" s="10" t="s">
        <v>174</v>
      </c>
      <c r="W33" s="8" t="s">
        <v>34</v>
      </c>
    </row>
    <row r="34" spans="1:23" ht="102" customHeight="1" x14ac:dyDescent="0.25">
      <c r="A34" s="3">
        <v>31</v>
      </c>
      <c r="B34" s="4" t="s">
        <v>175</v>
      </c>
      <c r="C34" s="5" t="s">
        <v>176</v>
      </c>
      <c r="D34" s="3" t="s">
        <v>27</v>
      </c>
      <c r="E34" s="6" t="s">
        <v>35</v>
      </c>
      <c r="F34" s="128">
        <v>22591511</v>
      </c>
      <c r="G34" s="128">
        <v>3193460144</v>
      </c>
      <c r="H34" s="5" t="s">
        <v>177</v>
      </c>
      <c r="I34" s="4" t="s">
        <v>29</v>
      </c>
      <c r="J34" s="5" t="s">
        <v>39</v>
      </c>
      <c r="K34" s="6">
        <v>5</v>
      </c>
      <c r="L34" s="6">
        <v>5</v>
      </c>
      <c r="M34" s="6">
        <v>5</v>
      </c>
      <c r="N34" s="6">
        <v>5</v>
      </c>
      <c r="O34" s="6">
        <v>5</v>
      </c>
      <c r="P34" s="6">
        <v>5</v>
      </c>
      <c r="Q34" s="6">
        <v>4</v>
      </c>
      <c r="R34" s="6">
        <v>5</v>
      </c>
      <c r="S34" s="6">
        <v>5</v>
      </c>
      <c r="T34" s="5" t="s">
        <v>74</v>
      </c>
      <c r="U34" s="7" t="s">
        <v>32</v>
      </c>
      <c r="V34" s="5" t="s">
        <v>178</v>
      </c>
      <c r="W34" s="3" t="s">
        <v>34</v>
      </c>
    </row>
    <row r="35" spans="1:23" ht="45.75" customHeight="1" x14ac:dyDescent="0.25">
      <c r="A35" s="8">
        <v>32</v>
      </c>
      <c r="B35" s="9" t="s">
        <v>179</v>
      </c>
      <c r="C35" s="10" t="s">
        <v>180</v>
      </c>
      <c r="D35" s="8" t="s">
        <v>27</v>
      </c>
      <c r="E35" s="6" t="s">
        <v>35</v>
      </c>
      <c r="F35" s="129">
        <v>32721380</v>
      </c>
      <c r="G35" s="129">
        <v>3156371826</v>
      </c>
      <c r="H35" s="10" t="s">
        <v>181</v>
      </c>
      <c r="I35" s="9" t="s">
        <v>29</v>
      </c>
      <c r="J35" s="10" t="s">
        <v>39</v>
      </c>
      <c r="K35" s="6">
        <v>5</v>
      </c>
      <c r="L35" s="6">
        <v>5</v>
      </c>
      <c r="M35" s="6">
        <v>5</v>
      </c>
      <c r="N35" s="6">
        <v>4</v>
      </c>
      <c r="O35" s="6">
        <v>4</v>
      </c>
      <c r="P35" s="6">
        <v>5</v>
      </c>
      <c r="Q35" s="6">
        <v>4</v>
      </c>
      <c r="R35" s="6">
        <v>5</v>
      </c>
      <c r="S35" s="6">
        <v>5</v>
      </c>
      <c r="T35" s="10" t="s">
        <v>74</v>
      </c>
      <c r="U35" s="7" t="s">
        <v>32</v>
      </c>
      <c r="V35" s="10" t="s">
        <v>182</v>
      </c>
      <c r="W35" s="8" t="s">
        <v>34</v>
      </c>
    </row>
    <row r="36" spans="1:23" ht="45.75" customHeight="1" x14ac:dyDescent="0.25">
      <c r="A36" s="3">
        <v>33</v>
      </c>
      <c r="B36" s="4" t="s">
        <v>183</v>
      </c>
      <c r="C36" s="5" t="s">
        <v>184</v>
      </c>
      <c r="D36" s="3" t="s">
        <v>27</v>
      </c>
      <c r="E36" s="6" t="s">
        <v>35</v>
      </c>
      <c r="F36" s="128">
        <v>22735262</v>
      </c>
      <c r="G36" s="128">
        <v>3004736508</v>
      </c>
      <c r="H36" s="5" t="s">
        <v>185</v>
      </c>
      <c r="I36" s="4" t="s">
        <v>92</v>
      </c>
      <c r="J36" s="5" t="s">
        <v>51</v>
      </c>
      <c r="K36" s="6">
        <v>5</v>
      </c>
      <c r="L36" s="6">
        <v>5</v>
      </c>
      <c r="M36" s="6">
        <v>5</v>
      </c>
      <c r="N36" s="6">
        <v>5</v>
      </c>
      <c r="O36" s="6">
        <v>5</v>
      </c>
      <c r="P36" s="6">
        <v>5</v>
      </c>
      <c r="Q36" s="6">
        <v>5</v>
      </c>
      <c r="R36" s="6">
        <v>5</v>
      </c>
      <c r="S36" s="6">
        <v>5</v>
      </c>
      <c r="T36" s="5" t="s">
        <v>31</v>
      </c>
      <c r="U36" s="7" t="s">
        <v>32</v>
      </c>
      <c r="V36" s="5" t="s">
        <v>186</v>
      </c>
      <c r="W36" s="3" t="s">
        <v>34</v>
      </c>
    </row>
    <row r="37" spans="1:23" ht="45.75" customHeight="1" x14ac:dyDescent="0.25">
      <c r="A37" s="8">
        <v>34</v>
      </c>
      <c r="B37" s="9" t="s">
        <v>187</v>
      </c>
      <c r="C37" s="10" t="s">
        <v>188</v>
      </c>
      <c r="D37" s="8" t="s">
        <v>27</v>
      </c>
      <c r="E37" s="6" t="s">
        <v>35</v>
      </c>
      <c r="F37" s="129">
        <v>1129583253</v>
      </c>
      <c r="G37" s="129">
        <v>3052600677</v>
      </c>
      <c r="H37" s="10" t="s">
        <v>189</v>
      </c>
      <c r="I37" s="9" t="s">
        <v>63</v>
      </c>
      <c r="J37" s="10" t="s">
        <v>51</v>
      </c>
      <c r="K37" s="6">
        <v>5</v>
      </c>
      <c r="L37" s="6">
        <v>5</v>
      </c>
      <c r="M37" s="6">
        <v>5</v>
      </c>
      <c r="N37" s="6">
        <v>5</v>
      </c>
      <c r="O37" s="6">
        <v>5</v>
      </c>
      <c r="P37" s="6">
        <v>5</v>
      </c>
      <c r="Q37" s="6">
        <v>5</v>
      </c>
      <c r="R37" s="6">
        <v>5</v>
      </c>
      <c r="S37" s="6">
        <v>5</v>
      </c>
      <c r="T37" s="10" t="s">
        <v>74</v>
      </c>
      <c r="U37" s="7" t="s">
        <v>32</v>
      </c>
      <c r="V37" s="10" t="s">
        <v>190</v>
      </c>
      <c r="W37" s="8" t="s">
        <v>34</v>
      </c>
    </row>
    <row r="38" spans="1:23" ht="45.75" customHeight="1" x14ac:dyDescent="0.25">
      <c r="A38" s="3">
        <v>35</v>
      </c>
      <c r="B38" s="4" t="s">
        <v>191</v>
      </c>
      <c r="C38" s="5" t="s">
        <v>192</v>
      </c>
      <c r="D38" s="3" t="s">
        <v>27</v>
      </c>
      <c r="E38" s="13" t="s">
        <v>54</v>
      </c>
      <c r="F38" s="128">
        <v>72264929</v>
      </c>
      <c r="G38" s="128">
        <v>3156710618</v>
      </c>
      <c r="H38" s="5" t="s">
        <v>193</v>
      </c>
      <c r="I38" s="4" t="s">
        <v>29</v>
      </c>
      <c r="J38" s="5" t="s">
        <v>39</v>
      </c>
      <c r="K38" s="6">
        <v>4</v>
      </c>
      <c r="L38" s="6">
        <v>4</v>
      </c>
      <c r="M38" s="6">
        <v>4</v>
      </c>
      <c r="N38" s="6">
        <v>4</v>
      </c>
      <c r="O38" s="6">
        <v>4</v>
      </c>
      <c r="P38" s="12">
        <v>1</v>
      </c>
      <c r="Q38" s="12">
        <v>1</v>
      </c>
      <c r="R38" s="12">
        <v>1</v>
      </c>
      <c r="S38" s="12">
        <v>1</v>
      </c>
      <c r="T38" s="5" t="s">
        <v>58</v>
      </c>
      <c r="U38" s="14" t="s">
        <v>194</v>
      </c>
      <c r="V38" s="5" t="s">
        <v>195</v>
      </c>
      <c r="W38" s="3" t="s">
        <v>34</v>
      </c>
    </row>
    <row r="39" spans="1:23" ht="23.25" customHeight="1" x14ac:dyDescent="0.25">
      <c r="A39" s="8">
        <v>36</v>
      </c>
      <c r="B39" s="9" t="s">
        <v>196</v>
      </c>
      <c r="C39" s="10" t="s">
        <v>197</v>
      </c>
      <c r="D39" s="8" t="s">
        <v>27</v>
      </c>
      <c r="E39" s="13" t="s">
        <v>54</v>
      </c>
      <c r="F39" s="129">
        <v>84454754</v>
      </c>
      <c r="G39" s="129">
        <v>3012252060</v>
      </c>
      <c r="H39" s="10" t="s">
        <v>198</v>
      </c>
      <c r="I39" s="9" t="s">
        <v>29</v>
      </c>
      <c r="J39" s="10" t="s">
        <v>51</v>
      </c>
      <c r="K39" s="6">
        <v>4</v>
      </c>
      <c r="L39" s="6">
        <v>4</v>
      </c>
      <c r="M39" s="6">
        <v>4</v>
      </c>
      <c r="N39" s="6">
        <v>4</v>
      </c>
      <c r="O39" s="11">
        <v>3</v>
      </c>
      <c r="P39" s="11">
        <v>3</v>
      </c>
      <c r="Q39" s="11">
        <v>3</v>
      </c>
      <c r="R39" s="11">
        <v>3</v>
      </c>
      <c r="S39" s="6">
        <v>4</v>
      </c>
      <c r="T39" s="10" t="s">
        <v>147</v>
      </c>
      <c r="U39" s="7" t="s">
        <v>32</v>
      </c>
      <c r="V39" s="10" t="s">
        <v>199</v>
      </c>
      <c r="W39" s="8" t="s">
        <v>34</v>
      </c>
    </row>
    <row r="40" spans="1:23" ht="45.75" customHeight="1" x14ac:dyDescent="0.25">
      <c r="A40" s="3">
        <v>37</v>
      </c>
      <c r="B40" s="4" t="s">
        <v>200</v>
      </c>
      <c r="C40" s="5" t="s">
        <v>201</v>
      </c>
      <c r="D40" s="3" t="s">
        <v>27</v>
      </c>
      <c r="E40" s="6" t="s">
        <v>35</v>
      </c>
      <c r="F40" s="128">
        <v>32700888</v>
      </c>
      <c r="G40" s="128">
        <v>3022889089</v>
      </c>
      <c r="H40" s="5" t="s">
        <v>202</v>
      </c>
      <c r="I40" s="4" t="s">
        <v>63</v>
      </c>
      <c r="J40" s="5" t="s">
        <v>39</v>
      </c>
      <c r="K40" s="6">
        <v>5</v>
      </c>
      <c r="L40" s="6">
        <v>5</v>
      </c>
      <c r="M40" s="6">
        <v>5</v>
      </c>
      <c r="N40" s="6">
        <v>4</v>
      </c>
      <c r="O40" s="11">
        <v>3</v>
      </c>
      <c r="P40" s="6">
        <v>4</v>
      </c>
      <c r="Q40" s="6">
        <v>4</v>
      </c>
      <c r="R40" s="6">
        <v>4</v>
      </c>
      <c r="S40" s="6">
        <v>4</v>
      </c>
      <c r="T40" s="5" t="s">
        <v>46</v>
      </c>
      <c r="U40" s="7" t="s">
        <v>32</v>
      </c>
      <c r="V40" s="5" t="s">
        <v>203</v>
      </c>
      <c r="W40" s="3" t="s">
        <v>34</v>
      </c>
    </row>
    <row r="41" spans="1:23" ht="23.25" customHeight="1" x14ac:dyDescent="0.25">
      <c r="A41" s="8">
        <v>38</v>
      </c>
      <c r="B41" s="9" t="s">
        <v>204</v>
      </c>
      <c r="C41" s="10" t="s">
        <v>205</v>
      </c>
      <c r="D41" s="8" t="s">
        <v>27</v>
      </c>
      <c r="E41" s="6" t="s">
        <v>35</v>
      </c>
      <c r="F41" s="129">
        <v>1045759587</v>
      </c>
      <c r="G41" s="129">
        <v>3008131932</v>
      </c>
      <c r="H41" s="10" t="s">
        <v>206</v>
      </c>
      <c r="I41" s="9" t="s">
        <v>207</v>
      </c>
      <c r="J41" s="10" t="s">
        <v>51</v>
      </c>
      <c r="K41" s="6">
        <v>5</v>
      </c>
      <c r="L41" s="6">
        <v>5</v>
      </c>
      <c r="M41" s="6">
        <v>5</v>
      </c>
      <c r="N41" s="6">
        <v>4</v>
      </c>
      <c r="O41" s="6">
        <v>4</v>
      </c>
      <c r="P41" s="6">
        <v>4</v>
      </c>
      <c r="Q41" s="6">
        <v>4</v>
      </c>
      <c r="R41" s="6">
        <v>5</v>
      </c>
      <c r="S41" s="6">
        <v>4</v>
      </c>
      <c r="T41" s="10" t="s">
        <v>147</v>
      </c>
      <c r="U41" s="7" t="s">
        <v>32</v>
      </c>
      <c r="V41" s="10" t="s">
        <v>208</v>
      </c>
      <c r="W41" s="8" t="s">
        <v>209</v>
      </c>
    </row>
    <row r="42" spans="1:23" ht="34.5" customHeight="1" x14ac:dyDescent="0.25">
      <c r="A42" s="3">
        <v>39</v>
      </c>
      <c r="B42" s="4" t="s">
        <v>210</v>
      </c>
      <c r="C42" s="5" t="s">
        <v>211</v>
      </c>
      <c r="D42" s="3" t="s">
        <v>27</v>
      </c>
      <c r="E42" s="6" t="s">
        <v>35</v>
      </c>
      <c r="F42" s="128">
        <v>22549357</v>
      </c>
      <c r="G42" s="128">
        <v>3127553298</v>
      </c>
      <c r="H42" s="5" t="s">
        <v>212</v>
      </c>
      <c r="I42" s="4" t="s">
        <v>207</v>
      </c>
      <c r="J42" s="5" t="s">
        <v>51</v>
      </c>
      <c r="K42" s="6">
        <v>5</v>
      </c>
      <c r="L42" s="6">
        <v>5</v>
      </c>
      <c r="M42" s="6">
        <v>5</v>
      </c>
      <c r="N42" s="6">
        <v>5</v>
      </c>
      <c r="O42" s="6">
        <v>5</v>
      </c>
      <c r="P42" s="6">
        <v>5</v>
      </c>
      <c r="Q42" s="6">
        <v>5</v>
      </c>
      <c r="R42" s="6">
        <v>5</v>
      </c>
      <c r="S42" s="6">
        <v>5</v>
      </c>
      <c r="T42" s="5" t="s">
        <v>120</v>
      </c>
      <c r="U42" s="7" t="s">
        <v>32</v>
      </c>
      <c r="V42" s="5" t="s">
        <v>213</v>
      </c>
      <c r="W42" s="3" t="s">
        <v>209</v>
      </c>
    </row>
    <row r="43" spans="1:23" ht="23.25" customHeight="1" x14ac:dyDescent="0.25">
      <c r="A43" s="8">
        <v>40</v>
      </c>
      <c r="B43" s="9" t="s">
        <v>214</v>
      </c>
      <c r="C43" s="10" t="s">
        <v>215</v>
      </c>
      <c r="D43" s="8" t="s">
        <v>27</v>
      </c>
      <c r="E43" s="6" t="s">
        <v>35</v>
      </c>
      <c r="F43" s="129">
        <v>33106952</v>
      </c>
      <c r="G43" s="129">
        <v>3007724148</v>
      </c>
      <c r="H43" s="10" t="s">
        <v>216</v>
      </c>
      <c r="I43" s="9" t="s">
        <v>207</v>
      </c>
      <c r="J43" s="10" t="s">
        <v>51</v>
      </c>
      <c r="K43" s="6">
        <v>5</v>
      </c>
      <c r="L43" s="6">
        <v>5</v>
      </c>
      <c r="M43" s="6">
        <v>5</v>
      </c>
      <c r="N43" s="6">
        <v>5</v>
      </c>
      <c r="O43" s="6">
        <v>5</v>
      </c>
      <c r="P43" s="6">
        <v>5</v>
      </c>
      <c r="Q43" s="6">
        <v>5</v>
      </c>
      <c r="R43" s="6">
        <v>5</v>
      </c>
      <c r="S43" s="6">
        <v>5</v>
      </c>
      <c r="T43" s="10" t="s">
        <v>46</v>
      </c>
      <c r="U43" s="7" t="s">
        <v>32</v>
      </c>
      <c r="V43" s="10" t="s">
        <v>217</v>
      </c>
      <c r="W43" s="8" t="s">
        <v>209</v>
      </c>
    </row>
    <row r="44" spans="1:23" ht="45.75" customHeight="1" x14ac:dyDescent="0.25">
      <c r="A44" s="3">
        <v>41</v>
      </c>
      <c r="B44" s="4" t="s">
        <v>218</v>
      </c>
      <c r="C44" s="5" t="s">
        <v>219</v>
      </c>
      <c r="D44" s="3" t="s">
        <v>27</v>
      </c>
      <c r="E44" s="6" t="s">
        <v>35</v>
      </c>
      <c r="F44" s="128">
        <v>66777965</v>
      </c>
      <c r="G44" s="128">
        <v>3233304423</v>
      </c>
      <c r="H44" s="5" t="s">
        <v>216</v>
      </c>
      <c r="I44" s="4" t="s">
        <v>207</v>
      </c>
      <c r="J44" s="5" t="s">
        <v>39</v>
      </c>
      <c r="K44" s="6">
        <v>5</v>
      </c>
      <c r="L44" s="6">
        <v>5</v>
      </c>
      <c r="M44" s="6">
        <v>5</v>
      </c>
      <c r="N44" s="6">
        <v>4</v>
      </c>
      <c r="O44" s="6">
        <v>4</v>
      </c>
      <c r="P44" s="6">
        <v>5</v>
      </c>
      <c r="Q44" s="6">
        <v>5</v>
      </c>
      <c r="R44" s="6">
        <v>5</v>
      </c>
      <c r="S44" s="6">
        <v>5</v>
      </c>
      <c r="T44" s="5" t="s">
        <v>31</v>
      </c>
      <c r="U44" s="7" t="s">
        <v>32</v>
      </c>
      <c r="V44" s="5" t="s">
        <v>220</v>
      </c>
      <c r="W44" s="3" t="s">
        <v>209</v>
      </c>
    </row>
    <row r="45" spans="1:23" ht="45.75" customHeight="1" x14ac:dyDescent="0.25">
      <c r="A45" s="8">
        <v>42</v>
      </c>
      <c r="B45" s="9" t="s">
        <v>221</v>
      </c>
      <c r="C45" s="10" t="s">
        <v>222</v>
      </c>
      <c r="D45" s="8" t="s">
        <v>27</v>
      </c>
      <c r="E45" s="6" t="s">
        <v>35</v>
      </c>
      <c r="F45" s="129">
        <v>55301207</v>
      </c>
      <c r="G45" s="129">
        <v>3008098715</v>
      </c>
      <c r="H45" s="10" t="s">
        <v>223</v>
      </c>
      <c r="I45" s="9" t="s">
        <v>207</v>
      </c>
      <c r="J45" s="10" t="s">
        <v>39</v>
      </c>
      <c r="K45" s="6">
        <v>5</v>
      </c>
      <c r="L45" s="6">
        <v>5</v>
      </c>
      <c r="M45" s="6">
        <v>5</v>
      </c>
      <c r="N45" s="6">
        <v>4</v>
      </c>
      <c r="O45" s="6">
        <v>4</v>
      </c>
      <c r="P45" s="6">
        <v>5</v>
      </c>
      <c r="Q45" s="6">
        <v>5</v>
      </c>
      <c r="R45" s="6">
        <v>5</v>
      </c>
      <c r="S45" s="6">
        <v>5</v>
      </c>
      <c r="T45" s="10" t="s">
        <v>74</v>
      </c>
      <c r="U45" s="7" t="s">
        <v>32</v>
      </c>
      <c r="V45" s="10" t="s">
        <v>224</v>
      </c>
      <c r="W45" s="8" t="s">
        <v>209</v>
      </c>
    </row>
    <row r="46" spans="1:23" ht="34.5" customHeight="1" x14ac:dyDescent="0.25">
      <c r="A46" s="3">
        <v>43</v>
      </c>
      <c r="B46" s="4" t="s">
        <v>225</v>
      </c>
      <c r="C46" s="5" t="s">
        <v>226</v>
      </c>
      <c r="D46" s="3" t="s">
        <v>27</v>
      </c>
      <c r="E46" s="6" t="s">
        <v>35</v>
      </c>
      <c r="F46" s="128">
        <v>32691872</v>
      </c>
      <c r="G46" s="128">
        <v>3006638099</v>
      </c>
      <c r="H46" s="5" t="s">
        <v>227</v>
      </c>
      <c r="I46" s="4" t="s">
        <v>207</v>
      </c>
      <c r="J46" s="5" t="s">
        <v>39</v>
      </c>
      <c r="K46" s="6">
        <v>5</v>
      </c>
      <c r="L46" s="6">
        <v>5</v>
      </c>
      <c r="M46" s="6">
        <v>5</v>
      </c>
      <c r="N46" s="6">
        <v>5</v>
      </c>
      <c r="O46" s="6">
        <v>5</v>
      </c>
      <c r="P46" s="6">
        <v>5</v>
      </c>
      <c r="Q46" s="6">
        <v>5</v>
      </c>
      <c r="R46" s="6">
        <v>5</v>
      </c>
      <c r="S46" s="6">
        <v>5</v>
      </c>
      <c r="T46" s="5" t="s">
        <v>46</v>
      </c>
      <c r="U46" s="7" t="s">
        <v>32</v>
      </c>
      <c r="V46" s="5" t="s">
        <v>228</v>
      </c>
      <c r="W46" s="3" t="s">
        <v>34</v>
      </c>
    </row>
    <row r="47" spans="1:23" ht="45.75" customHeight="1" x14ac:dyDescent="0.25">
      <c r="A47" s="8">
        <v>44</v>
      </c>
      <c r="B47" s="9" t="s">
        <v>229</v>
      </c>
      <c r="C47" s="10" t="s">
        <v>230</v>
      </c>
      <c r="D47" s="8" t="s">
        <v>27</v>
      </c>
      <c r="E47" s="6" t="s">
        <v>35</v>
      </c>
      <c r="F47" s="129">
        <v>22616917</v>
      </c>
      <c r="G47" s="129">
        <v>3167244218</v>
      </c>
      <c r="H47" s="10" t="s">
        <v>216</v>
      </c>
      <c r="I47" s="9" t="s">
        <v>207</v>
      </c>
      <c r="J47" s="10" t="s">
        <v>51</v>
      </c>
      <c r="K47" s="6">
        <v>5</v>
      </c>
      <c r="L47" s="6">
        <v>5</v>
      </c>
      <c r="M47" s="6">
        <v>5</v>
      </c>
      <c r="N47" s="6">
        <v>4</v>
      </c>
      <c r="O47" s="6">
        <v>4</v>
      </c>
      <c r="P47" s="6">
        <v>5</v>
      </c>
      <c r="Q47" s="6">
        <v>5</v>
      </c>
      <c r="R47" s="6">
        <v>5</v>
      </c>
      <c r="S47" s="6">
        <v>5</v>
      </c>
      <c r="T47" s="10" t="s">
        <v>231</v>
      </c>
      <c r="U47" s="7" t="s">
        <v>32</v>
      </c>
      <c r="V47" s="10" t="s">
        <v>232</v>
      </c>
      <c r="W47" s="8" t="s">
        <v>209</v>
      </c>
    </row>
    <row r="48" spans="1:23" ht="45.75" customHeight="1" x14ac:dyDescent="0.25">
      <c r="A48" s="3">
        <v>45</v>
      </c>
      <c r="B48" s="4" t="s">
        <v>233</v>
      </c>
      <c r="C48" s="5" t="s">
        <v>234</v>
      </c>
      <c r="D48" s="3" t="s">
        <v>27</v>
      </c>
      <c r="E48" s="6" t="s">
        <v>35</v>
      </c>
      <c r="F48" s="128">
        <v>63306726</v>
      </c>
      <c r="G48" s="128">
        <v>3155970485</v>
      </c>
      <c r="H48" s="5" t="s">
        <v>206</v>
      </c>
      <c r="I48" s="4" t="s">
        <v>207</v>
      </c>
      <c r="J48" s="5" t="s">
        <v>39</v>
      </c>
      <c r="K48" s="6">
        <v>5</v>
      </c>
      <c r="L48" s="6">
        <v>5</v>
      </c>
      <c r="M48" s="6">
        <v>5</v>
      </c>
      <c r="N48" s="6">
        <v>5</v>
      </c>
      <c r="O48" s="6">
        <v>5</v>
      </c>
      <c r="P48" s="6">
        <v>5</v>
      </c>
      <c r="Q48" s="6">
        <v>5</v>
      </c>
      <c r="R48" s="6">
        <v>5</v>
      </c>
      <c r="S48" s="6">
        <v>5</v>
      </c>
      <c r="T48" s="5" t="s">
        <v>74</v>
      </c>
      <c r="U48" s="7" t="s">
        <v>32</v>
      </c>
      <c r="V48" s="5" t="s">
        <v>235</v>
      </c>
      <c r="W48" s="3" t="s">
        <v>209</v>
      </c>
    </row>
    <row r="49" spans="1:23" ht="45.75" customHeight="1" x14ac:dyDescent="0.25">
      <c r="A49" s="8">
        <v>46</v>
      </c>
      <c r="B49" s="9" t="s">
        <v>236</v>
      </c>
      <c r="C49" s="10" t="s">
        <v>237</v>
      </c>
      <c r="D49" s="8" t="s">
        <v>27</v>
      </c>
      <c r="E49" s="6" t="s">
        <v>35</v>
      </c>
      <c r="F49" s="129">
        <v>55227009</v>
      </c>
      <c r="G49" s="129">
        <v>3143620603</v>
      </c>
      <c r="H49" s="10" t="s">
        <v>238</v>
      </c>
      <c r="I49" s="9" t="s">
        <v>239</v>
      </c>
      <c r="J49" s="10" t="s">
        <v>45</v>
      </c>
      <c r="K49" s="6">
        <v>5</v>
      </c>
      <c r="L49" s="6">
        <v>5</v>
      </c>
      <c r="M49" s="6">
        <v>5</v>
      </c>
      <c r="N49" s="6">
        <v>4</v>
      </c>
      <c r="O49" s="6">
        <v>4</v>
      </c>
      <c r="P49" s="6">
        <v>5</v>
      </c>
      <c r="Q49" s="6">
        <v>5</v>
      </c>
      <c r="R49" s="6">
        <v>5</v>
      </c>
      <c r="S49" s="6">
        <v>5</v>
      </c>
      <c r="T49" s="10" t="s">
        <v>31</v>
      </c>
      <c r="U49" s="7" t="s">
        <v>32</v>
      </c>
      <c r="V49" s="10" t="s">
        <v>240</v>
      </c>
      <c r="W49" s="8" t="s">
        <v>241</v>
      </c>
    </row>
    <row r="50" spans="1:23" ht="45.75" customHeight="1" x14ac:dyDescent="0.25">
      <c r="A50" s="3">
        <v>47</v>
      </c>
      <c r="B50" s="4" t="s">
        <v>242</v>
      </c>
      <c r="C50" s="5" t="s">
        <v>243</v>
      </c>
      <c r="D50" s="3" t="s">
        <v>27</v>
      </c>
      <c r="E50" s="6" t="s">
        <v>35</v>
      </c>
      <c r="F50" s="128">
        <v>32628275</v>
      </c>
      <c r="G50" s="128">
        <v>3015095653</v>
      </c>
      <c r="H50" s="5" t="s">
        <v>244</v>
      </c>
      <c r="I50" s="4" t="s">
        <v>239</v>
      </c>
      <c r="J50" s="5" t="s">
        <v>45</v>
      </c>
      <c r="K50" s="6">
        <v>4</v>
      </c>
      <c r="L50" s="6">
        <v>4</v>
      </c>
      <c r="M50" s="6">
        <v>4</v>
      </c>
      <c r="N50" s="6">
        <v>4</v>
      </c>
      <c r="O50" s="6">
        <v>4</v>
      </c>
      <c r="P50" s="6">
        <v>4</v>
      </c>
      <c r="Q50" s="6">
        <v>5</v>
      </c>
      <c r="R50" s="6">
        <v>4</v>
      </c>
      <c r="S50" s="6">
        <v>4</v>
      </c>
      <c r="T50" s="5" t="s">
        <v>74</v>
      </c>
      <c r="U50" s="7" t="s">
        <v>32</v>
      </c>
      <c r="V50" s="5" t="s">
        <v>245</v>
      </c>
      <c r="W50" s="3" t="s">
        <v>246</v>
      </c>
    </row>
    <row r="51" spans="1:23" ht="34.5" customHeight="1" x14ac:dyDescent="0.25">
      <c r="A51" s="8">
        <v>48</v>
      </c>
      <c r="B51" s="9" t="s">
        <v>247</v>
      </c>
      <c r="C51" s="10" t="s">
        <v>248</v>
      </c>
      <c r="D51" s="8" t="s">
        <v>27</v>
      </c>
      <c r="E51" s="6" t="s">
        <v>35</v>
      </c>
      <c r="F51" s="129">
        <v>1043670519</v>
      </c>
      <c r="G51" s="129">
        <v>3216901860</v>
      </c>
      <c r="H51" s="10" t="s">
        <v>249</v>
      </c>
      <c r="I51" s="9" t="s">
        <v>250</v>
      </c>
      <c r="J51" s="10" t="s">
        <v>45</v>
      </c>
      <c r="K51" s="6">
        <v>4</v>
      </c>
      <c r="L51" s="6">
        <v>4</v>
      </c>
      <c r="M51" s="6">
        <v>4</v>
      </c>
      <c r="N51" s="6">
        <v>4</v>
      </c>
      <c r="O51" s="11">
        <v>3</v>
      </c>
      <c r="P51" s="6">
        <v>4</v>
      </c>
      <c r="Q51" s="6">
        <v>4</v>
      </c>
      <c r="R51" s="6">
        <v>4</v>
      </c>
      <c r="S51" s="6">
        <v>4</v>
      </c>
      <c r="T51" s="10" t="s">
        <v>251</v>
      </c>
      <c r="U51" s="7" t="s">
        <v>32</v>
      </c>
      <c r="V51" s="10" t="s">
        <v>252</v>
      </c>
      <c r="W51" s="8" t="s">
        <v>246</v>
      </c>
    </row>
    <row r="52" spans="1:23" ht="23.25" customHeight="1" x14ac:dyDescent="0.25">
      <c r="A52" s="3">
        <v>49</v>
      </c>
      <c r="B52" s="4" t="s">
        <v>253</v>
      </c>
      <c r="C52" s="5" t="s">
        <v>254</v>
      </c>
      <c r="D52" s="3" t="s">
        <v>27</v>
      </c>
      <c r="E52" s="6" t="s">
        <v>35</v>
      </c>
      <c r="F52" s="128">
        <v>55242548</v>
      </c>
      <c r="G52" s="128">
        <v>3235637400</v>
      </c>
      <c r="H52" s="5" t="s">
        <v>255</v>
      </c>
      <c r="I52" s="4" t="s">
        <v>239</v>
      </c>
      <c r="J52" s="5" t="s">
        <v>45</v>
      </c>
      <c r="K52" s="6">
        <v>5</v>
      </c>
      <c r="L52" s="6">
        <v>5</v>
      </c>
      <c r="M52" s="6">
        <v>4</v>
      </c>
      <c r="N52" s="6">
        <v>4</v>
      </c>
      <c r="O52" s="6">
        <v>4</v>
      </c>
      <c r="P52" s="11">
        <v>3</v>
      </c>
      <c r="Q52" s="6">
        <v>4</v>
      </c>
      <c r="R52" s="6">
        <v>4</v>
      </c>
      <c r="S52" s="11">
        <v>3</v>
      </c>
      <c r="T52" s="5" t="s">
        <v>46</v>
      </c>
      <c r="U52" s="7" t="s">
        <v>32</v>
      </c>
      <c r="V52" s="5" t="s">
        <v>256</v>
      </c>
      <c r="W52" s="3" t="s">
        <v>246</v>
      </c>
    </row>
  </sheetData>
  <mergeCells count="2">
    <mergeCell ref="A1:V1"/>
    <mergeCell ref="A2:V2"/>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sheetPr>
  <dimension ref="A1:K24"/>
  <sheetViews>
    <sheetView showGridLines="0" zoomScaleNormal="100" workbookViewId="0">
      <pane ySplit="4" topLeftCell="A5" activePane="bottomLeft" state="frozen"/>
      <selection pane="bottomLeft" sqref="A1:XFD1048576"/>
    </sheetView>
  </sheetViews>
  <sheetFormatPr baseColWidth="10" defaultColWidth="8.7109375" defaultRowHeight="15" x14ac:dyDescent="0.25"/>
  <cols>
    <col min="1" max="1" width="35" style="1" customWidth="1"/>
    <col min="2" max="2" width="12" style="1" customWidth="1"/>
    <col min="3" max="11" width="13" style="1" customWidth="1"/>
  </cols>
  <sheetData>
    <row r="1" spans="1:11" ht="37.5" customHeight="1" x14ac:dyDescent="0.25">
      <c r="A1" s="130" t="s">
        <v>257</v>
      </c>
      <c r="B1" s="130"/>
      <c r="C1" s="130"/>
      <c r="D1" s="130"/>
      <c r="E1" s="130"/>
      <c r="F1" s="130"/>
      <c r="G1" s="130"/>
      <c r="H1" s="130"/>
      <c r="I1" s="130"/>
      <c r="J1" s="130"/>
      <c r="K1" s="130"/>
    </row>
    <row r="3" spans="1:11" ht="15" customHeight="1" x14ac:dyDescent="0.25">
      <c r="A3" s="132" t="s">
        <v>258</v>
      </c>
      <c r="B3" s="132"/>
      <c r="C3" s="132"/>
      <c r="D3" s="132"/>
      <c r="E3" s="132"/>
      <c r="F3" s="132"/>
      <c r="G3" s="132"/>
      <c r="H3" s="132"/>
      <c r="I3" s="132"/>
      <c r="J3" s="132"/>
      <c r="K3" s="132"/>
    </row>
    <row r="4" spans="1:11" ht="31.5" customHeight="1" x14ac:dyDescent="0.25">
      <c r="A4" s="15" t="s">
        <v>259</v>
      </c>
      <c r="B4" s="15" t="s">
        <v>260</v>
      </c>
      <c r="C4" s="15" t="s">
        <v>261</v>
      </c>
      <c r="D4" s="15" t="s">
        <v>262</v>
      </c>
      <c r="E4" s="15" t="s">
        <v>263</v>
      </c>
      <c r="F4" s="15" t="s">
        <v>264</v>
      </c>
      <c r="G4" s="15" t="s">
        <v>265</v>
      </c>
      <c r="H4" s="15" t="s">
        <v>266</v>
      </c>
      <c r="I4" s="15" t="s">
        <v>267</v>
      </c>
      <c r="J4" s="15" t="s">
        <v>268</v>
      </c>
      <c r="K4" s="15" t="s">
        <v>269</v>
      </c>
    </row>
    <row r="5" spans="1:11" ht="23.25" customHeight="1" x14ac:dyDescent="0.25">
      <c r="A5" s="16" t="s">
        <v>270</v>
      </c>
      <c r="B5" s="17" t="s">
        <v>271</v>
      </c>
      <c r="C5" s="18">
        <f>COUNTA(Datos_Encuesta!K4:K52)</f>
        <v>49</v>
      </c>
      <c r="D5" s="19">
        <f>ROUND(AVERAGE(Datos_Encuesta!K4:K52),2)</f>
        <v>4.71</v>
      </c>
      <c r="E5" s="18">
        <f>MIN(Datos_Encuesta!K4:K52)</f>
        <v>1</v>
      </c>
      <c r="F5" s="18">
        <f>MAX(Datos_Encuesta!K4:K52)</f>
        <v>5</v>
      </c>
      <c r="G5" s="20">
        <f>ROUND(STDEV(Datos_Encuesta!K4:K52),2)</f>
        <v>0.68</v>
      </c>
      <c r="H5" s="18">
        <f>MEDIAN(Datos_Encuesta!K4:K52)</f>
        <v>5</v>
      </c>
      <c r="I5" s="21">
        <f>COUNTIF(Datos_Encuesta!K4:K52,"&gt;=4")/COUNTA(Datos_Encuesta!K4:K52)</f>
        <v>0.97959183673469385</v>
      </c>
      <c r="J5" s="22">
        <f>COUNTIF(Datos_Encuesta!K4:K52,3)/COUNTA(Datos_Encuesta!K4:K52)</f>
        <v>0</v>
      </c>
      <c r="K5" s="23">
        <f>COUNTIF(Datos_Encuesta!K4:K52,"&lt;=2")/COUNTA(Datos_Encuesta!K4:K52)</f>
        <v>2.0408163265306121E-2</v>
      </c>
    </row>
    <row r="6" spans="1:11" ht="15" customHeight="1" x14ac:dyDescent="0.25">
      <c r="A6" s="24" t="s">
        <v>272</v>
      </c>
      <c r="B6" s="25" t="s">
        <v>271</v>
      </c>
      <c r="C6" s="26">
        <f>COUNTA(Datos_Encuesta!L4:L52)</f>
        <v>49</v>
      </c>
      <c r="D6" s="27">
        <f>ROUND(AVERAGE(Datos_Encuesta!L4:L52),2)</f>
        <v>4.78</v>
      </c>
      <c r="E6" s="26">
        <f>MIN(Datos_Encuesta!L4:L52)</f>
        <v>4</v>
      </c>
      <c r="F6" s="26">
        <f>MAX(Datos_Encuesta!L4:L52)</f>
        <v>5</v>
      </c>
      <c r="G6" s="28">
        <f>ROUND(STDEV(Datos_Encuesta!L4:L52),2)</f>
        <v>0.42</v>
      </c>
      <c r="H6" s="26">
        <f>MEDIAN(Datos_Encuesta!L4:L52)</f>
        <v>5</v>
      </c>
      <c r="I6" s="21">
        <f>COUNTIF(Datos_Encuesta!L4:L52,"&gt;=4")/COUNTA(Datos_Encuesta!L4:L52)</f>
        <v>1</v>
      </c>
      <c r="J6" s="22">
        <f>COUNTIF(Datos_Encuesta!L4:L52,3)/COUNTA(Datos_Encuesta!L4:L52)</f>
        <v>0</v>
      </c>
      <c r="K6" s="23">
        <f>COUNTIF(Datos_Encuesta!L4:L52,"&lt;=2")/COUNTA(Datos_Encuesta!L4:L52)</f>
        <v>0</v>
      </c>
    </row>
    <row r="7" spans="1:11" ht="15" customHeight="1" x14ac:dyDescent="0.25">
      <c r="A7" s="16" t="s">
        <v>273</v>
      </c>
      <c r="B7" s="17" t="s">
        <v>271</v>
      </c>
      <c r="C7" s="18">
        <f>COUNTA(Datos_Encuesta!M4:M52)</f>
        <v>49</v>
      </c>
      <c r="D7" s="19">
        <f>ROUND(AVERAGE(Datos_Encuesta!M4:M52),2)</f>
        <v>4.67</v>
      </c>
      <c r="E7" s="18">
        <f>MIN(Datos_Encuesta!M4:M52)</f>
        <v>2</v>
      </c>
      <c r="F7" s="18">
        <f>MAX(Datos_Encuesta!M4:M52)</f>
        <v>5</v>
      </c>
      <c r="G7" s="20">
        <f>ROUND(STDEV(Datos_Encuesta!M4:M52),2)</f>
        <v>0.59</v>
      </c>
      <c r="H7" s="18">
        <f>MEDIAN(Datos_Encuesta!M4:M52)</f>
        <v>5</v>
      </c>
      <c r="I7" s="21">
        <f>COUNTIF(Datos_Encuesta!M4:M52,"&gt;=4")/COUNTA(Datos_Encuesta!M4:M52)</f>
        <v>0.97959183673469385</v>
      </c>
      <c r="J7" s="22">
        <f>COUNTIF(Datos_Encuesta!M4:M52,3)/COUNTA(Datos_Encuesta!M4:M52)</f>
        <v>0</v>
      </c>
      <c r="K7" s="23">
        <f>COUNTIF(Datos_Encuesta!M4:M52,"&lt;=2")/COUNTA(Datos_Encuesta!M4:M52)</f>
        <v>2.0408163265306121E-2</v>
      </c>
    </row>
    <row r="8" spans="1:11" ht="15" customHeight="1" x14ac:dyDescent="0.25">
      <c r="A8" s="24" t="s">
        <v>274</v>
      </c>
      <c r="B8" s="25" t="s">
        <v>271</v>
      </c>
      <c r="C8" s="26">
        <f>COUNTA(Datos_Encuesta!N4:N52)</f>
        <v>49</v>
      </c>
      <c r="D8" s="27">
        <f>ROUND(AVERAGE(Datos_Encuesta!N4:N52),2)</f>
        <v>4.43</v>
      </c>
      <c r="E8" s="26">
        <f>MIN(Datos_Encuesta!N4:N52)</f>
        <v>3</v>
      </c>
      <c r="F8" s="26">
        <f>MAX(Datos_Encuesta!N4:N52)</f>
        <v>5</v>
      </c>
      <c r="G8" s="28">
        <f>ROUND(STDEV(Datos_Encuesta!N4:N52),2)</f>
        <v>0.61</v>
      </c>
      <c r="H8" s="26">
        <f>MEDIAN(Datos_Encuesta!N4:N52)</f>
        <v>4</v>
      </c>
      <c r="I8" s="21">
        <f>COUNTIF(Datos_Encuesta!N4:N52,"&gt;=4")/COUNTA(Datos_Encuesta!N4:N52)</f>
        <v>0.93877551020408168</v>
      </c>
      <c r="J8" s="22">
        <f>COUNTIF(Datos_Encuesta!N4:N52,3)/COUNTA(Datos_Encuesta!N4:N52)</f>
        <v>6.1224489795918366E-2</v>
      </c>
      <c r="K8" s="23">
        <f>COUNTIF(Datos_Encuesta!N4:N52,"&lt;=2")/COUNTA(Datos_Encuesta!N4:N52)</f>
        <v>0</v>
      </c>
    </row>
    <row r="9" spans="1:11" ht="15" customHeight="1" x14ac:dyDescent="0.25">
      <c r="A9" s="16" t="s">
        <v>275</v>
      </c>
      <c r="B9" s="17" t="s">
        <v>271</v>
      </c>
      <c r="C9" s="18">
        <f>COUNTA(Datos_Encuesta!O4:O52)</f>
        <v>49</v>
      </c>
      <c r="D9" s="19">
        <f>ROUND(AVERAGE(Datos_Encuesta!O4:O52),2)</f>
        <v>4.2699999999999996</v>
      </c>
      <c r="E9" s="18">
        <f>MIN(Datos_Encuesta!O4:O52)</f>
        <v>3</v>
      </c>
      <c r="F9" s="18">
        <f>MAX(Datos_Encuesta!O4:O52)</f>
        <v>5</v>
      </c>
      <c r="G9" s="20">
        <f>ROUND(STDEV(Datos_Encuesta!O4:O52),2)</f>
        <v>0.76</v>
      </c>
      <c r="H9" s="18">
        <f>MEDIAN(Datos_Encuesta!O4:O52)</f>
        <v>4</v>
      </c>
      <c r="I9" s="21">
        <f>COUNTIF(Datos_Encuesta!O4:O52,"&gt;=4")/COUNTA(Datos_Encuesta!O4:O52)</f>
        <v>0.81632653061224492</v>
      </c>
      <c r="J9" s="22">
        <f>COUNTIF(Datos_Encuesta!O4:O52,3)/COUNTA(Datos_Encuesta!O4:O52)</f>
        <v>0.18367346938775511</v>
      </c>
      <c r="K9" s="23">
        <f>COUNTIF(Datos_Encuesta!O4:O52,"&lt;=2")/COUNTA(Datos_Encuesta!O4:O52)</f>
        <v>0</v>
      </c>
    </row>
    <row r="10" spans="1:11" ht="15" customHeight="1" x14ac:dyDescent="0.25">
      <c r="A10" s="29" t="s">
        <v>276</v>
      </c>
      <c r="B10" s="30" t="s">
        <v>277</v>
      </c>
      <c r="C10" s="31">
        <f>COUNTA(Datos_Encuesta!P4:P52)</f>
        <v>49</v>
      </c>
      <c r="D10" s="32">
        <f>ROUND(AVERAGE(Datos_Encuesta!P4:P52),2)</f>
        <v>4.33</v>
      </c>
      <c r="E10" s="31">
        <f>MIN(Datos_Encuesta!P4:P52)</f>
        <v>1</v>
      </c>
      <c r="F10" s="31">
        <f>MAX(Datos_Encuesta!P4:P52)</f>
        <v>5</v>
      </c>
      <c r="G10" s="33">
        <f>ROUND(STDEV(Datos_Encuesta!P4:P52),2)</f>
        <v>0.9</v>
      </c>
      <c r="H10" s="31">
        <f>MEDIAN(Datos_Encuesta!P4:P52)</f>
        <v>5</v>
      </c>
      <c r="I10" s="21">
        <f>COUNTIF(Datos_Encuesta!P4:P52,"&gt;=4")/COUNTA(Datos_Encuesta!P4:P52)</f>
        <v>0.8571428571428571</v>
      </c>
      <c r="J10" s="22">
        <f>COUNTIF(Datos_Encuesta!P4:P52,3)/COUNTA(Datos_Encuesta!P4:P52)</f>
        <v>0.10204081632653061</v>
      </c>
      <c r="K10" s="23">
        <f>COUNTIF(Datos_Encuesta!P4:P52,"&lt;=2")/COUNTA(Datos_Encuesta!P4:P52)</f>
        <v>4.0816326530612242E-2</v>
      </c>
    </row>
    <row r="11" spans="1:11" ht="23.25" customHeight="1" x14ac:dyDescent="0.25">
      <c r="A11" s="34" t="s">
        <v>278</v>
      </c>
      <c r="B11" s="35" t="s">
        <v>277</v>
      </c>
      <c r="C11" s="36">
        <f>COUNTA(Datos_Encuesta!Q4:Q52)</f>
        <v>49</v>
      </c>
      <c r="D11" s="37">
        <f>ROUND(AVERAGE(Datos_Encuesta!Q4:Q52),2)</f>
        <v>4.1399999999999997</v>
      </c>
      <c r="E11" s="36">
        <f>MIN(Datos_Encuesta!Q4:Q52)</f>
        <v>1</v>
      </c>
      <c r="F11" s="36">
        <f>MAX(Datos_Encuesta!Q4:Q52)</f>
        <v>5</v>
      </c>
      <c r="G11" s="38">
        <f>ROUND(STDEV(Datos_Encuesta!Q4:Q52),2)</f>
        <v>0.96</v>
      </c>
      <c r="H11" s="36">
        <f>MEDIAN(Datos_Encuesta!Q4:Q52)</f>
        <v>4</v>
      </c>
      <c r="I11" s="21">
        <f>COUNTIF(Datos_Encuesta!Q4:Q52,"&gt;=4")/COUNTA(Datos_Encuesta!Q4:Q52)</f>
        <v>0.75510204081632648</v>
      </c>
      <c r="J11" s="22">
        <f>COUNTIF(Datos_Encuesta!Q4:Q52,3)/COUNTA(Datos_Encuesta!Q4:Q52)</f>
        <v>0.20408163265306123</v>
      </c>
      <c r="K11" s="23">
        <f>COUNTIF(Datos_Encuesta!Q4:Q52,"&lt;=2")/COUNTA(Datos_Encuesta!Q4:Q52)</f>
        <v>4.0816326530612242E-2</v>
      </c>
    </row>
    <row r="12" spans="1:11" ht="15" customHeight="1" x14ac:dyDescent="0.25">
      <c r="A12" s="29" t="s">
        <v>279</v>
      </c>
      <c r="B12" s="30" t="s">
        <v>277</v>
      </c>
      <c r="C12" s="31">
        <f>COUNTA(Datos_Encuesta!R4:R52)</f>
        <v>49</v>
      </c>
      <c r="D12" s="32">
        <f>ROUND(AVERAGE(Datos_Encuesta!R4:R52),2)</f>
        <v>4.37</v>
      </c>
      <c r="E12" s="31">
        <f>MIN(Datos_Encuesta!R4:R52)</f>
        <v>1</v>
      </c>
      <c r="F12" s="31">
        <f>MAX(Datos_Encuesta!R4:R52)</f>
        <v>5</v>
      </c>
      <c r="G12" s="33">
        <f>ROUND(STDEV(Datos_Encuesta!R4:R52),2)</f>
        <v>0.88</v>
      </c>
      <c r="H12" s="31">
        <f>MEDIAN(Datos_Encuesta!R4:R52)</f>
        <v>5</v>
      </c>
      <c r="I12" s="21">
        <f>COUNTIF(Datos_Encuesta!R4:R52,"&gt;=4")/COUNTA(Datos_Encuesta!R4:R52)</f>
        <v>0.87755102040816324</v>
      </c>
      <c r="J12" s="22">
        <f>COUNTIF(Datos_Encuesta!R4:R52,3)/COUNTA(Datos_Encuesta!R4:R52)</f>
        <v>8.1632653061224483E-2</v>
      </c>
      <c r="K12" s="23">
        <f>COUNTIF(Datos_Encuesta!R4:R52,"&lt;=2")/COUNTA(Datos_Encuesta!R4:R52)</f>
        <v>4.0816326530612242E-2</v>
      </c>
    </row>
    <row r="13" spans="1:11" ht="15" customHeight="1" x14ac:dyDescent="0.25">
      <c r="A13" s="34" t="s">
        <v>280</v>
      </c>
      <c r="B13" s="35" t="s">
        <v>277</v>
      </c>
      <c r="C13" s="36">
        <f>COUNTA(Datos_Encuesta!S4:S52)</f>
        <v>49</v>
      </c>
      <c r="D13" s="37">
        <f>ROUND(AVERAGE(Datos_Encuesta!S4:S52),2)</f>
        <v>4.45</v>
      </c>
      <c r="E13" s="36">
        <f>MIN(Datos_Encuesta!S4:S52)</f>
        <v>1</v>
      </c>
      <c r="F13" s="36">
        <f>MAX(Datos_Encuesta!S4:S52)</f>
        <v>5</v>
      </c>
      <c r="G13" s="38">
        <f>ROUND(STDEV(Datos_Encuesta!S4:S52),2)</f>
        <v>0.82</v>
      </c>
      <c r="H13" s="36">
        <f>MEDIAN(Datos_Encuesta!S4:S52)</f>
        <v>5</v>
      </c>
      <c r="I13" s="21">
        <f>COUNTIF(Datos_Encuesta!S4:S52,"&gt;=4")/COUNTA(Datos_Encuesta!S4:S52)</f>
        <v>0.89795918367346939</v>
      </c>
      <c r="J13" s="22">
        <f>COUNTIF(Datos_Encuesta!S4:S52,3)/COUNTA(Datos_Encuesta!S4:S52)</f>
        <v>8.1632653061224483E-2</v>
      </c>
      <c r="K13" s="23">
        <f>COUNTIF(Datos_Encuesta!S4:S52,"&lt;=2")/COUNTA(Datos_Encuesta!S4:S52)</f>
        <v>2.0408163265306121E-2</v>
      </c>
    </row>
    <row r="14" spans="1:11" ht="15" customHeight="1" x14ac:dyDescent="0.25">
      <c r="A14" s="133" t="s">
        <v>281</v>
      </c>
      <c r="B14" s="133"/>
      <c r="C14" s="39">
        <f>COUNTA(Datos_Encuesta!A4:A52)</f>
        <v>49</v>
      </c>
      <c r="D14" s="40">
        <f>ROUND(AVERAGE(D5:D13),2)</f>
        <v>4.46</v>
      </c>
      <c r="I14" s="41">
        <f>ROUND(AVERAGE(I5:I13),1)</f>
        <v>0.9</v>
      </c>
      <c r="J14" s="41">
        <f>ROUND(AVERAGE(J5:J13),1)</f>
        <v>0.1</v>
      </c>
      <c r="K14" s="41">
        <f>ROUND(AVERAGE(K5:K13),1)</f>
        <v>0</v>
      </c>
    </row>
    <row r="17" spans="1:11" ht="15" customHeight="1" x14ac:dyDescent="0.25">
      <c r="A17" s="132" t="s">
        <v>282</v>
      </c>
      <c r="B17" s="132"/>
      <c r="C17" s="132"/>
      <c r="D17" s="132"/>
      <c r="E17" s="132"/>
      <c r="F17" s="132"/>
      <c r="G17" s="132"/>
      <c r="H17" s="132"/>
      <c r="I17" s="132"/>
      <c r="J17" s="132"/>
      <c r="K17" s="132"/>
    </row>
    <row r="18" spans="1:11" ht="27.75" customHeight="1" x14ac:dyDescent="0.25">
      <c r="A18" s="15" t="s">
        <v>283</v>
      </c>
      <c r="B18" s="15" t="s">
        <v>284</v>
      </c>
      <c r="C18" s="15" t="s">
        <v>285</v>
      </c>
      <c r="D18" s="15" t="s">
        <v>286</v>
      </c>
      <c r="E18" s="15" t="s">
        <v>287</v>
      </c>
      <c r="F18" s="15" t="s">
        <v>288</v>
      </c>
      <c r="G18" s="15" t="s">
        <v>289</v>
      </c>
      <c r="H18" s="15" t="s">
        <v>290</v>
      </c>
      <c r="I18" s="15" t="s">
        <v>291</v>
      </c>
      <c r="J18" s="15" t="s">
        <v>292</v>
      </c>
      <c r="K18" s="15" t="s">
        <v>293</v>
      </c>
    </row>
    <row r="19" spans="1:11" ht="34.5" customHeight="1" x14ac:dyDescent="0.25">
      <c r="A19" s="42">
        <v>5</v>
      </c>
      <c r="B19" s="43" t="s">
        <v>294</v>
      </c>
      <c r="C19" s="44">
        <f>COUNTIF(Datos_Encuesta!K4:K52,5)</f>
        <v>38</v>
      </c>
      <c r="D19" s="44">
        <f>COUNTIF(Datos_Encuesta!L4:L52,5)</f>
        <v>38</v>
      </c>
      <c r="E19" s="44">
        <f>COUNTIF(Datos_Encuesta!M4:M52,5)</f>
        <v>35</v>
      </c>
      <c r="F19" s="44">
        <f>COUNTIF(Datos_Encuesta!N4:N52,5)</f>
        <v>24</v>
      </c>
      <c r="G19" s="44">
        <f>COUNTIF(Datos_Encuesta!O4:O52,5)</f>
        <v>22</v>
      </c>
      <c r="H19" s="44">
        <f>COUNTIF(Datos_Encuesta!P4:P52,5)</f>
        <v>26</v>
      </c>
      <c r="I19" s="44">
        <f>COUNTIF(Datos_Encuesta!Q4:Q52,5)</f>
        <v>22</v>
      </c>
      <c r="J19" s="44">
        <f>COUNTIF(Datos_Encuesta!R4:R52,5)</f>
        <v>27</v>
      </c>
      <c r="K19" s="44">
        <f>COUNTIF(Datos_Encuesta!S4:S52,5)</f>
        <v>29</v>
      </c>
    </row>
    <row r="20" spans="1:11" ht="15" customHeight="1" x14ac:dyDescent="0.25">
      <c r="A20" s="45">
        <v>4</v>
      </c>
      <c r="B20" s="46" t="s">
        <v>295</v>
      </c>
      <c r="C20" s="47">
        <f>COUNTIF(Datos_Encuesta!K4:K52,4)</f>
        <v>10</v>
      </c>
      <c r="D20" s="47">
        <f>COUNTIF(Datos_Encuesta!L4:L52,4)</f>
        <v>11</v>
      </c>
      <c r="E20" s="47">
        <f>COUNTIF(Datos_Encuesta!M4:M52,4)</f>
        <v>13</v>
      </c>
      <c r="F20" s="47">
        <f>COUNTIF(Datos_Encuesta!N4:N52,4)</f>
        <v>22</v>
      </c>
      <c r="G20" s="47">
        <f>COUNTIF(Datos_Encuesta!O4:O52,4)</f>
        <v>18</v>
      </c>
      <c r="H20" s="47">
        <f>COUNTIF(Datos_Encuesta!P4:P52,4)</f>
        <v>16</v>
      </c>
      <c r="I20" s="47">
        <f>COUNTIF(Datos_Encuesta!Q4:Q52,4)</f>
        <v>15</v>
      </c>
      <c r="J20" s="47">
        <f>COUNTIF(Datos_Encuesta!R4:R52,4)</f>
        <v>16</v>
      </c>
      <c r="K20" s="47">
        <f>COUNTIF(Datos_Encuesta!S4:S52,4)</f>
        <v>15</v>
      </c>
    </row>
    <row r="21" spans="1:11" ht="23.25" customHeight="1" x14ac:dyDescent="0.25">
      <c r="A21" s="48">
        <v>3</v>
      </c>
      <c r="B21" s="49" t="s">
        <v>296</v>
      </c>
      <c r="C21" s="50">
        <f>COUNTIF(Datos_Encuesta!K4:K52,3)</f>
        <v>0</v>
      </c>
      <c r="D21" s="50">
        <f>COUNTIF(Datos_Encuesta!L4:L52,3)</f>
        <v>0</v>
      </c>
      <c r="E21" s="50">
        <f>COUNTIF(Datos_Encuesta!M4:M52,3)</f>
        <v>0</v>
      </c>
      <c r="F21" s="50">
        <f>COUNTIF(Datos_Encuesta!N4:N52,3)</f>
        <v>3</v>
      </c>
      <c r="G21" s="50">
        <f>COUNTIF(Datos_Encuesta!O4:O52,3)</f>
        <v>9</v>
      </c>
      <c r="H21" s="50">
        <f>COUNTIF(Datos_Encuesta!P4:P52,3)</f>
        <v>5</v>
      </c>
      <c r="I21" s="50">
        <f>COUNTIF(Datos_Encuesta!Q4:Q52,3)</f>
        <v>10</v>
      </c>
      <c r="J21" s="50">
        <f>COUNTIF(Datos_Encuesta!R4:R52,3)</f>
        <v>4</v>
      </c>
      <c r="K21" s="50">
        <f>COUNTIF(Datos_Encuesta!S4:S52,3)</f>
        <v>4</v>
      </c>
    </row>
    <row r="22" spans="1:11" ht="15" customHeight="1" x14ac:dyDescent="0.25">
      <c r="A22" s="51">
        <v>2</v>
      </c>
      <c r="B22" s="52" t="s">
        <v>297</v>
      </c>
      <c r="C22" s="53">
        <f>COUNTIF(Datos_Encuesta!K4:K52,2)</f>
        <v>0</v>
      </c>
      <c r="D22" s="53">
        <f>COUNTIF(Datos_Encuesta!L4:L52,2)</f>
        <v>0</v>
      </c>
      <c r="E22" s="53">
        <f>COUNTIF(Datos_Encuesta!M4:M52,2)</f>
        <v>1</v>
      </c>
      <c r="F22" s="53">
        <f>COUNTIF(Datos_Encuesta!N4:N52,2)</f>
        <v>0</v>
      </c>
      <c r="G22" s="53">
        <f>COUNTIF(Datos_Encuesta!O4:O52,2)</f>
        <v>0</v>
      </c>
      <c r="H22" s="53">
        <f>COUNTIF(Datos_Encuesta!P4:P52,2)</f>
        <v>1</v>
      </c>
      <c r="I22" s="53">
        <f>COUNTIF(Datos_Encuesta!Q4:Q52,2)</f>
        <v>1</v>
      </c>
      <c r="J22" s="53">
        <f>COUNTIF(Datos_Encuesta!R4:R52,2)</f>
        <v>1</v>
      </c>
      <c r="K22" s="53">
        <f>COUNTIF(Datos_Encuesta!S4:S52,2)</f>
        <v>0</v>
      </c>
    </row>
    <row r="23" spans="1:11" ht="34.5" customHeight="1" x14ac:dyDescent="0.25">
      <c r="A23" s="54">
        <v>1</v>
      </c>
      <c r="B23" s="55" t="s">
        <v>298</v>
      </c>
      <c r="C23" s="56">
        <f>COUNTIF(Datos_Encuesta!K4:K52,1)</f>
        <v>1</v>
      </c>
      <c r="D23" s="56">
        <f>COUNTIF(Datos_Encuesta!L4:L52,1)</f>
        <v>0</v>
      </c>
      <c r="E23" s="56">
        <f>COUNTIF(Datos_Encuesta!M4:M52,1)</f>
        <v>0</v>
      </c>
      <c r="F23" s="56">
        <f>COUNTIF(Datos_Encuesta!N4:N52,1)</f>
        <v>0</v>
      </c>
      <c r="G23" s="56">
        <f>COUNTIF(Datos_Encuesta!O4:O52,1)</f>
        <v>0</v>
      </c>
      <c r="H23" s="56">
        <f>COUNTIF(Datos_Encuesta!P4:P52,1)</f>
        <v>1</v>
      </c>
      <c r="I23" s="56">
        <f>COUNTIF(Datos_Encuesta!Q4:Q52,1)</f>
        <v>1</v>
      </c>
      <c r="J23" s="56">
        <f>COUNTIF(Datos_Encuesta!R4:R52,1)</f>
        <v>1</v>
      </c>
      <c r="K23" s="56">
        <f>COUNTIF(Datos_Encuesta!S4:S52,1)</f>
        <v>1</v>
      </c>
    </row>
    <row r="24" spans="1:11" ht="15" customHeight="1" x14ac:dyDescent="0.25">
      <c r="A24" s="134" t="s">
        <v>299</v>
      </c>
      <c r="B24" s="134"/>
      <c r="C24" s="57">
        <f t="shared" ref="C24:K24" si="0">SUM(C19:C23)</f>
        <v>49</v>
      </c>
      <c r="D24" s="57">
        <f t="shared" si="0"/>
        <v>49</v>
      </c>
      <c r="E24" s="57">
        <f t="shared" si="0"/>
        <v>49</v>
      </c>
      <c r="F24" s="57">
        <f t="shared" si="0"/>
        <v>49</v>
      </c>
      <c r="G24" s="57">
        <f t="shared" si="0"/>
        <v>49</v>
      </c>
      <c r="H24" s="57">
        <f t="shared" si="0"/>
        <v>49</v>
      </c>
      <c r="I24" s="57">
        <f t="shared" si="0"/>
        <v>49</v>
      </c>
      <c r="J24" s="57">
        <f t="shared" si="0"/>
        <v>49</v>
      </c>
      <c r="K24" s="57">
        <f t="shared" si="0"/>
        <v>49</v>
      </c>
    </row>
  </sheetData>
  <mergeCells count="5">
    <mergeCell ref="A1:K1"/>
    <mergeCell ref="A3:K3"/>
    <mergeCell ref="A14:B14"/>
    <mergeCell ref="A17:K17"/>
    <mergeCell ref="A24:B24"/>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A0"/>
  </sheetPr>
  <dimension ref="A1:M23"/>
  <sheetViews>
    <sheetView showGridLines="0" zoomScaleNormal="100" workbookViewId="0">
      <selection sqref="A1:XFD1048576"/>
    </sheetView>
  </sheetViews>
  <sheetFormatPr baseColWidth="10" defaultColWidth="8.7109375" defaultRowHeight="15" x14ac:dyDescent="0.25"/>
  <cols>
    <col min="1" max="1" width="35" style="1" customWidth="1"/>
    <col min="2" max="2" width="10" style="1" customWidth="1"/>
    <col min="3" max="12" width="11" style="1" customWidth="1"/>
    <col min="13" max="13" width="16" style="1" customWidth="1"/>
  </cols>
  <sheetData>
    <row r="1" spans="1:13" ht="37.5" customHeight="1" x14ac:dyDescent="0.25">
      <c r="A1" s="130" t="s">
        <v>300</v>
      </c>
      <c r="B1" s="130"/>
      <c r="C1" s="130"/>
      <c r="D1" s="130"/>
      <c r="E1" s="130"/>
      <c r="F1" s="130"/>
      <c r="G1" s="130"/>
      <c r="H1" s="130"/>
      <c r="I1" s="130"/>
      <c r="J1" s="130"/>
      <c r="K1" s="130"/>
      <c r="L1" s="130"/>
      <c r="M1" s="130"/>
    </row>
    <row r="3" spans="1:13" ht="15" customHeight="1" x14ac:dyDescent="0.25">
      <c r="A3" s="132" t="s">
        <v>301</v>
      </c>
      <c r="B3" s="132"/>
      <c r="C3" s="132"/>
      <c r="D3" s="132"/>
      <c r="E3" s="132"/>
      <c r="F3" s="132"/>
      <c r="G3" s="132"/>
      <c r="H3" s="132"/>
      <c r="I3" s="132"/>
      <c r="J3" s="132"/>
      <c r="K3" s="132"/>
      <c r="L3" s="132"/>
      <c r="M3" s="132"/>
    </row>
    <row r="4" spans="1:13" ht="37.5" customHeight="1" x14ac:dyDescent="0.25">
      <c r="A4" s="15" t="s">
        <v>302</v>
      </c>
      <c r="B4" s="15" t="s">
        <v>303</v>
      </c>
      <c r="C4" s="15" t="s">
        <v>304</v>
      </c>
      <c r="D4" s="15" t="s">
        <v>305</v>
      </c>
      <c r="E4" s="15" t="s">
        <v>287</v>
      </c>
      <c r="F4" s="15" t="s">
        <v>14</v>
      </c>
      <c r="G4" s="15" t="s">
        <v>306</v>
      </c>
      <c r="H4" s="15" t="s">
        <v>290</v>
      </c>
      <c r="I4" s="15" t="s">
        <v>307</v>
      </c>
      <c r="J4" s="15" t="s">
        <v>292</v>
      </c>
      <c r="K4" s="15" t="s">
        <v>19</v>
      </c>
      <c r="L4" s="15" t="s">
        <v>308</v>
      </c>
      <c r="M4" s="15" t="s">
        <v>309</v>
      </c>
    </row>
    <row r="5" spans="1:13" ht="23.25" customHeight="1" x14ac:dyDescent="0.25">
      <c r="A5" s="24" t="s">
        <v>34</v>
      </c>
      <c r="B5" s="58">
        <f>COUNTIF(Datos_Encuesta!W4:W52,"Ferias de Carnaval / Malecón / Emprende")</f>
        <v>38</v>
      </c>
      <c r="C5" s="28">
        <f>IFERROR(AVERAGEIF(Datos_Encuesta!W4:W52,"Ferias de Carnaval / Malecón / Emprende",Datos_Encuesta!K4:K52),"-")</f>
        <v>4.6842105263157894</v>
      </c>
      <c r="D5" s="28">
        <f>IFERROR(AVERAGEIF(Datos_Encuesta!W4:W52,"Ferias de Carnaval / Malecón / Emprende",Datos_Encuesta!L4:L52),"-")</f>
        <v>4.7631578947368425</v>
      </c>
      <c r="E5" s="28">
        <f>IFERROR(AVERAGEIF(Datos_Encuesta!W4:W52,"Ferias de Carnaval / Malecón / Emprende",Datos_Encuesta!M4:M52),"-")</f>
        <v>4.6578947368421053</v>
      </c>
      <c r="F5" s="28">
        <f>IFERROR(AVERAGEIF(Datos_Encuesta!W4:W52,"Ferias de Carnaval / Malecón / Emprende",Datos_Encuesta!N4:N52),"-")</f>
        <v>4.4736842105263159</v>
      </c>
      <c r="G5" s="28">
        <f>IFERROR(AVERAGEIF(Datos_Encuesta!W4:W52,"Ferias de Carnaval / Malecón / Emprende",Datos_Encuesta!O4:O52),"-")</f>
        <v>4.2894736842105265</v>
      </c>
      <c r="H5" s="28">
        <f>IFERROR(AVERAGEIF(Datos_Encuesta!W4:W52,"Ferias de Carnaval / Malecón / Emprende",Datos_Encuesta!P4:P52),"-")</f>
        <v>4.2631578947368425</v>
      </c>
      <c r="I5" s="28">
        <f>IFERROR(AVERAGEIF(Datos_Encuesta!W4:W52,"Ferias de Carnaval / Malecón / Emprende",Datos_Encuesta!Q4:Q52),"-")</f>
        <v>3.9736842105263159</v>
      </c>
      <c r="J5" s="28">
        <f>IFERROR(AVERAGEIF(Datos_Encuesta!W4:W52,"Ferias de Carnaval / Malecón / Emprende",Datos_Encuesta!R4:R52),"-")</f>
        <v>4.2631578947368425</v>
      </c>
      <c r="K5" s="28">
        <f>IFERROR(AVERAGEIF(Datos_Encuesta!W4:W52,"Ferias de Carnaval / Malecón / Emprende",Datos_Encuesta!S4:S52),"-")</f>
        <v>4.4210526315789478</v>
      </c>
      <c r="L5" s="59">
        <f>IFERROR(ROUND(AVERAGE(C5:K5),2),"-")</f>
        <v>4.42</v>
      </c>
      <c r="M5" s="58" t="str">
        <f>IF(ISNUMBER(L5),IF(L5&gt;=4.5,"⭐ Excelente",IF(L5&gt;=4,"✅ Bueno",IF(L5&gt;=3,"⚠ Regular","❌ Deficiente"))),"-")</f>
        <v>✅ Bueno</v>
      </c>
    </row>
    <row r="6" spans="1:13" ht="15" customHeight="1" x14ac:dyDescent="0.25">
      <c r="A6" s="29" t="s">
        <v>209</v>
      </c>
      <c r="B6" s="60">
        <f>COUNTIF(Datos_Encuesta!W4:W52,"Feria de la Mujer")</f>
        <v>7</v>
      </c>
      <c r="C6" s="33">
        <f>IFERROR(AVERAGEIF(Datos_Encuesta!W4:W52,"Feria de la Mujer",Datos_Encuesta!K4:K52),"-")</f>
        <v>5</v>
      </c>
      <c r="D6" s="33">
        <f>IFERROR(AVERAGEIF(Datos_Encuesta!W4:W52,"Feria de la Mujer",Datos_Encuesta!L4:L52),"-")</f>
        <v>5</v>
      </c>
      <c r="E6" s="33">
        <f>IFERROR(AVERAGEIF(Datos_Encuesta!W4:W52,"Feria de la Mujer",Datos_Encuesta!M4:M52),"-")</f>
        <v>5</v>
      </c>
      <c r="F6" s="33">
        <f>IFERROR(AVERAGEIF(Datos_Encuesta!W4:W52,"Feria de la Mujer",Datos_Encuesta!N4:N52),"-")</f>
        <v>4.4285714285714288</v>
      </c>
      <c r="G6" s="33">
        <f>IFERROR(AVERAGEIF(Datos_Encuesta!W4:W52,"Feria de la Mujer",Datos_Encuesta!O4:O52),"-")</f>
        <v>4.4285714285714288</v>
      </c>
      <c r="H6" s="33">
        <f>IFERROR(AVERAGEIF(Datos_Encuesta!W4:W52,"Feria de la Mujer",Datos_Encuesta!P4:P52),"-")</f>
        <v>4.8571428571428568</v>
      </c>
      <c r="I6" s="33">
        <f>IFERROR(AVERAGEIF(Datos_Encuesta!W4:W52,"Feria de la Mujer",Datos_Encuesta!Q4:Q52),"-")</f>
        <v>4.8571428571428568</v>
      </c>
      <c r="J6" s="33">
        <f>IFERROR(AVERAGEIF(Datos_Encuesta!W4:W52,"Feria de la Mujer",Datos_Encuesta!R4:R52),"-")</f>
        <v>5</v>
      </c>
      <c r="K6" s="33">
        <f>IFERROR(AVERAGEIF(Datos_Encuesta!W4:W52,"Feria de la Mujer",Datos_Encuesta!S4:S52),"-")</f>
        <v>4.8571428571428568</v>
      </c>
      <c r="L6" s="59">
        <f>IFERROR(ROUND(AVERAGE(C6:K6),2),"-")</f>
        <v>4.83</v>
      </c>
      <c r="M6" s="60" t="str">
        <f>IF(ISNUMBER(L6),IF(L6&gt;=4.5,"⭐ Excelente",IF(L6&gt;=4,"✅ Bueno",IF(L6&gt;=3,"⚠ Regular","❌ Deficiente"))),"-")</f>
        <v>⭐ Excelente</v>
      </c>
    </row>
    <row r="7" spans="1:13" ht="15" customHeight="1" x14ac:dyDescent="0.25">
      <c r="A7" s="61" t="s">
        <v>246</v>
      </c>
      <c r="B7" s="62">
        <f>COUNTIF(Datos_Encuesta!W4:W52,"Feria del Dulce")</f>
        <v>3</v>
      </c>
      <c r="C7" s="63">
        <f>IFERROR(AVERAGEIF(Datos_Encuesta!W4:W52,"Feria del Dulce",Datos_Encuesta!K4:K52),"-")</f>
        <v>4.333333333333333</v>
      </c>
      <c r="D7" s="63">
        <f>IFERROR(AVERAGEIF(Datos_Encuesta!W4:W52,"Feria del Dulce",Datos_Encuesta!L4:L52),"-")</f>
        <v>4.333333333333333</v>
      </c>
      <c r="E7" s="63">
        <f>IFERROR(AVERAGEIF(Datos_Encuesta!W4:W52,"Feria del Dulce",Datos_Encuesta!M4:M52),"-")</f>
        <v>4</v>
      </c>
      <c r="F7" s="63">
        <f>IFERROR(AVERAGEIF(Datos_Encuesta!W4:W52,"Feria del Dulce",Datos_Encuesta!N4:N52),"-")</f>
        <v>4</v>
      </c>
      <c r="G7" s="63">
        <f>IFERROR(AVERAGEIF(Datos_Encuesta!W4:W52,"Feria del Dulce",Datos_Encuesta!O4:O52),"-")</f>
        <v>3.6666666666666665</v>
      </c>
      <c r="H7" s="63">
        <f>IFERROR(AVERAGEIF(Datos_Encuesta!W4:W52,"Feria del Dulce",Datos_Encuesta!P4:P52),"-")</f>
        <v>3.6666666666666665</v>
      </c>
      <c r="I7" s="63">
        <f>IFERROR(AVERAGEIF(Datos_Encuesta!W4:W52,"Feria del Dulce",Datos_Encuesta!Q4:Q52),"-")</f>
        <v>4.333333333333333</v>
      </c>
      <c r="J7" s="63">
        <f>IFERROR(AVERAGEIF(Datos_Encuesta!W4:W52,"Feria del Dulce",Datos_Encuesta!R4:R52),"-")</f>
        <v>4</v>
      </c>
      <c r="K7" s="63">
        <f>IFERROR(AVERAGEIF(Datos_Encuesta!W4:W52,"Feria del Dulce",Datos_Encuesta!S4:S52),"-")</f>
        <v>3.6666666666666665</v>
      </c>
      <c r="L7" s="59">
        <f>IFERROR(ROUND(AVERAGE(C7:K7),2),"-")</f>
        <v>4</v>
      </c>
      <c r="M7" s="62" t="str">
        <f>IF(ISNUMBER(L7),IF(L7&gt;=4.5,"⭐ Excelente",IF(L7&gt;=4,"✅ Bueno",IF(L7&gt;=3,"⚠ Regular","❌ Deficiente"))),"-")</f>
        <v>✅ Bueno</v>
      </c>
    </row>
    <row r="8" spans="1:13" ht="15" customHeight="1" x14ac:dyDescent="0.25">
      <c r="A8" s="64" t="s">
        <v>241</v>
      </c>
      <c r="B8" s="65">
        <f>COUNTIF(Datos_Encuesta!W4:W52,"Feria Semana Santa")</f>
        <v>1</v>
      </c>
      <c r="C8" s="66">
        <f>IFERROR(AVERAGEIF(Datos_Encuesta!W4:W52,"Feria Semana Santa",Datos_Encuesta!K4:K52),"-")</f>
        <v>5</v>
      </c>
      <c r="D8" s="66">
        <f>IFERROR(AVERAGEIF(Datos_Encuesta!W4:W52,"Feria Semana Santa",Datos_Encuesta!L4:L52),"-")</f>
        <v>5</v>
      </c>
      <c r="E8" s="66">
        <f>IFERROR(AVERAGEIF(Datos_Encuesta!W4:W52,"Feria Semana Santa",Datos_Encuesta!M4:M52),"-")</f>
        <v>5</v>
      </c>
      <c r="F8" s="66">
        <f>IFERROR(AVERAGEIF(Datos_Encuesta!W4:W52,"Feria Semana Santa",Datos_Encuesta!N4:N52),"-")</f>
        <v>4</v>
      </c>
      <c r="G8" s="66">
        <f>IFERROR(AVERAGEIF(Datos_Encuesta!W4:W52,"Feria Semana Santa",Datos_Encuesta!O4:O52),"-")</f>
        <v>4</v>
      </c>
      <c r="H8" s="66">
        <f>IFERROR(AVERAGEIF(Datos_Encuesta!W4:W52,"Feria Semana Santa",Datos_Encuesta!P4:P52),"-")</f>
        <v>5</v>
      </c>
      <c r="I8" s="66">
        <f>IFERROR(AVERAGEIF(Datos_Encuesta!W4:W52,"Feria Semana Santa",Datos_Encuesta!Q4:Q52),"-")</f>
        <v>5</v>
      </c>
      <c r="J8" s="66">
        <f>IFERROR(AVERAGEIF(Datos_Encuesta!W4:W52,"Feria Semana Santa",Datos_Encuesta!R4:R52),"-")</f>
        <v>5</v>
      </c>
      <c r="K8" s="66">
        <f>IFERROR(AVERAGEIF(Datos_Encuesta!W4:W52,"Feria Semana Santa",Datos_Encuesta!S4:S52),"-")</f>
        <v>5</v>
      </c>
      <c r="L8" s="59">
        <f>IFERROR(ROUND(AVERAGE(C8:K8),2),"-")</f>
        <v>4.78</v>
      </c>
      <c r="M8" s="65" t="str">
        <f>IF(ISNUMBER(L8),IF(L8&gt;=4.5,"⭐ Excelente",IF(L8&gt;=4,"✅ Bueno",IF(L8&gt;=3,"⚠ Regular","❌ Deficiente"))),"-")</f>
        <v>⭐ Excelente</v>
      </c>
    </row>
    <row r="9" spans="1:13" ht="15" customHeight="1" x14ac:dyDescent="0.25">
      <c r="A9" s="67" t="s">
        <v>310</v>
      </c>
      <c r="B9" s="39">
        <f>SUM(B5:B8)</f>
        <v>49</v>
      </c>
      <c r="C9" s="68">
        <f t="shared" ref="C9:L9" si="0">IFERROR(ROUND(AVERAGE(C5:C8),2),"-")</f>
        <v>4.75</v>
      </c>
      <c r="D9" s="68">
        <f t="shared" si="0"/>
        <v>4.7699999999999996</v>
      </c>
      <c r="E9" s="68">
        <f t="shared" si="0"/>
        <v>4.66</v>
      </c>
      <c r="F9" s="68">
        <f t="shared" si="0"/>
        <v>4.2300000000000004</v>
      </c>
      <c r="G9" s="68">
        <f t="shared" si="0"/>
        <v>4.0999999999999996</v>
      </c>
      <c r="H9" s="68">
        <f t="shared" si="0"/>
        <v>4.45</v>
      </c>
      <c r="I9" s="68">
        <f t="shared" si="0"/>
        <v>4.54</v>
      </c>
      <c r="J9" s="68">
        <f t="shared" si="0"/>
        <v>4.57</v>
      </c>
      <c r="K9" s="68">
        <f t="shared" si="0"/>
        <v>4.49</v>
      </c>
      <c r="L9" s="68">
        <f t="shared" si="0"/>
        <v>4.51</v>
      </c>
      <c r="M9" s="39" t="str">
        <f>IF(L9&gt;=4.5,"⭐ Excelente",IF(L9&gt;=4,"✅ Bueno",IF(L9&gt;=3,"⚠ Regular","❌ Deficiente")))</f>
        <v>⭐ Excelente</v>
      </c>
    </row>
    <row r="12" spans="1:13" ht="15" customHeight="1" x14ac:dyDescent="0.25">
      <c r="A12" s="132" t="s">
        <v>311</v>
      </c>
      <c r="B12" s="132"/>
      <c r="C12" s="132"/>
      <c r="D12" s="132"/>
      <c r="E12" s="132"/>
    </row>
    <row r="13" spans="1:13" ht="32.25" customHeight="1" x14ac:dyDescent="0.25">
      <c r="A13" s="15" t="s">
        <v>259</v>
      </c>
      <c r="B13" s="15" t="s">
        <v>312</v>
      </c>
      <c r="C13" s="15" t="s">
        <v>313</v>
      </c>
      <c r="D13" s="15" t="s">
        <v>314</v>
      </c>
      <c r="E13" s="15" t="s">
        <v>313</v>
      </c>
    </row>
    <row r="14" spans="1:13" ht="15" customHeight="1" x14ac:dyDescent="0.25">
      <c r="A14" s="69" t="s">
        <v>315</v>
      </c>
      <c r="B14" s="70" t="str">
        <f>IFERROR(INDEX(A5:A8,MATCH(MAX(C5:C8),C5:C8,0)),"-")</f>
        <v>Feria de la Mujer</v>
      </c>
      <c r="C14" s="71">
        <f>IFERROR(MAX(C5:C8),"-")</f>
        <v>5</v>
      </c>
      <c r="D14" s="72" t="str">
        <f>IFERROR(INDEX(A5:A8,MATCH(MIN(C5:C8),C5:C8,0)),"-")</f>
        <v>Feria del Dulce</v>
      </c>
      <c r="E14" s="73">
        <f>IFERROR(MIN(C5:C8),"-")</f>
        <v>4.333333333333333</v>
      </c>
    </row>
    <row r="15" spans="1:13" ht="15" customHeight="1" x14ac:dyDescent="0.25">
      <c r="A15" s="74" t="s">
        <v>316</v>
      </c>
      <c r="B15" s="70" t="str">
        <f>IFERROR(INDEX(A5:A8,MATCH(MAX(D5:D8),D5:D8,0)),"-")</f>
        <v>Feria de la Mujer</v>
      </c>
      <c r="C15" s="71">
        <f>IFERROR(MAX(D5:D8),"-")</f>
        <v>5</v>
      </c>
      <c r="D15" s="72" t="str">
        <f>IFERROR(INDEX(A5:A8,MATCH(MIN(D5:D8),D5:D8,0)),"-")</f>
        <v>Feria del Dulce</v>
      </c>
      <c r="E15" s="73">
        <f>IFERROR(MIN(D5:D8),"-")</f>
        <v>4.333333333333333</v>
      </c>
    </row>
    <row r="16" spans="1:13" ht="15" customHeight="1" x14ac:dyDescent="0.25">
      <c r="A16" s="69" t="s">
        <v>287</v>
      </c>
      <c r="B16" s="70" t="str">
        <f>IFERROR(INDEX(A5:A8,MATCH(MAX(E5:E8),E5:E8,0)),"-")</f>
        <v>Feria de la Mujer</v>
      </c>
      <c r="C16" s="71">
        <f>IFERROR(MAX(E5:E8),"-")</f>
        <v>5</v>
      </c>
      <c r="D16" s="72" t="str">
        <f>IFERROR(INDEX(A5:A8,MATCH(MIN(E5:E8),E5:E8,0)),"-")</f>
        <v>Feria del Dulce</v>
      </c>
      <c r="E16" s="73">
        <f>IFERROR(MIN(E5:E8),"-")</f>
        <v>4</v>
      </c>
    </row>
    <row r="17" spans="1:5" ht="15" customHeight="1" x14ac:dyDescent="0.25">
      <c r="A17" s="74" t="s">
        <v>317</v>
      </c>
      <c r="B17" s="70" t="str">
        <f>IFERROR(INDEX(A5:A8,MATCH(MAX(F5:F8),F5:F8,0)),"-")</f>
        <v>Ferias de Carnaval / Malecón / Emprende</v>
      </c>
      <c r="C17" s="71">
        <f>IFERROR(MAX(F5:F8),"-")</f>
        <v>4.4736842105263159</v>
      </c>
      <c r="D17" s="72" t="str">
        <f>IFERROR(INDEX(A5:A8,MATCH(MIN(F5:F8),F5:F8,0)),"-")</f>
        <v>Feria del Dulce</v>
      </c>
      <c r="E17" s="73">
        <f>IFERROR(MIN(F5:F8),"-")</f>
        <v>4</v>
      </c>
    </row>
    <row r="18" spans="1:5" ht="15" customHeight="1" x14ac:dyDescent="0.25">
      <c r="A18" s="69" t="s">
        <v>318</v>
      </c>
      <c r="B18" s="70" t="str">
        <f>IFERROR(INDEX(A5:A8,MATCH(MAX(G5:G8),G5:G8,0)),"-")</f>
        <v>Feria de la Mujer</v>
      </c>
      <c r="C18" s="71">
        <f>IFERROR(MAX(G5:G8),"-")</f>
        <v>4.4285714285714288</v>
      </c>
      <c r="D18" s="72" t="str">
        <f>IFERROR(INDEX(A5:A8,MATCH(MIN(G5:G8),G5:G8,0)),"-")</f>
        <v>Feria del Dulce</v>
      </c>
      <c r="E18" s="73">
        <f>IFERROR(MIN(G5:G8),"-")</f>
        <v>3.6666666666666665</v>
      </c>
    </row>
    <row r="19" spans="1:5" ht="15" customHeight="1" x14ac:dyDescent="0.25">
      <c r="A19" s="74" t="s">
        <v>290</v>
      </c>
      <c r="B19" s="70" t="str">
        <f>IFERROR(INDEX(A5:A8,MATCH(MAX(H5:H8),H5:H8,0)),"-")</f>
        <v>Feria Semana Santa</v>
      </c>
      <c r="C19" s="71">
        <f>IFERROR(MAX(H5:H8),"-")</f>
        <v>5</v>
      </c>
      <c r="D19" s="72" t="str">
        <f>IFERROR(INDEX(A5:A8,MATCH(MIN(H5:H8),H5:H8,0)),"-")</f>
        <v>Feria del Dulce</v>
      </c>
      <c r="E19" s="73">
        <f>IFERROR(MIN(H5:H8),"-")</f>
        <v>3.6666666666666665</v>
      </c>
    </row>
    <row r="20" spans="1:5" ht="15" customHeight="1" x14ac:dyDescent="0.25">
      <c r="A20" s="69" t="s">
        <v>319</v>
      </c>
      <c r="B20" s="70" t="str">
        <f>IFERROR(INDEX(A5:A8,MATCH(MAX(I5:I8),I5:I8,0)),"-")</f>
        <v>Feria Semana Santa</v>
      </c>
      <c r="C20" s="71">
        <f>IFERROR(MAX(I5:I8),"-")</f>
        <v>5</v>
      </c>
      <c r="D20" s="72" t="str">
        <f>IFERROR(INDEX(A5:A8,MATCH(MIN(I5:I8),I5:I8,0)),"-")</f>
        <v>Ferias de Carnaval / Malecón / Emprende</v>
      </c>
      <c r="E20" s="73">
        <f>IFERROR(MIN(I5:I8),"-")</f>
        <v>3.9736842105263159</v>
      </c>
    </row>
    <row r="21" spans="1:5" ht="15" customHeight="1" x14ac:dyDescent="0.25">
      <c r="A21" s="74" t="s">
        <v>292</v>
      </c>
      <c r="B21" s="70" t="str">
        <f>IFERROR(INDEX(A5:A8,MATCH(MAX(J5:J8),J5:J8,0)),"-")</f>
        <v>Feria de la Mujer</v>
      </c>
      <c r="C21" s="71">
        <f>IFERROR(MAX(J5:J8),"-")</f>
        <v>5</v>
      </c>
      <c r="D21" s="72" t="str">
        <f>IFERROR(INDEX(A5:A8,MATCH(MIN(J5:J8),J5:J8,0)),"-")</f>
        <v>Feria del Dulce</v>
      </c>
      <c r="E21" s="73">
        <f>IFERROR(MIN(J5:J8),"-")</f>
        <v>4</v>
      </c>
    </row>
    <row r="22" spans="1:5" ht="15" customHeight="1" x14ac:dyDescent="0.25">
      <c r="A22" s="69" t="s">
        <v>320</v>
      </c>
      <c r="B22" s="70" t="str">
        <f>IFERROR(INDEX(A5:A8,MATCH(MAX(K5:K8),K5:K8,0)),"-")</f>
        <v>Feria Semana Santa</v>
      </c>
      <c r="C22" s="71">
        <f>IFERROR(MAX(K5:K8),"-")</f>
        <v>5</v>
      </c>
      <c r="D22" s="72" t="str">
        <f>IFERROR(INDEX(A5:A8,MATCH(MIN(K5:K8),K5:K8,0)),"-")</f>
        <v>Feria del Dulce</v>
      </c>
      <c r="E22" s="73">
        <f>IFERROR(MIN(K5:K8),"-")</f>
        <v>3.6666666666666665</v>
      </c>
    </row>
    <row r="23" spans="1:5" ht="15" customHeight="1" x14ac:dyDescent="0.25">
      <c r="A23" s="74" t="s">
        <v>321</v>
      </c>
      <c r="B23" s="70" t="str">
        <f>IFERROR(INDEX(A5:A8,MATCH(MAX(L5:L8),L5:L8,0)),"-")</f>
        <v>Feria de la Mujer</v>
      </c>
      <c r="C23" s="71">
        <f>IFERROR(MAX(L5:L8),"-")</f>
        <v>4.83</v>
      </c>
      <c r="D23" s="72" t="str">
        <f>IFERROR(INDEX(A5:A8,MATCH(MIN(L5:L8),L5:L8,0)),"-")</f>
        <v>Feria del Dulce</v>
      </c>
      <c r="E23" s="73">
        <f>IFERROR(MIN(L5:L8),"-")</f>
        <v>4</v>
      </c>
    </row>
  </sheetData>
  <mergeCells count="3">
    <mergeCell ref="A1:M1"/>
    <mergeCell ref="A3:M3"/>
    <mergeCell ref="A12:E12"/>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4B942"/>
  </sheetPr>
  <dimension ref="A1:G28"/>
  <sheetViews>
    <sheetView showGridLines="0" topLeftCell="A17" zoomScaleNormal="100" workbookViewId="0">
      <selection activeCell="C32" sqref="C32"/>
    </sheetView>
  </sheetViews>
  <sheetFormatPr baseColWidth="10" defaultColWidth="8.7109375" defaultRowHeight="15" x14ac:dyDescent="0.25"/>
  <cols>
    <col min="1" max="1" width="35" style="1" customWidth="1"/>
    <col min="2" max="2" width="10" style="1" customWidth="1"/>
    <col min="3" max="3" width="12" style="1" customWidth="1"/>
    <col min="4" max="5" width="14" style="1" customWidth="1"/>
    <col min="6" max="6" width="16" style="1" customWidth="1"/>
  </cols>
  <sheetData>
    <row r="1" spans="1:7" ht="37.5" customHeight="1" x14ac:dyDescent="0.25">
      <c r="A1" s="130" t="s">
        <v>322</v>
      </c>
      <c r="B1" s="130"/>
      <c r="C1" s="130"/>
      <c r="D1" s="130"/>
      <c r="E1" s="130"/>
      <c r="F1" s="130"/>
      <c r="G1" s="130"/>
    </row>
    <row r="3" spans="1:7" ht="15" customHeight="1" x14ac:dyDescent="0.25">
      <c r="A3" s="132" t="s">
        <v>323</v>
      </c>
      <c r="B3" s="132"/>
      <c r="C3" s="132"/>
      <c r="D3" s="132"/>
      <c r="E3" s="132"/>
    </row>
    <row r="4" spans="1:7" ht="15" customHeight="1" x14ac:dyDescent="0.25">
      <c r="A4" s="15" t="s">
        <v>324</v>
      </c>
      <c r="B4" s="15" t="s">
        <v>325</v>
      </c>
      <c r="C4" s="15" t="s">
        <v>326</v>
      </c>
      <c r="D4" s="15" t="s">
        <v>327</v>
      </c>
      <c r="E4" s="15" t="s">
        <v>328</v>
      </c>
    </row>
    <row r="5" spans="1:7" ht="34.5" customHeight="1" x14ac:dyDescent="0.25">
      <c r="A5" s="75" t="s">
        <v>32</v>
      </c>
      <c r="B5" s="76">
        <f>COUNTIF(Datos_Encuesta!U4:U52,"Definitivamente sí")</f>
        <v>48</v>
      </c>
      <c r="C5" s="77">
        <f>IFERROR(B5/COUNTA(Datos_Encuesta!U4:U52),0)</f>
        <v>0.97959183673469385</v>
      </c>
      <c r="D5" s="78" t="s">
        <v>329</v>
      </c>
      <c r="E5" s="7" t="s">
        <v>330</v>
      </c>
    </row>
    <row r="6" spans="1:7" ht="45.75" customHeight="1" x14ac:dyDescent="0.25">
      <c r="A6" s="79" t="s">
        <v>331</v>
      </c>
      <c r="B6" s="80">
        <f>COUNTIF(Datos_Encuesta!U4:U52,"Probablemente sí")</f>
        <v>0</v>
      </c>
      <c r="C6" s="81">
        <f>IFERROR(B6/COUNTA(Datos_Encuesta!U4:U52),0)</f>
        <v>0</v>
      </c>
      <c r="D6" s="82" t="s">
        <v>332</v>
      </c>
      <c r="E6" s="83" t="s">
        <v>333</v>
      </c>
    </row>
    <row r="7" spans="1:7" ht="45.75" customHeight="1" x14ac:dyDescent="0.25">
      <c r="A7" s="84" t="s">
        <v>194</v>
      </c>
      <c r="B7" s="85">
        <f>COUNTIF(Datos_Encuesta!U4:U52,"No estoy seguro(a)")</f>
        <v>1</v>
      </c>
      <c r="C7" s="86">
        <f>IFERROR(B7/COUNTA(Datos_Encuesta!U4:U52),0)</f>
        <v>2.0408163265306121E-2</v>
      </c>
      <c r="D7" s="87" t="s">
        <v>334</v>
      </c>
      <c r="E7" s="14" t="s">
        <v>335</v>
      </c>
    </row>
    <row r="8" spans="1:7" ht="45.75" customHeight="1" x14ac:dyDescent="0.25">
      <c r="A8" s="88" t="s">
        <v>336</v>
      </c>
      <c r="B8" s="89">
        <f>COUNTIF(Datos_Encuesta!U4:U52,"Probablemente no")</f>
        <v>0</v>
      </c>
      <c r="C8" s="90">
        <f>IFERROR(B8/COUNTA(Datos_Encuesta!U4:U52),0)</f>
        <v>0</v>
      </c>
      <c r="D8" s="91" t="s">
        <v>337</v>
      </c>
      <c r="E8" s="92" t="s">
        <v>338</v>
      </c>
    </row>
    <row r="9" spans="1:7" ht="34.5" customHeight="1" x14ac:dyDescent="0.25">
      <c r="A9" s="93" t="s">
        <v>339</v>
      </c>
      <c r="B9" s="94">
        <f>COUNTIF(Datos_Encuesta!U4:U52,"Definitivamente no")</f>
        <v>0</v>
      </c>
      <c r="C9" s="95">
        <f>IFERROR(B9/COUNTA(Datos_Encuesta!U4:U52),0)</f>
        <v>0</v>
      </c>
      <c r="D9" s="96" t="s">
        <v>340</v>
      </c>
      <c r="E9" s="97" t="s">
        <v>341</v>
      </c>
    </row>
    <row r="10" spans="1:7" ht="15" customHeight="1" x14ac:dyDescent="0.25">
      <c r="A10" s="98" t="s">
        <v>342</v>
      </c>
      <c r="B10" s="57">
        <f>SUM(B5:B9)</f>
        <v>49</v>
      </c>
      <c r="C10" s="99">
        <f>B10/COUNTA(Datos_Encuesta!U4:U52)</f>
        <v>1</v>
      </c>
    </row>
    <row r="13" spans="1:7" ht="15" customHeight="1" x14ac:dyDescent="0.25">
      <c r="A13" s="132" t="s">
        <v>343</v>
      </c>
      <c r="B13" s="132"/>
      <c r="C13" s="132"/>
      <c r="D13" s="132"/>
      <c r="E13" s="132"/>
    </row>
    <row r="14" spans="1:7" ht="31.5" customHeight="1" x14ac:dyDescent="0.25">
      <c r="A14" s="15" t="s">
        <v>344</v>
      </c>
      <c r="B14" s="15" t="s">
        <v>325</v>
      </c>
      <c r="C14" s="15" t="s">
        <v>345</v>
      </c>
      <c r="D14" s="15" t="s">
        <v>346</v>
      </c>
    </row>
    <row r="15" spans="1:7" ht="15" customHeight="1" x14ac:dyDescent="0.25">
      <c r="A15" s="29" t="s">
        <v>46</v>
      </c>
      <c r="B15" s="100">
        <v>35</v>
      </c>
      <c r="C15" s="101">
        <f>B15/B10</f>
        <v>0.7142857142857143</v>
      </c>
      <c r="D15" s="102" t="str">
        <f>REPT("█",ROUND(C15*40,0))&amp;" "&amp;TEXT(C15,"0%")</f>
        <v>█████████████████████████████ 71%</v>
      </c>
    </row>
    <row r="16" spans="1:7" ht="15" customHeight="1" x14ac:dyDescent="0.25">
      <c r="A16" s="103" t="s">
        <v>347</v>
      </c>
      <c r="B16" s="104">
        <v>28</v>
      </c>
      <c r="C16" s="105">
        <f>B16/B10</f>
        <v>0.5714285714285714</v>
      </c>
      <c r="D16" s="106" t="str">
        <f>REPT("█",ROUND(C16*40,0))&amp;" "&amp;TEXT(C16,"0%")</f>
        <v>███████████████████████ 57%</v>
      </c>
    </row>
    <row r="17" spans="1:6" ht="15" customHeight="1" x14ac:dyDescent="0.25">
      <c r="A17" s="61" t="s">
        <v>58</v>
      </c>
      <c r="B17" s="107">
        <v>28</v>
      </c>
      <c r="C17" s="108">
        <f>B17/B10</f>
        <v>0.5714285714285714</v>
      </c>
      <c r="D17" s="109" t="str">
        <f>REPT("█",ROUND(C17*40,0))&amp;" "&amp;TEXT(C17,"0%")</f>
        <v>███████████████████████ 57%</v>
      </c>
    </row>
    <row r="18" spans="1:6" ht="15" customHeight="1" x14ac:dyDescent="0.25">
      <c r="A18" s="64" t="s">
        <v>161</v>
      </c>
      <c r="B18" s="110">
        <v>26</v>
      </c>
      <c r="C18" s="111">
        <f>B18/B10</f>
        <v>0.53061224489795922</v>
      </c>
      <c r="D18" s="112" t="str">
        <f>REPT("█",ROUND(C18*40,0))&amp;" "&amp;TEXT(C18,"0%")</f>
        <v>█████████████████████ 53%</v>
      </c>
    </row>
    <row r="19" spans="1:6" ht="15" customHeight="1" x14ac:dyDescent="0.25">
      <c r="A19" s="74" t="s">
        <v>348</v>
      </c>
      <c r="B19" s="113">
        <v>12</v>
      </c>
      <c r="C19" s="114">
        <f>B19/B10</f>
        <v>0.24489795918367346</v>
      </c>
      <c r="D19" s="115" t="str">
        <f>REPT("█",ROUND(C19*40,0))&amp;" "&amp;TEXT(C19,"0%")</f>
        <v>██████████ 24%</v>
      </c>
    </row>
    <row r="23" spans="1:6" ht="15" customHeight="1" x14ac:dyDescent="0.25">
      <c r="A23" s="132" t="s">
        <v>349</v>
      </c>
      <c r="B23" s="132"/>
      <c r="C23" s="132"/>
      <c r="D23" s="132"/>
      <c r="E23" s="132"/>
    </row>
    <row r="24" spans="1:6" ht="15" customHeight="1" x14ac:dyDescent="0.25">
      <c r="A24" s="15" t="s">
        <v>302</v>
      </c>
      <c r="B24" s="15" t="s">
        <v>350</v>
      </c>
      <c r="C24" s="15" t="s">
        <v>351</v>
      </c>
      <c r="D24" s="15" t="s">
        <v>352</v>
      </c>
      <c r="E24" s="15" t="s">
        <v>353</v>
      </c>
      <c r="F24" s="15" t="s">
        <v>328</v>
      </c>
    </row>
    <row r="25" spans="1:6" ht="23.25" customHeight="1" x14ac:dyDescent="0.25">
      <c r="A25" s="24" t="s">
        <v>34</v>
      </c>
      <c r="B25" s="26">
        <f>COUNTIF(Datos_Encuesta!W4:W52,"Ferias de Carnaval / Malecón / Emprende")</f>
        <v>38</v>
      </c>
      <c r="C25" s="26">
        <f>COUNTIFS(Datos_Encuesta!W4:W52,"Ferias de Carnaval / Malecón / Emprende",Datos_Encuesta!U4:U52,"Definitivamente sí")</f>
        <v>37</v>
      </c>
      <c r="D25" s="26">
        <f>COUNTIFS(Datos_Encuesta!W4:W52,"Ferias de Carnaval / Malecón / Emprende",Datos_Encuesta!U4:U52,"No estoy seguro(a)")</f>
        <v>1</v>
      </c>
      <c r="E25" s="21">
        <f>IFERROR(C25/B25,0)</f>
        <v>0.97368421052631582</v>
      </c>
      <c r="F25" s="58" t="str">
        <f>IF(E25&gt;=0.9,"🟢 Excelente",IF(E25&gt;=0.7,"🟢 Alto",IF(E25&gt;=0.5,"🟡 Medio","🔴 Bajo")))</f>
        <v>🟢 Excelente</v>
      </c>
    </row>
    <row r="26" spans="1:6" ht="15" customHeight="1" x14ac:dyDescent="0.25">
      <c r="A26" s="29" t="s">
        <v>209</v>
      </c>
      <c r="B26" s="31">
        <f>COUNTIF(Datos_Encuesta!W4:W52,"Feria de la Mujer")</f>
        <v>7</v>
      </c>
      <c r="C26" s="31">
        <f>COUNTIFS(Datos_Encuesta!W4:W52,"Feria de la Mujer",Datos_Encuesta!U4:U52,"Definitivamente sí")</f>
        <v>7</v>
      </c>
      <c r="D26" s="31">
        <f>COUNTIFS(Datos_Encuesta!W4:W52,"Feria de la Mujer",Datos_Encuesta!U4:U52,"No estoy seguro(a)")</f>
        <v>0</v>
      </c>
      <c r="E26" s="21">
        <f>IFERROR(C26/B26,0)</f>
        <v>1</v>
      </c>
      <c r="F26" s="60" t="str">
        <f>IF(E26&gt;=0.9,"🟢 Excelente",IF(E26&gt;=0.7,"🟢 Alto",IF(E26&gt;=0.5,"🟡 Medio","🔴 Bajo")))</f>
        <v>🟢 Excelente</v>
      </c>
    </row>
    <row r="27" spans="1:6" ht="15" customHeight="1" x14ac:dyDescent="0.25">
      <c r="A27" s="61" t="s">
        <v>246</v>
      </c>
      <c r="B27" s="116">
        <f>COUNTIF(Datos_Encuesta!W4:W52,"Feria del Dulce")</f>
        <v>3</v>
      </c>
      <c r="C27" s="116">
        <f>COUNTIFS(Datos_Encuesta!W4:W52,"Feria del Dulce",Datos_Encuesta!U4:U52,"Definitivamente sí")</f>
        <v>3</v>
      </c>
      <c r="D27" s="116">
        <f>COUNTIFS(Datos_Encuesta!W4:W52,"Feria del Dulce",Datos_Encuesta!U4:U52,"No estoy seguro(a)")</f>
        <v>0</v>
      </c>
      <c r="E27" s="21">
        <f>IFERROR(C27/B27,0)</f>
        <v>1</v>
      </c>
      <c r="F27" s="62" t="str">
        <f>IF(E27&gt;=0.9,"🟢 Excelente",IF(E27&gt;=0.7,"🟢 Alto",IF(E27&gt;=0.5,"🟡 Medio","🔴 Bajo")))</f>
        <v>🟢 Excelente</v>
      </c>
    </row>
    <row r="28" spans="1:6" ht="15" customHeight="1" x14ac:dyDescent="0.25">
      <c r="A28" s="64" t="s">
        <v>241</v>
      </c>
      <c r="B28" s="117">
        <f>COUNTIF(Datos_Encuesta!W4:W52,"Feria Semana Santa")</f>
        <v>1</v>
      </c>
      <c r="C28" s="117">
        <f>COUNTIFS(Datos_Encuesta!W4:W52,"Feria Semana Santa",Datos_Encuesta!U4:U52,"Definitivamente sí")</f>
        <v>1</v>
      </c>
      <c r="D28" s="117">
        <f>COUNTIFS(Datos_Encuesta!W4:W52,"Feria Semana Santa",Datos_Encuesta!U4:U52,"No estoy seguro(a)")</f>
        <v>0</v>
      </c>
      <c r="E28" s="21">
        <f>IFERROR(C28/B28,0)</f>
        <v>1</v>
      </c>
      <c r="F28" s="65" t="str">
        <f>IF(E28&gt;=0.9,"🟢 Excelente",IF(E28&gt;=0.7,"🟢 Alto",IF(E28&gt;=0.5,"🟡 Medio","🔴 Bajo")))</f>
        <v>🟢 Excelente</v>
      </c>
    </row>
  </sheetData>
  <mergeCells count="4">
    <mergeCell ref="A1:G1"/>
    <mergeCell ref="A3:E3"/>
    <mergeCell ref="A13:E13"/>
    <mergeCell ref="A23:E23"/>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T83"/>
  <sheetViews>
    <sheetView showGridLines="0" zoomScale="70" zoomScaleNormal="70" workbookViewId="0">
      <selection sqref="A1:P1"/>
    </sheetView>
  </sheetViews>
  <sheetFormatPr baseColWidth="10" defaultColWidth="8.7109375" defaultRowHeight="15" x14ac:dyDescent="0.25"/>
  <cols>
    <col min="1" max="16" width="9" customWidth="1"/>
    <col min="18" max="18" width="27.140625" customWidth="1"/>
    <col min="19" max="19" width="8.7109375" style="162"/>
  </cols>
  <sheetData>
    <row r="1" spans="1:19" ht="42" customHeight="1" x14ac:dyDescent="0.25">
      <c r="A1" s="136" t="s">
        <v>354</v>
      </c>
      <c r="B1" s="136"/>
      <c r="C1" s="136"/>
      <c r="D1" s="136"/>
      <c r="E1" s="136"/>
      <c r="F1" s="136"/>
      <c r="G1" s="136"/>
      <c r="H1" s="136"/>
      <c r="I1" s="136"/>
      <c r="J1" s="136"/>
      <c r="K1" s="136"/>
      <c r="L1" s="136"/>
      <c r="M1" s="136"/>
      <c r="N1" s="136"/>
      <c r="O1" s="136"/>
      <c r="P1" s="136"/>
    </row>
    <row r="2" spans="1:19" x14ac:dyDescent="0.25">
      <c r="R2" s="118" t="s">
        <v>259</v>
      </c>
      <c r="S2" s="163" t="s">
        <v>262</v>
      </c>
    </row>
    <row r="3" spans="1:19" ht="25.5" customHeight="1" x14ac:dyDescent="0.25">
      <c r="A3" s="135" t="s">
        <v>355</v>
      </c>
      <c r="B3" s="135"/>
      <c r="C3" s="135"/>
      <c r="D3" s="135"/>
      <c r="E3" s="135"/>
      <c r="F3" s="135"/>
      <c r="G3" s="135"/>
      <c r="H3" s="135"/>
      <c r="R3" s="119" t="s">
        <v>315</v>
      </c>
      <c r="S3" s="164">
        <f>ROUND(AVERAGE(Datos_Encuesta!K4:K52),2)</f>
        <v>4.71</v>
      </c>
    </row>
    <row r="4" spans="1:19" x14ac:dyDescent="0.25">
      <c r="R4" s="119" t="s">
        <v>316</v>
      </c>
      <c r="S4" s="164">
        <f>ROUND(AVERAGE(Datos_Encuesta!L4:L52),2)</f>
        <v>4.78</v>
      </c>
    </row>
    <row r="5" spans="1:19" x14ac:dyDescent="0.25">
      <c r="R5" s="119" t="s">
        <v>287</v>
      </c>
      <c r="S5" s="164">
        <f>ROUND(AVERAGE(Datos_Encuesta!M4:M52),2)</f>
        <v>4.67</v>
      </c>
    </row>
    <row r="6" spans="1:19" x14ac:dyDescent="0.25">
      <c r="R6" s="119" t="s">
        <v>317</v>
      </c>
      <c r="S6" s="164">
        <f>ROUND(AVERAGE(Datos_Encuesta!N4:N52),2)</f>
        <v>4.43</v>
      </c>
    </row>
    <row r="7" spans="1:19" x14ac:dyDescent="0.25">
      <c r="R7" s="119" t="s">
        <v>318</v>
      </c>
      <c r="S7" s="164">
        <f>ROUND(AVERAGE(Datos_Encuesta!O4:O52),2)</f>
        <v>4.2699999999999996</v>
      </c>
    </row>
    <row r="8" spans="1:19" x14ac:dyDescent="0.25">
      <c r="R8" s="119" t="s">
        <v>290</v>
      </c>
      <c r="S8" s="164">
        <f>ROUND(AVERAGE(Datos_Encuesta!P4:P52),2)</f>
        <v>4.33</v>
      </c>
    </row>
    <row r="9" spans="1:19" x14ac:dyDescent="0.25">
      <c r="R9" s="119" t="s">
        <v>319</v>
      </c>
      <c r="S9" s="164">
        <f>ROUND(AVERAGE(Datos_Encuesta!Q4:Q52),2)</f>
        <v>4.1399999999999997</v>
      </c>
    </row>
    <row r="10" spans="1:19" x14ac:dyDescent="0.25">
      <c r="R10" s="119" t="s">
        <v>292</v>
      </c>
      <c r="S10" s="164">
        <f>ROUND(AVERAGE(Datos_Encuesta!R4:R52),2)</f>
        <v>4.37</v>
      </c>
    </row>
    <row r="11" spans="1:19" x14ac:dyDescent="0.25">
      <c r="R11" s="119" t="s">
        <v>320</v>
      </c>
      <c r="S11" s="164">
        <f>ROUND(AVERAGE(Datos_Encuesta!S4:S52),2)</f>
        <v>4.45</v>
      </c>
    </row>
    <row r="13" spans="1:19" x14ac:dyDescent="0.25">
      <c r="R13" s="118" t="s">
        <v>24</v>
      </c>
      <c r="S13" s="163" t="s">
        <v>356</v>
      </c>
    </row>
    <row r="14" spans="1:19" x14ac:dyDescent="0.25">
      <c r="R14" s="119" t="s">
        <v>35</v>
      </c>
      <c r="S14" s="165">
        <f>COUNTIF(Datos_Encuesta!E4:E52,"Femenino")</f>
        <v>45</v>
      </c>
    </row>
    <row r="15" spans="1:19" x14ac:dyDescent="0.25">
      <c r="R15" s="119" t="s">
        <v>54</v>
      </c>
      <c r="S15" s="165">
        <f>COUNTIF(Datos_Encuesta!E4:E52,"Masculino")</f>
        <v>4</v>
      </c>
    </row>
    <row r="17" spans="1:19" x14ac:dyDescent="0.25">
      <c r="R17" s="118" t="s">
        <v>10</v>
      </c>
      <c r="S17" s="165" t="s">
        <v>261</v>
      </c>
    </row>
    <row r="18" spans="1:19" x14ac:dyDescent="0.25">
      <c r="R18" s="119" t="s">
        <v>39</v>
      </c>
      <c r="S18" s="165">
        <f>COUNTIF(Datos_Encuesta!J4:J52,"Moda y accesorios")</f>
        <v>23</v>
      </c>
    </row>
    <row r="19" spans="1:19" x14ac:dyDescent="0.25">
      <c r="R19" s="119" t="s">
        <v>51</v>
      </c>
      <c r="S19" s="165">
        <f>COUNTIF(Datos_Encuesta!J4:J52,"Artesanias")</f>
        <v>18</v>
      </c>
    </row>
    <row r="20" spans="1:19" x14ac:dyDescent="0.25">
      <c r="R20" s="119" t="s">
        <v>45</v>
      </c>
      <c r="S20" s="165">
        <f>COUNTIF(Datos_Encuesta!J4:J52,"Alimentos")</f>
        <v>5</v>
      </c>
    </row>
    <row r="21" spans="1:19" x14ac:dyDescent="0.25">
      <c r="R21" s="119"/>
      <c r="S21" s="165"/>
    </row>
    <row r="22" spans="1:19" x14ac:dyDescent="0.25">
      <c r="R22" s="119" t="s">
        <v>30</v>
      </c>
      <c r="S22" s="165">
        <f>COUNTIF(Datos_Encuesta!J4:J52,"Artesanias, Moda y accesorios")</f>
        <v>2</v>
      </c>
    </row>
    <row r="23" spans="1:19" x14ac:dyDescent="0.25">
      <c r="R23" s="119" t="s">
        <v>152</v>
      </c>
      <c r="S23" s="165">
        <f>COUNTIF(Datos_Encuesta!J4:J52,"Servicios")</f>
        <v>1</v>
      </c>
    </row>
    <row r="24" spans="1:19" x14ac:dyDescent="0.25">
      <c r="R24" s="118"/>
      <c r="S24" s="165"/>
    </row>
    <row r="31" spans="1:19" ht="25.5" customHeight="1" x14ac:dyDescent="0.25">
      <c r="A31" s="135" t="s">
        <v>357</v>
      </c>
      <c r="B31" s="135"/>
      <c r="C31" s="135"/>
      <c r="D31" s="135"/>
      <c r="E31" s="135"/>
      <c r="F31" s="135"/>
      <c r="G31" s="135"/>
      <c r="H31" s="135"/>
      <c r="I31" s="135" t="s">
        <v>358</v>
      </c>
      <c r="J31" s="135"/>
      <c r="K31" s="135"/>
      <c r="L31" s="135"/>
      <c r="M31" s="135"/>
      <c r="N31" s="135"/>
      <c r="O31" s="135"/>
      <c r="P31" s="135"/>
    </row>
    <row r="33" spans="18:20" x14ac:dyDescent="0.25">
      <c r="R33" s="118" t="s">
        <v>359</v>
      </c>
      <c r="S33" s="165" t="s">
        <v>261</v>
      </c>
    </row>
    <row r="34" spans="18:20" x14ac:dyDescent="0.25">
      <c r="R34" s="119" t="s">
        <v>32</v>
      </c>
      <c r="S34" s="165">
        <f>COUNTIF(Datos_Encuesta!U4:U52,"Definitivamente sí")</f>
        <v>48</v>
      </c>
    </row>
    <row r="35" spans="18:20" x14ac:dyDescent="0.25">
      <c r="R35" s="119" t="s">
        <v>194</v>
      </c>
      <c r="S35" s="165">
        <f>COUNTIF(Datos_Encuesta!U4:U52,"No estoy seguro(a)")</f>
        <v>1</v>
      </c>
    </row>
    <row r="37" spans="18:20" x14ac:dyDescent="0.25">
      <c r="R37" s="118" t="s">
        <v>360</v>
      </c>
      <c r="S37" s="165" t="s">
        <v>261</v>
      </c>
    </row>
    <row r="38" spans="18:20" x14ac:dyDescent="0.25">
      <c r="R38" s="119" t="s">
        <v>34</v>
      </c>
      <c r="S38" s="165">
        <f>COUNTIF(Datos_Encuesta!W4:W52,"Ferias de Carnaval / Malecón / Emprende")</f>
        <v>38</v>
      </c>
    </row>
    <row r="39" spans="18:20" x14ac:dyDescent="0.25">
      <c r="R39" s="119" t="s">
        <v>209</v>
      </c>
      <c r="S39" s="165">
        <f>COUNTIF(Datos_Encuesta!W4:W52,"Feria de la Mujer")</f>
        <v>7</v>
      </c>
    </row>
    <row r="40" spans="18:20" x14ac:dyDescent="0.25">
      <c r="R40" s="119" t="s">
        <v>246</v>
      </c>
      <c r="S40" s="165">
        <f>COUNTIF(Datos_Encuesta!W4:W52,"Feria del Dulce")</f>
        <v>3</v>
      </c>
    </row>
    <row r="41" spans="18:20" x14ac:dyDescent="0.25">
      <c r="R41" s="119" t="s">
        <v>241</v>
      </c>
      <c r="S41" s="165">
        <f>COUNTIF(Datos_Encuesta!W4:W52,"Feria Semana Santa")</f>
        <v>1</v>
      </c>
    </row>
    <row r="44" spans="18:20" x14ac:dyDescent="0.25">
      <c r="R44" s="119"/>
      <c r="S44" s="165"/>
      <c r="T44" s="119"/>
    </row>
    <row r="45" spans="18:20" x14ac:dyDescent="0.25">
      <c r="R45" s="119"/>
      <c r="S45" s="165"/>
      <c r="T45" s="119"/>
    </row>
    <row r="46" spans="18:20" x14ac:dyDescent="0.25">
      <c r="R46" s="119"/>
      <c r="S46" s="165"/>
      <c r="T46" s="119"/>
    </row>
    <row r="47" spans="18:20" x14ac:dyDescent="0.25">
      <c r="R47" s="119"/>
      <c r="S47" s="165"/>
      <c r="T47" s="119"/>
    </row>
    <row r="48" spans="18:20" x14ac:dyDescent="0.25">
      <c r="R48" s="119" t="s">
        <v>259</v>
      </c>
      <c r="S48" s="165" t="s">
        <v>361</v>
      </c>
      <c r="T48" s="119" t="s">
        <v>362</v>
      </c>
    </row>
    <row r="49" spans="1:20" x14ac:dyDescent="0.25">
      <c r="R49" s="119" t="s">
        <v>315</v>
      </c>
      <c r="S49" s="166">
        <f>COUNTIF(Datos_Encuesta!K4:K52,"&gt;=4")/COUNTA(Datos_Encuesta!K4:K52)</f>
        <v>0.97959183673469385</v>
      </c>
      <c r="T49" s="120">
        <f>COUNTIF(Datos_Encuesta!K4:K52,3)/COUNTA(Datos_Encuesta!K4:K52)</f>
        <v>0</v>
      </c>
    </row>
    <row r="50" spans="1:20" x14ac:dyDescent="0.25">
      <c r="R50" s="119" t="s">
        <v>316</v>
      </c>
      <c r="S50" s="166">
        <f>COUNTIF(Datos_Encuesta!L4:L52,"&gt;=4")/COUNTA(Datos_Encuesta!L4:L52)</f>
        <v>1</v>
      </c>
      <c r="T50" s="120">
        <f>COUNTIF(Datos_Encuesta!L4:L52,3)/COUNTA(Datos_Encuesta!L4:L52)</f>
        <v>0</v>
      </c>
    </row>
    <row r="51" spans="1:20" x14ac:dyDescent="0.25">
      <c r="R51" s="119"/>
      <c r="S51" s="166"/>
      <c r="T51" s="120"/>
    </row>
    <row r="52" spans="1:20" x14ac:dyDescent="0.25">
      <c r="R52" s="119"/>
      <c r="S52" s="166"/>
      <c r="T52" s="120"/>
    </row>
    <row r="53" spans="1:20" x14ac:dyDescent="0.25">
      <c r="R53" s="119"/>
      <c r="S53" s="166"/>
      <c r="T53" s="120"/>
    </row>
    <row r="54" spans="1:20" x14ac:dyDescent="0.25">
      <c r="R54" s="119" t="s">
        <v>287</v>
      </c>
      <c r="S54" s="166">
        <f>COUNTIF(Datos_Encuesta!M4:M52,"&gt;=4")/COUNTA(Datos_Encuesta!M4:M52)</f>
        <v>0.97959183673469385</v>
      </c>
      <c r="T54" s="120">
        <f>COUNTIF(Datos_Encuesta!M4:M52,3)/COUNTA(Datos_Encuesta!M4:M52)</f>
        <v>0</v>
      </c>
    </row>
    <row r="55" spans="1:20" x14ac:dyDescent="0.25">
      <c r="R55" s="119" t="s">
        <v>317</v>
      </c>
      <c r="S55" s="166">
        <f>COUNTIF(Datos_Encuesta!N4:N52,"&gt;=4")/COUNTA(Datos_Encuesta!N4:N52)</f>
        <v>0.93877551020408168</v>
      </c>
      <c r="T55" s="120">
        <f>COUNTIF(Datos_Encuesta!N4:N52,3)/COUNTA(Datos_Encuesta!N4:N52)</f>
        <v>6.1224489795918366E-2</v>
      </c>
    </row>
    <row r="56" spans="1:20" x14ac:dyDescent="0.25">
      <c r="R56" s="119" t="s">
        <v>318</v>
      </c>
      <c r="S56" s="166">
        <f>COUNTIF(Datos_Encuesta!O4:O52,"&gt;=4")/COUNTA(Datos_Encuesta!O4:O52)</f>
        <v>0.81632653061224492</v>
      </c>
      <c r="T56" s="120">
        <f>COUNTIF(Datos_Encuesta!O4:O52,3)/COUNTA(Datos_Encuesta!O4:O52)</f>
        <v>0.18367346938775511</v>
      </c>
    </row>
    <row r="57" spans="1:20" ht="25.5" customHeight="1" x14ac:dyDescent="0.25">
      <c r="A57" s="135" t="s">
        <v>363</v>
      </c>
      <c r="B57" s="135"/>
      <c r="C57" s="135"/>
      <c r="D57" s="135"/>
      <c r="E57" s="135"/>
      <c r="F57" s="135"/>
      <c r="G57" s="135"/>
      <c r="H57" s="135"/>
      <c r="I57" s="135" t="s">
        <v>364</v>
      </c>
      <c r="J57" s="135"/>
      <c r="K57" s="135"/>
      <c r="L57" s="135"/>
      <c r="M57" s="135"/>
      <c r="N57" s="135"/>
      <c r="O57" s="135"/>
      <c r="P57" s="135"/>
      <c r="R57" s="119" t="s">
        <v>290</v>
      </c>
      <c r="S57" s="166">
        <f>COUNTIF(Datos_Encuesta!P4:P52,"&gt;=4")/COUNTA(Datos_Encuesta!P4:P52)</f>
        <v>0.8571428571428571</v>
      </c>
      <c r="T57" s="120">
        <f>COUNTIF(Datos_Encuesta!P4:P52,3)/COUNTA(Datos_Encuesta!P4:P52)</f>
        <v>0.10204081632653061</v>
      </c>
    </row>
    <row r="58" spans="1:20" x14ac:dyDescent="0.25">
      <c r="R58" s="119" t="s">
        <v>319</v>
      </c>
      <c r="S58" s="166">
        <f>COUNTIF(Datos_Encuesta!Q4:Q52,"&gt;=4")/COUNTA(Datos_Encuesta!Q4:Q52)</f>
        <v>0.75510204081632648</v>
      </c>
      <c r="T58" s="120">
        <f>COUNTIF(Datos_Encuesta!Q4:Q52,3)/COUNTA(Datos_Encuesta!Q4:Q52)</f>
        <v>0.20408163265306123</v>
      </c>
    </row>
    <row r="59" spans="1:20" x14ac:dyDescent="0.25">
      <c r="R59" s="119" t="s">
        <v>292</v>
      </c>
      <c r="S59" s="166">
        <f>COUNTIF(Datos_Encuesta!R4:R52,"&gt;=4")/COUNTA(Datos_Encuesta!R4:R52)</f>
        <v>0.87755102040816324</v>
      </c>
      <c r="T59" s="120">
        <f>COUNTIF(Datos_Encuesta!R4:R52,3)/COUNTA(Datos_Encuesta!R4:R52)</f>
        <v>8.1632653061224483E-2</v>
      </c>
    </row>
    <row r="60" spans="1:20" x14ac:dyDescent="0.25">
      <c r="R60" s="119" t="s">
        <v>320</v>
      </c>
      <c r="S60" s="166">
        <f>COUNTIF(Datos_Encuesta!S4:S52,"&gt;=4")/COUNTA(Datos_Encuesta!S4:S52)</f>
        <v>0.89795918367346939</v>
      </c>
      <c r="T60" s="120">
        <f>COUNTIF(Datos_Encuesta!S4:S52,3)/COUNTA(Datos_Encuesta!S4:S52)</f>
        <v>8.1632653061224483E-2</v>
      </c>
    </row>
    <row r="83" spans="1:16" ht="25.5" customHeight="1" x14ac:dyDescent="0.25">
      <c r="A83" s="135" t="s">
        <v>365</v>
      </c>
      <c r="B83" s="135"/>
      <c r="C83" s="135"/>
      <c r="D83" s="135"/>
      <c r="E83" s="135"/>
      <c r="F83" s="135"/>
      <c r="G83" s="135"/>
      <c r="H83" s="135"/>
      <c r="I83" s="135"/>
      <c r="J83" s="135"/>
      <c r="K83" s="135"/>
      <c r="L83" s="135"/>
      <c r="M83" s="135"/>
      <c r="N83" s="135"/>
      <c r="O83" s="135"/>
      <c r="P83" s="135"/>
    </row>
  </sheetData>
  <mergeCells count="7">
    <mergeCell ref="A83:P83"/>
    <mergeCell ref="A1:P1"/>
    <mergeCell ref="A3:H3"/>
    <mergeCell ref="A31:H31"/>
    <mergeCell ref="I31:P31"/>
    <mergeCell ref="A57:H57"/>
    <mergeCell ref="I57:P57"/>
  </mergeCells>
  <pageMargins left="0.75" right="0.75" top="1" bottom="1" header="0.511811023622047" footer="0.511811023622047"/>
  <pageSetup paperSize="9"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A1:L26"/>
  <sheetViews>
    <sheetView showGridLines="0" tabSelected="1" zoomScaleNormal="100" workbookViewId="0">
      <selection activeCell="I12" sqref="I12"/>
    </sheetView>
  </sheetViews>
  <sheetFormatPr baseColWidth="10" defaultColWidth="8.7109375" defaultRowHeight="15" x14ac:dyDescent="0.25"/>
  <cols>
    <col min="1" max="1" width="35" style="1" customWidth="1"/>
    <col min="2" max="2" width="12" style="1" customWidth="1"/>
    <col min="3" max="3" width="10" style="1" customWidth="1"/>
    <col min="4" max="4" width="14" style="1" customWidth="1"/>
    <col min="5" max="5" width="10" style="1" customWidth="1"/>
    <col min="6" max="6" width="14" style="1" customWidth="1"/>
    <col min="7" max="7" width="18" style="1" customWidth="1"/>
  </cols>
  <sheetData>
    <row r="1" spans="1:12" ht="49.5" customHeight="1" x14ac:dyDescent="0.25">
      <c r="A1" s="141" t="s">
        <v>366</v>
      </c>
      <c r="B1" s="141"/>
      <c r="C1" s="141"/>
      <c r="D1" s="141"/>
      <c r="E1" s="141"/>
      <c r="F1" s="141"/>
      <c r="G1" s="141"/>
      <c r="H1" s="141"/>
      <c r="I1" s="141"/>
      <c r="J1" s="141"/>
      <c r="K1" s="141"/>
      <c r="L1" s="141"/>
    </row>
    <row r="3" spans="1:12" ht="27.75" customHeight="1" x14ac:dyDescent="0.25">
      <c r="A3" s="134" t="s">
        <v>367</v>
      </c>
      <c r="B3" s="134"/>
      <c r="C3" s="134"/>
      <c r="D3" s="142" t="s">
        <v>368</v>
      </c>
      <c r="E3" s="142"/>
      <c r="F3" s="142"/>
      <c r="G3" s="143" t="s">
        <v>369</v>
      </c>
      <c r="H3" s="143"/>
      <c r="I3" s="143"/>
      <c r="J3" s="144" t="s">
        <v>370</v>
      </c>
      <c r="K3" s="144"/>
      <c r="L3" s="144"/>
    </row>
    <row r="4" spans="1:12" ht="19.5" customHeight="1" x14ac:dyDescent="0.25">
      <c r="A4" s="137">
        <f>COUNTA(Datos_Encuesta!A4:A52)</f>
        <v>49</v>
      </c>
      <c r="B4" s="137"/>
      <c r="C4" s="137"/>
      <c r="D4" s="138">
        <f>Análisis_Dimensiones!D14</f>
        <v>4.46</v>
      </c>
      <c r="E4" s="138"/>
      <c r="F4" s="138"/>
      <c r="G4" s="139">
        <f>Análisis_Dimensiones!I14</f>
        <v>0.9</v>
      </c>
      <c r="H4" s="139"/>
      <c r="I4" s="139"/>
      <c r="J4" s="140">
        <f>COUNTIF(Datos_Encuesta!U4:U52,"Definitivamente sí")/COUNTA(Datos_Encuesta!U4:U52)</f>
        <v>0.97959183673469385</v>
      </c>
      <c r="K4" s="140"/>
      <c r="L4" s="140"/>
    </row>
    <row r="5" spans="1:12" ht="19.5" customHeight="1" x14ac:dyDescent="0.25">
      <c r="A5" s="137"/>
      <c r="B5" s="137"/>
      <c r="C5" s="137"/>
      <c r="D5" s="138"/>
      <c r="E5" s="138"/>
      <c r="F5" s="138"/>
      <c r="G5" s="139"/>
      <c r="H5" s="139"/>
      <c r="I5" s="139"/>
      <c r="J5" s="140"/>
      <c r="K5" s="140"/>
      <c r="L5" s="140"/>
    </row>
    <row r="6" spans="1:12" ht="19.5" customHeight="1" x14ac:dyDescent="0.25">
      <c r="A6" s="137"/>
      <c r="B6" s="137"/>
      <c r="C6" s="137"/>
      <c r="D6" s="138"/>
      <c r="E6" s="138"/>
      <c r="F6" s="138"/>
      <c r="G6" s="139"/>
      <c r="H6" s="139"/>
      <c r="I6" s="139"/>
      <c r="J6" s="140"/>
      <c r="K6" s="140"/>
      <c r="L6" s="140"/>
    </row>
    <row r="8" spans="1:12" ht="15" customHeight="1" x14ac:dyDescent="0.25">
      <c r="A8" s="132" t="s">
        <v>371</v>
      </c>
      <c r="B8" s="132"/>
      <c r="C8" s="132"/>
      <c r="D8" s="132"/>
      <c r="E8" s="132"/>
      <c r="F8" s="132"/>
      <c r="G8" s="132"/>
    </row>
    <row r="9" spans="1:12" ht="21.75" customHeight="1" x14ac:dyDescent="0.25">
      <c r="A9" s="15" t="s">
        <v>302</v>
      </c>
      <c r="B9" s="15" t="s">
        <v>261</v>
      </c>
      <c r="C9" s="15" t="s">
        <v>321</v>
      </c>
      <c r="D9" s="15" t="s">
        <v>309</v>
      </c>
      <c r="E9" s="15" t="s">
        <v>353</v>
      </c>
      <c r="F9" s="15" t="s">
        <v>372</v>
      </c>
      <c r="G9" s="15" t="s">
        <v>373</v>
      </c>
    </row>
    <row r="10" spans="1:12" ht="23.25" customHeight="1" x14ac:dyDescent="0.25">
      <c r="A10" s="24" t="s">
        <v>34</v>
      </c>
      <c r="B10" s="26">
        <f>Análisis_Por_Feria!B5</f>
        <v>38</v>
      </c>
      <c r="C10" s="59">
        <f>Análisis_Por_Feria!L5</f>
        <v>4.42</v>
      </c>
      <c r="D10" s="58" t="str">
        <f>Análisis_Por_Feria!M5</f>
        <v>✅ Bueno</v>
      </c>
      <c r="E10" s="21">
        <f>Fidelización_Retorno!E25</f>
        <v>0.97368421052631582</v>
      </c>
      <c r="F10" s="121" t="s">
        <v>374</v>
      </c>
      <c r="G10" s="122" t="s">
        <v>375</v>
      </c>
    </row>
    <row r="11" spans="1:12" ht="21.75" customHeight="1" x14ac:dyDescent="0.25">
      <c r="A11" s="29" t="s">
        <v>209</v>
      </c>
      <c r="B11" s="31">
        <f>Análisis_Por_Feria!B6</f>
        <v>7</v>
      </c>
      <c r="C11" s="59">
        <f>Análisis_Por_Feria!L6</f>
        <v>4.83</v>
      </c>
      <c r="D11" s="60" t="str">
        <f>Análisis_Por_Feria!M6</f>
        <v>⭐ Excelente</v>
      </c>
      <c r="E11" s="21">
        <f>Fidelización_Retorno!E26</f>
        <v>1</v>
      </c>
      <c r="F11" s="121" t="s">
        <v>376</v>
      </c>
      <c r="G11" s="122" t="s">
        <v>377</v>
      </c>
    </row>
    <row r="12" spans="1:12" ht="21.75" customHeight="1" x14ac:dyDescent="0.25">
      <c r="A12" s="61" t="s">
        <v>246</v>
      </c>
      <c r="B12" s="116">
        <f>Análisis_Por_Feria!B7</f>
        <v>3</v>
      </c>
      <c r="C12" s="59">
        <f>Análisis_Por_Feria!L7</f>
        <v>4</v>
      </c>
      <c r="D12" s="62" t="str">
        <f>Análisis_Por_Feria!M7</f>
        <v>✅ Bueno</v>
      </c>
      <c r="E12" s="21">
        <f>Fidelización_Retorno!E27</f>
        <v>1</v>
      </c>
      <c r="F12" s="121" t="s">
        <v>378</v>
      </c>
      <c r="G12" s="122" t="s">
        <v>379</v>
      </c>
    </row>
    <row r="13" spans="1:12" ht="15" customHeight="1" x14ac:dyDescent="0.25">
      <c r="A13" s="64" t="s">
        <v>241</v>
      </c>
      <c r="B13" s="117">
        <f>Análisis_Por_Feria!B8</f>
        <v>1</v>
      </c>
      <c r="C13" s="59">
        <f>Análisis_Por_Feria!L8</f>
        <v>4.78</v>
      </c>
      <c r="D13" s="65" t="str">
        <f>Análisis_Por_Feria!M8</f>
        <v>⭐ Excelente</v>
      </c>
      <c r="E13" s="21">
        <f>Fidelización_Retorno!E28</f>
        <v>1</v>
      </c>
      <c r="F13" s="121" t="s">
        <v>380</v>
      </c>
      <c r="G13" s="122" t="s">
        <v>381</v>
      </c>
    </row>
    <row r="16" spans="1:12" ht="15" customHeight="1" x14ac:dyDescent="0.25">
      <c r="A16" s="132" t="s">
        <v>382</v>
      </c>
      <c r="B16" s="132"/>
      <c r="C16" s="132"/>
      <c r="D16" s="132"/>
      <c r="E16" s="132"/>
      <c r="F16" s="132"/>
      <c r="G16" s="132"/>
    </row>
    <row r="17" spans="1:7" ht="15" customHeight="1" x14ac:dyDescent="0.25">
      <c r="A17" s="15" t="s">
        <v>259</v>
      </c>
      <c r="B17" s="15" t="s">
        <v>260</v>
      </c>
      <c r="C17" s="15" t="s">
        <v>262</v>
      </c>
      <c r="D17" s="15" t="s">
        <v>383</v>
      </c>
      <c r="E17" s="15" t="s">
        <v>362</v>
      </c>
      <c r="F17" s="15" t="s">
        <v>384</v>
      </c>
      <c r="G17" s="15" t="s">
        <v>385</v>
      </c>
    </row>
    <row r="18" spans="1:7" ht="23.25" customHeight="1" x14ac:dyDescent="0.25">
      <c r="A18" s="69" t="s">
        <v>270</v>
      </c>
      <c r="B18" s="3" t="s">
        <v>271</v>
      </c>
      <c r="C18" s="123">
        <f>Análisis_Dimensiones!D5</f>
        <v>4.71</v>
      </c>
      <c r="D18" s="124">
        <f>Análisis_Dimensiones!I5</f>
        <v>0.97959183673469385</v>
      </c>
      <c r="E18" s="124">
        <f>Análisis_Dimensiones!J5</f>
        <v>0</v>
      </c>
      <c r="F18" s="124">
        <f>Análisis_Dimensiones!K5</f>
        <v>2.0408163265306121E-2</v>
      </c>
      <c r="G18" s="125" t="str">
        <f t="shared" ref="G18:G26" si="0">IF(C18&lt;3,"🔴 Alta Prioridad",IF(C18&lt;4,"🟡 Media Prioridad","🟢 Mantener"))</f>
        <v>🟢 Mantener</v>
      </c>
    </row>
    <row r="19" spans="1:7" ht="15" customHeight="1" x14ac:dyDescent="0.25">
      <c r="A19" s="74" t="s">
        <v>272</v>
      </c>
      <c r="B19" s="8" t="s">
        <v>271</v>
      </c>
      <c r="C19" s="126">
        <f>Análisis_Dimensiones!D6</f>
        <v>4.78</v>
      </c>
      <c r="D19" s="114">
        <f>Análisis_Dimensiones!I6</f>
        <v>1</v>
      </c>
      <c r="E19" s="114">
        <f>Análisis_Dimensiones!J6</f>
        <v>0</v>
      </c>
      <c r="F19" s="114">
        <f>Análisis_Dimensiones!K6</f>
        <v>0</v>
      </c>
      <c r="G19" s="127" t="str">
        <f t="shared" si="0"/>
        <v>🟢 Mantener</v>
      </c>
    </row>
    <row r="20" spans="1:7" ht="15" customHeight="1" x14ac:dyDescent="0.25">
      <c r="A20" s="69" t="s">
        <v>273</v>
      </c>
      <c r="B20" s="3" t="s">
        <v>271</v>
      </c>
      <c r="C20" s="123">
        <f>Análisis_Dimensiones!D7</f>
        <v>4.67</v>
      </c>
      <c r="D20" s="124">
        <f>Análisis_Dimensiones!I7</f>
        <v>0.97959183673469385</v>
      </c>
      <c r="E20" s="124">
        <f>Análisis_Dimensiones!J7</f>
        <v>0</v>
      </c>
      <c r="F20" s="124">
        <f>Análisis_Dimensiones!K7</f>
        <v>2.0408163265306121E-2</v>
      </c>
      <c r="G20" s="125" t="str">
        <f t="shared" si="0"/>
        <v>🟢 Mantener</v>
      </c>
    </row>
    <row r="21" spans="1:7" ht="15" customHeight="1" x14ac:dyDescent="0.25">
      <c r="A21" s="74" t="s">
        <v>274</v>
      </c>
      <c r="B21" s="8" t="s">
        <v>271</v>
      </c>
      <c r="C21" s="126">
        <f>Análisis_Dimensiones!D8</f>
        <v>4.43</v>
      </c>
      <c r="D21" s="114">
        <f>Análisis_Dimensiones!I8</f>
        <v>0.93877551020408168</v>
      </c>
      <c r="E21" s="114">
        <f>Análisis_Dimensiones!J8</f>
        <v>6.1224489795918366E-2</v>
      </c>
      <c r="F21" s="114">
        <f>Análisis_Dimensiones!K8</f>
        <v>0</v>
      </c>
      <c r="G21" s="127" t="str">
        <f t="shared" si="0"/>
        <v>🟢 Mantener</v>
      </c>
    </row>
    <row r="22" spans="1:7" ht="15" customHeight="1" x14ac:dyDescent="0.25">
      <c r="A22" s="69" t="s">
        <v>275</v>
      </c>
      <c r="B22" s="3" t="s">
        <v>271</v>
      </c>
      <c r="C22" s="123">
        <f>Análisis_Dimensiones!D9</f>
        <v>4.2699999999999996</v>
      </c>
      <c r="D22" s="124">
        <f>Análisis_Dimensiones!I9</f>
        <v>0.81632653061224492</v>
      </c>
      <c r="E22" s="124">
        <f>Análisis_Dimensiones!J9</f>
        <v>0.18367346938775511</v>
      </c>
      <c r="F22" s="124">
        <f>Análisis_Dimensiones!K9</f>
        <v>0</v>
      </c>
      <c r="G22" s="125" t="str">
        <f t="shared" si="0"/>
        <v>🟢 Mantener</v>
      </c>
    </row>
    <row r="23" spans="1:7" ht="15" customHeight="1" x14ac:dyDescent="0.25">
      <c r="A23" s="74" t="s">
        <v>276</v>
      </c>
      <c r="B23" s="8" t="s">
        <v>277</v>
      </c>
      <c r="C23" s="126">
        <f>Análisis_Dimensiones!D10</f>
        <v>4.33</v>
      </c>
      <c r="D23" s="114">
        <f>Análisis_Dimensiones!I10</f>
        <v>0.8571428571428571</v>
      </c>
      <c r="E23" s="114">
        <f>Análisis_Dimensiones!J10</f>
        <v>0.10204081632653061</v>
      </c>
      <c r="F23" s="114">
        <f>Análisis_Dimensiones!K10</f>
        <v>4.0816326530612242E-2</v>
      </c>
      <c r="G23" s="127" t="str">
        <f t="shared" si="0"/>
        <v>🟢 Mantener</v>
      </c>
    </row>
    <row r="24" spans="1:7" ht="23.25" customHeight="1" x14ac:dyDescent="0.25">
      <c r="A24" s="69" t="s">
        <v>278</v>
      </c>
      <c r="B24" s="3" t="s">
        <v>277</v>
      </c>
      <c r="C24" s="123">
        <f>Análisis_Dimensiones!D11</f>
        <v>4.1399999999999997</v>
      </c>
      <c r="D24" s="124">
        <f>Análisis_Dimensiones!I11</f>
        <v>0.75510204081632648</v>
      </c>
      <c r="E24" s="124">
        <f>Análisis_Dimensiones!J11</f>
        <v>0.20408163265306123</v>
      </c>
      <c r="F24" s="124">
        <f>Análisis_Dimensiones!K11</f>
        <v>4.0816326530612242E-2</v>
      </c>
      <c r="G24" s="125" t="str">
        <f t="shared" si="0"/>
        <v>🟢 Mantener</v>
      </c>
    </row>
    <row r="25" spans="1:7" ht="15" customHeight="1" x14ac:dyDescent="0.25">
      <c r="A25" s="74" t="s">
        <v>279</v>
      </c>
      <c r="B25" s="8" t="s">
        <v>277</v>
      </c>
      <c r="C25" s="126">
        <f>Análisis_Dimensiones!D12</f>
        <v>4.37</v>
      </c>
      <c r="D25" s="114">
        <f>Análisis_Dimensiones!I12</f>
        <v>0.87755102040816324</v>
      </c>
      <c r="E25" s="114">
        <f>Análisis_Dimensiones!J12</f>
        <v>8.1632653061224483E-2</v>
      </c>
      <c r="F25" s="114">
        <f>Análisis_Dimensiones!K12</f>
        <v>4.0816326530612242E-2</v>
      </c>
      <c r="G25" s="127" t="str">
        <f t="shared" si="0"/>
        <v>🟢 Mantener</v>
      </c>
    </row>
    <row r="26" spans="1:7" ht="15" customHeight="1" x14ac:dyDescent="0.25">
      <c r="A26" s="69" t="s">
        <v>280</v>
      </c>
      <c r="B26" s="3" t="s">
        <v>277</v>
      </c>
      <c r="C26" s="123">
        <f>Análisis_Dimensiones!D13</f>
        <v>4.45</v>
      </c>
      <c r="D26" s="124">
        <f>Análisis_Dimensiones!I13</f>
        <v>0.89795918367346939</v>
      </c>
      <c r="E26" s="124">
        <f>Análisis_Dimensiones!J13</f>
        <v>8.1632653061224483E-2</v>
      </c>
      <c r="F26" s="124">
        <f>Análisis_Dimensiones!K13</f>
        <v>2.0408163265306121E-2</v>
      </c>
      <c r="G26" s="125" t="str">
        <f t="shared" si="0"/>
        <v>🟢 Mantener</v>
      </c>
    </row>
  </sheetData>
  <mergeCells count="11">
    <mergeCell ref="A1:L1"/>
    <mergeCell ref="A3:C3"/>
    <mergeCell ref="D3:F3"/>
    <mergeCell ref="G3:I3"/>
    <mergeCell ref="J3:L3"/>
    <mergeCell ref="A16:G16"/>
    <mergeCell ref="A4:C6"/>
    <mergeCell ref="D4:F6"/>
    <mergeCell ref="G4:I6"/>
    <mergeCell ref="J4:L6"/>
    <mergeCell ref="A8:G8"/>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375623"/>
  </sheetPr>
  <dimension ref="A1:I97"/>
  <sheetViews>
    <sheetView showGridLines="0" zoomScaleNormal="100" workbookViewId="0">
      <selection activeCell="M5" sqref="M5"/>
    </sheetView>
  </sheetViews>
  <sheetFormatPr baseColWidth="10" defaultColWidth="8.7109375" defaultRowHeight="15" x14ac:dyDescent="0.25"/>
  <cols>
    <col min="1" max="1" width="130" style="1" customWidth="1"/>
    <col min="2" max="9" width="1" style="1" customWidth="1"/>
  </cols>
  <sheetData>
    <row r="1" spans="1:9" ht="54.75" customHeight="1" x14ac:dyDescent="0.25">
      <c r="A1" s="141" t="s">
        <v>386</v>
      </c>
      <c r="B1" s="141"/>
      <c r="C1" s="141"/>
      <c r="D1" s="141"/>
      <c r="E1" s="141"/>
      <c r="F1" s="141"/>
      <c r="G1" s="141"/>
      <c r="H1" s="141"/>
      <c r="I1" s="141"/>
    </row>
    <row r="2" spans="1:9" ht="27.75" customHeight="1" x14ac:dyDescent="0.25">
      <c r="A2" s="149" t="s">
        <v>387</v>
      </c>
      <c r="B2" s="149"/>
      <c r="C2" s="149"/>
      <c r="D2" s="149"/>
      <c r="E2" s="149"/>
      <c r="F2" s="149"/>
      <c r="G2" s="149"/>
      <c r="H2" s="149"/>
      <c r="I2" s="149"/>
    </row>
    <row r="3" spans="1:9" ht="7.5" customHeight="1" x14ac:dyDescent="0.25">
      <c r="A3" s="145"/>
      <c r="B3" s="145"/>
      <c r="C3" s="145"/>
      <c r="D3" s="145"/>
      <c r="E3" s="145"/>
      <c r="F3" s="145"/>
      <c r="G3" s="145"/>
      <c r="H3" s="145"/>
      <c r="I3" s="145"/>
    </row>
    <row r="4" spans="1:9" ht="45" customHeight="1" x14ac:dyDescent="0.25">
      <c r="A4" s="146" t="s">
        <v>388</v>
      </c>
      <c r="B4" s="146"/>
      <c r="C4" s="146"/>
      <c r="D4" s="146"/>
      <c r="E4" s="146"/>
      <c r="F4" s="146"/>
      <c r="G4" s="146"/>
      <c r="H4" s="146"/>
      <c r="I4" s="146"/>
    </row>
    <row r="5" spans="1:9" ht="45" customHeight="1" x14ac:dyDescent="0.25">
      <c r="A5" s="159" t="s">
        <v>389</v>
      </c>
      <c r="B5" s="159"/>
      <c r="C5" s="159"/>
      <c r="D5" s="159"/>
      <c r="E5" s="159"/>
      <c r="F5" s="159"/>
      <c r="G5" s="159"/>
      <c r="H5" s="159"/>
      <c r="I5" s="159"/>
    </row>
    <row r="6" spans="1:9" ht="45" customHeight="1" x14ac:dyDescent="0.25">
      <c r="A6" s="146" t="s">
        <v>390</v>
      </c>
      <c r="B6" s="146"/>
      <c r="C6" s="146"/>
      <c r="D6" s="146"/>
      <c r="E6" s="146"/>
      <c r="F6" s="146"/>
      <c r="G6" s="146"/>
      <c r="H6" s="146"/>
      <c r="I6" s="146"/>
    </row>
    <row r="7" spans="1:9" ht="7.5" customHeight="1" x14ac:dyDescent="0.25">
      <c r="A7" s="145"/>
      <c r="B7" s="145"/>
      <c r="C7" s="145"/>
      <c r="D7" s="145"/>
      <c r="E7" s="145"/>
      <c r="F7" s="145"/>
      <c r="G7" s="145"/>
      <c r="H7" s="145"/>
      <c r="I7" s="145"/>
    </row>
    <row r="8" spans="1:9" ht="27.75" customHeight="1" x14ac:dyDescent="0.25">
      <c r="A8" s="149" t="s">
        <v>391</v>
      </c>
      <c r="B8" s="149"/>
      <c r="C8" s="149"/>
      <c r="D8" s="149"/>
      <c r="E8" s="149"/>
      <c r="F8" s="149"/>
      <c r="G8" s="149"/>
      <c r="H8" s="149"/>
      <c r="I8" s="149"/>
    </row>
    <row r="9" spans="1:9" ht="7.5" customHeight="1" x14ac:dyDescent="0.25">
      <c r="A9" s="145"/>
      <c r="B9" s="145"/>
      <c r="C9" s="145"/>
      <c r="D9" s="145"/>
      <c r="E9" s="145"/>
      <c r="F9" s="145"/>
      <c r="G9" s="145"/>
      <c r="H9" s="145"/>
      <c r="I9" s="145"/>
    </row>
    <row r="10" spans="1:9" ht="27.75" customHeight="1" x14ac:dyDescent="0.25">
      <c r="A10" s="135" t="s">
        <v>392</v>
      </c>
      <c r="B10" s="135"/>
      <c r="C10" s="135"/>
      <c r="D10" s="135"/>
      <c r="E10" s="135"/>
      <c r="F10" s="135"/>
      <c r="G10" s="135"/>
      <c r="H10" s="135"/>
      <c r="I10" s="135"/>
    </row>
    <row r="11" spans="1:9" ht="45" customHeight="1" x14ac:dyDescent="0.25">
      <c r="A11" s="146" t="s">
        <v>393</v>
      </c>
      <c r="B11" s="146"/>
      <c r="C11" s="146"/>
      <c r="D11" s="146"/>
      <c r="E11" s="146"/>
      <c r="F11" s="146"/>
      <c r="G11" s="146"/>
      <c r="H11" s="146"/>
      <c r="I11" s="146"/>
    </row>
    <row r="12" spans="1:9" ht="45" customHeight="1" x14ac:dyDescent="0.25">
      <c r="A12" s="159" t="s">
        <v>394</v>
      </c>
      <c r="B12" s="159"/>
      <c r="C12" s="159"/>
      <c r="D12" s="159"/>
      <c r="E12" s="159"/>
      <c r="F12" s="159"/>
      <c r="G12" s="159"/>
      <c r="H12" s="159"/>
      <c r="I12" s="159"/>
    </row>
    <row r="13" spans="1:9" ht="7.5" customHeight="1" x14ac:dyDescent="0.25">
      <c r="A13" s="145"/>
      <c r="B13" s="145"/>
      <c r="C13" s="145"/>
      <c r="D13" s="145"/>
      <c r="E13" s="145"/>
      <c r="F13" s="145"/>
      <c r="G13" s="145"/>
      <c r="H13" s="145"/>
      <c r="I13" s="145"/>
    </row>
    <row r="14" spans="1:9" ht="27.75" customHeight="1" x14ac:dyDescent="0.25">
      <c r="A14" s="135" t="s">
        <v>395</v>
      </c>
      <c r="B14" s="135"/>
      <c r="C14" s="135"/>
      <c r="D14" s="135"/>
      <c r="E14" s="135"/>
      <c r="F14" s="135"/>
      <c r="G14" s="135"/>
      <c r="H14" s="135"/>
      <c r="I14" s="135"/>
    </row>
    <row r="15" spans="1:9" ht="21.75" customHeight="1" x14ac:dyDescent="0.25">
      <c r="A15" s="161" t="s">
        <v>396</v>
      </c>
      <c r="B15" s="161"/>
      <c r="C15" s="161"/>
      <c r="D15" s="161"/>
      <c r="E15" s="161"/>
      <c r="F15" s="161"/>
      <c r="G15" s="161"/>
      <c r="H15" s="161"/>
      <c r="I15" s="161"/>
    </row>
    <row r="16" spans="1:9" ht="45" customHeight="1" x14ac:dyDescent="0.25">
      <c r="A16" s="155" t="s">
        <v>397</v>
      </c>
      <c r="B16" s="155"/>
      <c r="C16" s="155"/>
      <c r="D16" s="155"/>
      <c r="E16" s="155"/>
      <c r="F16" s="155"/>
      <c r="G16" s="155"/>
      <c r="H16" s="155"/>
      <c r="I16" s="155"/>
    </row>
    <row r="17" spans="1:9" ht="21.75" customHeight="1" x14ac:dyDescent="0.25">
      <c r="A17" s="161" t="s">
        <v>398</v>
      </c>
      <c r="B17" s="161"/>
      <c r="C17" s="161"/>
      <c r="D17" s="161"/>
      <c r="E17" s="161"/>
      <c r="F17" s="161"/>
      <c r="G17" s="161"/>
      <c r="H17" s="161"/>
      <c r="I17" s="161"/>
    </row>
    <row r="18" spans="1:9" ht="45" customHeight="1" x14ac:dyDescent="0.25">
      <c r="A18" s="155" t="s">
        <v>399</v>
      </c>
      <c r="B18" s="155"/>
      <c r="C18" s="155"/>
      <c r="D18" s="155"/>
      <c r="E18" s="155"/>
      <c r="F18" s="155"/>
      <c r="G18" s="155"/>
      <c r="H18" s="155"/>
      <c r="I18" s="155"/>
    </row>
    <row r="19" spans="1:9" ht="21.75" customHeight="1" x14ac:dyDescent="0.25">
      <c r="A19" s="161" t="s">
        <v>400</v>
      </c>
      <c r="B19" s="161"/>
      <c r="C19" s="161"/>
      <c r="D19" s="161"/>
      <c r="E19" s="161"/>
      <c r="F19" s="161"/>
      <c r="G19" s="161"/>
      <c r="H19" s="161"/>
      <c r="I19" s="161"/>
    </row>
    <row r="20" spans="1:9" ht="45" customHeight="1" x14ac:dyDescent="0.25">
      <c r="A20" s="155" t="s">
        <v>401</v>
      </c>
      <c r="B20" s="155"/>
      <c r="C20" s="155"/>
      <c r="D20" s="155"/>
      <c r="E20" s="155"/>
      <c r="F20" s="155"/>
      <c r="G20" s="155"/>
      <c r="H20" s="155"/>
      <c r="I20" s="155"/>
    </row>
    <row r="21" spans="1:9" ht="21.75" customHeight="1" x14ac:dyDescent="0.25">
      <c r="A21" s="161" t="s">
        <v>402</v>
      </c>
      <c r="B21" s="161"/>
      <c r="C21" s="161"/>
      <c r="D21" s="161"/>
      <c r="E21" s="161"/>
      <c r="F21" s="161"/>
      <c r="G21" s="161"/>
      <c r="H21" s="161"/>
      <c r="I21" s="161"/>
    </row>
    <row r="22" spans="1:9" ht="45" customHeight="1" x14ac:dyDescent="0.25">
      <c r="A22" s="155" t="s">
        <v>403</v>
      </c>
      <c r="B22" s="155"/>
      <c r="C22" s="155"/>
      <c r="D22" s="155"/>
      <c r="E22" s="155"/>
      <c r="F22" s="155"/>
      <c r="G22" s="155"/>
      <c r="H22" s="155"/>
      <c r="I22" s="155"/>
    </row>
    <row r="23" spans="1:9" ht="21.75" customHeight="1" x14ac:dyDescent="0.25">
      <c r="A23" s="161" t="s">
        <v>404</v>
      </c>
      <c r="B23" s="161"/>
      <c r="C23" s="161"/>
      <c r="D23" s="161"/>
      <c r="E23" s="161"/>
      <c r="F23" s="161"/>
      <c r="G23" s="161"/>
      <c r="H23" s="161"/>
      <c r="I23" s="161"/>
    </row>
    <row r="24" spans="1:9" ht="45" customHeight="1" x14ac:dyDescent="0.25">
      <c r="A24" s="155" t="s">
        <v>405</v>
      </c>
      <c r="B24" s="155"/>
      <c r="C24" s="155"/>
      <c r="D24" s="155"/>
      <c r="E24" s="155"/>
      <c r="F24" s="155"/>
      <c r="G24" s="155"/>
      <c r="H24" s="155"/>
      <c r="I24" s="155"/>
    </row>
    <row r="25" spans="1:9" ht="7.5" customHeight="1" x14ac:dyDescent="0.25">
      <c r="A25" s="145"/>
      <c r="B25" s="145"/>
      <c r="C25" s="145"/>
      <c r="D25" s="145"/>
      <c r="E25" s="145"/>
      <c r="F25" s="145"/>
      <c r="G25" s="145"/>
      <c r="H25" s="145"/>
      <c r="I25" s="145"/>
    </row>
    <row r="26" spans="1:9" ht="27.75" customHeight="1" x14ac:dyDescent="0.25">
      <c r="A26" s="135" t="s">
        <v>406</v>
      </c>
      <c r="B26" s="135"/>
      <c r="C26" s="135"/>
      <c r="D26" s="135"/>
      <c r="E26" s="135"/>
      <c r="F26" s="135"/>
      <c r="G26" s="135"/>
      <c r="H26" s="135"/>
      <c r="I26" s="135"/>
    </row>
    <row r="27" spans="1:9" ht="21.75" customHeight="1" x14ac:dyDescent="0.25">
      <c r="A27" s="160" t="s">
        <v>407</v>
      </c>
      <c r="B27" s="160"/>
      <c r="C27" s="160"/>
      <c r="D27" s="160"/>
      <c r="E27" s="160"/>
      <c r="F27" s="160"/>
      <c r="G27" s="160"/>
      <c r="H27" s="160"/>
      <c r="I27" s="160"/>
    </row>
    <row r="28" spans="1:9" ht="45" customHeight="1" x14ac:dyDescent="0.25">
      <c r="A28" s="155" t="s">
        <v>408</v>
      </c>
      <c r="B28" s="155"/>
      <c r="C28" s="155"/>
      <c r="D28" s="155"/>
      <c r="E28" s="155"/>
      <c r="F28" s="155"/>
      <c r="G28" s="155"/>
      <c r="H28" s="155"/>
      <c r="I28" s="155"/>
    </row>
    <row r="29" spans="1:9" ht="21.75" customHeight="1" x14ac:dyDescent="0.25">
      <c r="A29" s="160" t="s">
        <v>409</v>
      </c>
      <c r="B29" s="160"/>
      <c r="C29" s="160"/>
      <c r="D29" s="160"/>
      <c r="E29" s="160"/>
      <c r="F29" s="160"/>
      <c r="G29" s="160"/>
      <c r="H29" s="160"/>
      <c r="I29" s="160"/>
    </row>
    <row r="30" spans="1:9" ht="45" customHeight="1" x14ac:dyDescent="0.25">
      <c r="A30" s="155" t="s">
        <v>410</v>
      </c>
      <c r="B30" s="155"/>
      <c r="C30" s="155"/>
      <c r="D30" s="155"/>
      <c r="E30" s="155"/>
      <c r="F30" s="155"/>
      <c r="G30" s="155"/>
      <c r="H30" s="155"/>
      <c r="I30" s="155"/>
    </row>
    <row r="31" spans="1:9" ht="21.75" customHeight="1" x14ac:dyDescent="0.25">
      <c r="A31" s="160" t="s">
        <v>411</v>
      </c>
      <c r="B31" s="160"/>
      <c r="C31" s="160"/>
      <c r="D31" s="160"/>
      <c r="E31" s="160"/>
      <c r="F31" s="160"/>
      <c r="G31" s="160"/>
      <c r="H31" s="160"/>
      <c r="I31" s="160"/>
    </row>
    <row r="32" spans="1:9" ht="45" customHeight="1" x14ac:dyDescent="0.25">
      <c r="A32" s="155" t="s">
        <v>412</v>
      </c>
      <c r="B32" s="155"/>
      <c r="C32" s="155"/>
      <c r="D32" s="155"/>
      <c r="E32" s="155"/>
      <c r="F32" s="155"/>
      <c r="G32" s="155"/>
      <c r="H32" s="155"/>
      <c r="I32" s="155"/>
    </row>
    <row r="33" spans="1:9" ht="21.75" customHeight="1" x14ac:dyDescent="0.25">
      <c r="A33" s="160" t="s">
        <v>413</v>
      </c>
      <c r="B33" s="160"/>
      <c r="C33" s="160"/>
      <c r="D33" s="160"/>
      <c r="E33" s="160"/>
      <c r="F33" s="160"/>
      <c r="G33" s="160"/>
      <c r="H33" s="160"/>
      <c r="I33" s="160"/>
    </row>
    <row r="34" spans="1:9" ht="45" customHeight="1" x14ac:dyDescent="0.25">
      <c r="A34" s="155" t="s">
        <v>414</v>
      </c>
      <c r="B34" s="155"/>
      <c r="C34" s="155"/>
      <c r="D34" s="155"/>
      <c r="E34" s="155"/>
      <c r="F34" s="155"/>
      <c r="G34" s="155"/>
      <c r="H34" s="155"/>
      <c r="I34" s="155"/>
    </row>
    <row r="35" spans="1:9" ht="7.5" customHeight="1" x14ac:dyDescent="0.25">
      <c r="A35" s="145"/>
      <c r="B35" s="145"/>
      <c r="C35" s="145"/>
      <c r="D35" s="145"/>
      <c r="E35" s="145"/>
      <c r="F35" s="145"/>
      <c r="G35" s="145"/>
      <c r="H35" s="145"/>
      <c r="I35" s="145"/>
    </row>
    <row r="36" spans="1:9" ht="27.75" customHeight="1" x14ac:dyDescent="0.25">
      <c r="A36" s="149" t="s">
        <v>415</v>
      </c>
      <c r="B36" s="149"/>
      <c r="C36" s="149"/>
      <c r="D36" s="149"/>
      <c r="E36" s="149"/>
      <c r="F36" s="149"/>
      <c r="G36" s="149"/>
      <c r="H36" s="149"/>
      <c r="I36" s="149"/>
    </row>
    <row r="37" spans="1:9" ht="7.5" customHeight="1" x14ac:dyDescent="0.25">
      <c r="A37" s="145"/>
      <c r="B37" s="145"/>
      <c r="C37" s="145"/>
      <c r="D37" s="145"/>
      <c r="E37" s="145"/>
      <c r="F37" s="145"/>
      <c r="G37" s="145"/>
      <c r="H37" s="145"/>
      <c r="I37" s="145"/>
    </row>
    <row r="38" spans="1:9" ht="21.75" customHeight="1" x14ac:dyDescent="0.25">
      <c r="A38" s="151" t="s">
        <v>416</v>
      </c>
      <c r="B38" s="151"/>
      <c r="C38" s="151"/>
      <c r="D38" s="151"/>
      <c r="E38" s="151"/>
      <c r="F38" s="151"/>
      <c r="G38" s="151"/>
      <c r="H38" s="151"/>
      <c r="I38" s="151"/>
    </row>
    <row r="39" spans="1:9" ht="45" customHeight="1" x14ac:dyDescent="0.25">
      <c r="A39" s="147" t="s">
        <v>417</v>
      </c>
      <c r="B39" s="147"/>
      <c r="C39" s="147"/>
      <c r="D39" s="147"/>
      <c r="E39" s="147"/>
      <c r="F39" s="147"/>
      <c r="G39" s="147"/>
      <c r="H39" s="147"/>
      <c r="I39" s="147"/>
    </row>
    <row r="40" spans="1:9" ht="21.75" customHeight="1" x14ac:dyDescent="0.25">
      <c r="A40" s="151" t="s">
        <v>418</v>
      </c>
      <c r="B40" s="151"/>
      <c r="C40" s="151"/>
      <c r="D40" s="151"/>
      <c r="E40" s="151"/>
      <c r="F40" s="151"/>
      <c r="G40" s="151"/>
      <c r="H40" s="151"/>
      <c r="I40" s="151"/>
    </row>
    <row r="41" spans="1:9" ht="45" customHeight="1" x14ac:dyDescent="0.25">
      <c r="A41" s="147" t="s">
        <v>419</v>
      </c>
      <c r="B41" s="147"/>
      <c r="C41" s="147"/>
      <c r="D41" s="147"/>
      <c r="E41" s="147"/>
      <c r="F41" s="147"/>
      <c r="G41" s="147"/>
      <c r="H41" s="147"/>
      <c r="I41" s="147"/>
    </row>
    <row r="42" spans="1:9" ht="21.75" customHeight="1" x14ac:dyDescent="0.25">
      <c r="A42" s="150" t="s">
        <v>420</v>
      </c>
      <c r="B42" s="150"/>
      <c r="C42" s="150"/>
      <c r="D42" s="150"/>
      <c r="E42" s="150"/>
      <c r="F42" s="150"/>
      <c r="G42" s="150"/>
      <c r="H42" s="150"/>
      <c r="I42" s="150"/>
    </row>
    <row r="43" spans="1:9" ht="45" customHeight="1" x14ac:dyDescent="0.25">
      <c r="A43" s="147" t="s">
        <v>421</v>
      </c>
      <c r="B43" s="147"/>
      <c r="C43" s="147"/>
      <c r="D43" s="147"/>
      <c r="E43" s="147"/>
      <c r="F43" s="147"/>
      <c r="G43" s="147"/>
      <c r="H43" s="147"/>
      <c r="I43" s="147"/>
    </row>
    <row r="44" spans="1:9" ht="21.75" customHeight="1" x14ac:dyDescent="0.25">
      <c r="A44" s="151" t="s">
        <v>422</v>
      </c>
      <c r="B44" s="151"/>
      <c r="C44" s="151"/>
      <c r="D44" s="151"/>
      <c r="E44" s="151"/>
      <c r="F44" s="151"/>
      <c r="G44" s="151"/>
      <c r="H44" s="151"/>
      <c r="I44" s="151"/>
    </row>
    <row r="45" spans="1:9" ht="45" customHeight="1" x14ac:dyDescent="0.25">
      <c r="A45" s="147" t="s">
        <v>423</v>
      </c>
      <c r="B45" s="147"/>
      <c r="C45" s="147"/>
      <c r="D45" s="147"/>
      <c r="E45" s="147"/>
      <c r="F45" s="147"/>
      <c r="G45" s="147"/>
      <c r="H45" s="147"/>
      <c r="I45" s="147"/>
    </row>
    <row r="46" spans="1:9" ht="7.5" customHeight="1" x14ac:dyDescent="0.25">
      <c r="A46" s="145"/>
      <c r="B46" s="145"/>
      <c r="C46" s="145"/>
      <c r="D46" s="145"/>
      <c r="E46" s="145"/>
      <c r="F46" s="145"/>
      <c r="G46" s="145"/>
      <c r="H46" s="145"/>
      <c r="I46" s="145"/>
    </row>
    <row r="47" spans="1:9" ht="27.75" customHeight="1" x14ac:dyDescent="0.25">
      <c r="A47" s="149" t="s">
        <v>424</v>
      </c>
      <c r="B47" s="149"/>
      <c r="C47" s="149"/>
      <c r="D47" s="149"/>
      <c r="E47" s="149"/>
      <c r="F47" s="149"/>
      <c r="G47" s="149"/>
      <c r="H47" s="149"/>
      <c r="I47" s="149"/>
    </row>
    <row r="48" spans="1:9" ht="7.5" customHeight="1" x14ac:dyDescent="0.25">
      <c r="A48" s="145"/>
      <c r="B48" s="145"/>
      <c r="C48" s="145"/>
      <c r="D48" s="145"/>
      <c r="E48" s="145"/>
      <c r="F48" s="145"/>
      <c r="G48" s="145"/>
      <c r="H48" s="145"/>
      <c r="I48" s="145"/>
    </row>
    <row r="49" spans="1:9" ht="27.75" customHeight="1" x14ac:dyDescent="0.25">
      <c r="A49" s="135" t="s">
        <v>425</v>
      </c>
      <c r="B49" s="135"/>
      <c r="C49" s="135"/>
      <c r="D49" s="135"/>
      <c r="E49" s="135"/>
      <c r="F49" s="135"/>
      <c r="G49" s="135"/>
      <c r="H49" s="135"/>
      <c r="I49" s="135"/>
    </row>
    <row r="50" spans="1:9" ht="45" customHeight="1" x14ac:dyDescent="0.25">
      <c r="A50" s="146" t="s">
        <v>426</v>
      </c>
      <c r="B50" s="146"/>
      <c r="C50" s="146"/>
      <c r="D50" s="146"/>
      <c r="E50" s="146"/>
      <c r="F50" s="146"/>
      <c r="G50" s="146"/>
      <c r="H50" s="146"/>
      <c r="I50" s="146"/>
    </row>
    <row r="51" spans="1:9" ht="45" customHeight="1" x14ac:dyDescent="0.25">
      <c r="A51" s="159" t="s">
        <v>427</v>
      </c>
      <c r="B51" s="159"/>
      <c r="C51" s="159"/>
      <c r="D51" s="159"/>
      <c r="E51" s="159"/>
      <c r="F51" s="159"/>
      <c r="G51" s="159"/>
      <c r="H51" s="159"/>
      <c r="I51" s="159"/>
    </row>
    <row r="52" spans="1:9" ht="7.5" customHeight="1" x14ac:dyDescent="0.25">
      <c r="A52" s="145"/>
      <c r="B52" s="145"/>
      <c r="C52" s="145"/>
      <c r="D52" s="145"/>
      <c r="E52" s="145"/>
      <c r="F52" s="145"/>
      <c r="G52" s="145"/>
      <c r="H52" s="145"/>
      <c r="I52" s="145"/>
    </row>
    <row r="53" spans="1:9" ht="27.75" customHeight="1" x14ac:dyDescent="0.25">
      <c r="A53" s="135" t="s">
        <v>428</v>
      </c>
      <c r="B53" s="135"/>
      <c r="C53" s="135"/>
      <c r="D53" s="135"/>
      <c r="E53" s="135"/>
      <c r="F53" s="135"/>
      <c r="G53" s="135"/>
      <c r="H53" s="135"/>
      <c r="I53" s="135"/>
    </row>
    <row r="54" spans="1:9" ht="45" customHeight="1" x14ac:dyDescent="0.25">
      <c r="A54" s="146" t="s">
        <v>429</v>
      </c>
      <c r="B54" s="146"/>
      <c r="C54" s="146"/>
      <c r="D54" s="146"/>
      <c r="E54" s="146"/>
      <c r="F54" s="146"/>
      <c r="G54" s="146"/>
      <c r="H54" s="146"/>
      <c r="I54" s="146"/>
    </row>
    <row r="55" spans="1:9" ht="7.5" customHeight="1" x14ac:dyDescent="0.25">
      <c r="A55" s="145"/>
      <c r="B55" s="145"/>
      <c r="C55" s="145"/>
      <c r="D55" s="145"/>
      <c r="E55" s="145"/>
      <c r="F55" s="145"/>
      <c r="G55" s="145"/>
      <c r="H55" s="145"/>
      <c r="I55" s="145"/>
    </row>
    <row r="56" spans="1:9" ht="27.75" customHeight="1" x14ac:dyDescent="0.25">
      <c r="A56" s="149" t="s">
        <v>430</v>
      </c>
      <c r="B56" s="149"/>
      <c r="C56" s="149"/>
      <c r="D56" s="149"/>
      <c r="E56" s="149"/>
      <c r="F56" s="149"/>
      <c r="G56" s="149"/>
      <c r="H56" s="149"/>
      <c r="I56" s="149"/>
    </row>
    <row r="57" spans="1:9" ht="7.5" customHeight="1" x14ac:dyDescent="0.25">
      <c r="A57" s="145"/>
      <c r="B57" s="145"/>
      <c r="C57" s="145"/>
      <c r="D57" s="145"/>
      <c r="E57" s="145"/>
      <c r="F57" s="145"/>
      <c r="G57" s="145"/>
      <c r="H57" s="145"/>
      <c r="I57" s="145"/>
    </row>
    <row r="58" spans="1:9" ht="21.75" customHeight="1" x14ac:dyDescent="0.25">
      <c r="A58" s="158" t="s">
        <v>431</v>
      </c>
      <c r="B58" s="158"/>
      <c r="C58" s="158"/>
      <c r="D58" s="158"/>
      <c r="E58" s="158"/>
      <c r="F58" s="158"/>
      <c r="G58" s="158"/>
      <c r="H58" s="158"/>
      <c r="I58" s="158"/>
    </row>
    <row r="59" spans="1:9" ht="21.75" customHeight="1" x14ac:dyDescent="0.25">
      <c r="A59" s="156" t="s">
        <v>432</v>
      </c>
      <c r="B59" s="156"/>
      <c r="C59" s="156"/>
      <c r="D59" s="156"/>
      <c r="E59" s="156"/>
      <c r="F59" s="156"/>
      <c r="G59" s="156"/>
      <c r="H59" s="156"/>
      <c r="I59" s="156"/>
    </row>
    <row r="60" spans="1:9" ht="45" customHeight="1" x14ac:dyDescent="0.25">
      <c r="A60" s="155" t="s">
        <v>433</v>
      </c>
      <c r="B60" s="155"/>
      <c r="C60" s="155"/>
      <c r="D60" s="155"/>
      <c r="E60" s="155"/>
      <c r="F60" s="155"/>
      <c r="G60" s="155"/>
      <c r="H60" s="155"/>
      <c r="I60" s="155"/>
    </row>
    <row r="61" spans="1:9" ht="21.75" customHeight="1" x14ac:dyDescent="0.25">
      <c r="A61" s="157" t="s">
        <v>434</v>
      </c>
      <c r="B61" s="157"/>
      <c r="C61" s="157"/>
      <c r="D61" s="157"/>
      <c r="E61" s="157"/>
      <c r="F61" s="157"/>
      <c r="G61" s="157"/>
      <c r="H61" s="157"/>
      <c r="I61" s="157"/>
    </row>
    <row r="62" spans="1:9" ht="45" customHeight="1" x14ac:dyDescent="0.25">
      <c r="A62" s="155" t="s">
        <v>435</v>
      </c>
      <c r="B62" s="155"/>
      <c r="C62" s="155"/>
      <c r="D62" s="155"/>
      <c r="E62" s="155"/>
      <c r="F62" s="155"/>
      <c r="G62" s="155"/>
      <c r="H62" s="155"/>
      <c r="I62" s="155"/>
    </row>
    <row r="63" spans="1:9" ht="21.75" customHeight="1" x14ac:dyDescent="0.25">
      <c r="A63" s="156" t="s">
        <v>436</v>
      </c>
      <c r="B63" s="156"/>
      <c r="C63" s="156"/>
      <c r="D63" s="156"/>
      <c r="E63" s="156"/>
      <c r="F63" s="156"/>
      <c r="G63" s="156"/>
      <c r="H63" s="156"/>
      <c r="I63" s="156"/>
    </row>
    <row r="64" spans="1:9" ht="45" customHeight="1" x14ac:dyDescent="0.25">
      <c r="A64" s="155" t="s">
        <v>437</v>
      </c>
      <c r="B64" s="155"/>
      <c r="C64" s="155"/>
      <c r="D64" s="155"/>
      <c r="E64" s="155"/>
      <c r="F64" s="155"/>
      <c r="G64" s="155"/>
      <c r="H64" s="155"/>
      <c r="I64" s="155"/>
    </row>
    <row r="65" spans="1:9" ht="21.75" customHeight="1" x14ac:dyDescent="0.25">
      <c r="A65" s="157" t="s">
        <v>438</v>
      </c>
      <c r="B65" s="157"/>
      <c r="C65" s="157"/>
      <c r="D65" s="157"/>
      <c r="E65" s="157"/>
      <c r="F65" s="157"/>
      <c r="G65" s="157"/>
      <c r="H65" s="157"/>
      <c r="I65" s="157"/>
    </row>
    <row r="66" spans="1:9" ht="45" customHeight="1" x14ac:dyDescent="0.25">
      <c r="A66" s="155" t="s">
        <v>439</v>
      </c>
      <c r="B66" s="155"/>
      <c r="C66" s="155"/>
      <c r="D66" s="155"/>
      <c r="E66" s="155"/>
      <c r="F66" s="155"/>
      <c r="G66" s="155"/>
      <c r="H66" s="155"/>
      <c r="I66" s="155"/>
    </row>
    <row r="67" spans="1:9" ht="21.75" customHeight="1" x14ac:dyDescent="0.25">
      <c r="A67" s="156" t="s">
        <v>440</v>
      </c>
      <c r="B67" s="156"/>
      <c r="C67" s="156"/>
      <c r="D67" s="156"/>
      <c r="E67" s="156"/>
      <c r="F67" s="156"/>
      <c r="G67" s="156"/>
      <c r="H67" s="156"/>
      <c r="I67" s="156"/>
    </row>
    <row r="68" spans="1:9" ht="45" customHeight="1" x14ac:dyDescent="0.25">
      <c r="A68" s="155" t="s">
        <v>441</v>
      </c>
      <c r="B68" s="155"/>
      <c r="C68" s="155"/>
      <c r="D68" s="155"/>
      <c r="E68" s="155"/>
      <c r="F68" s="155"/>
      <c r="G68" s="155"/>
      <c r="H68" s="155"/>
      <c r="I68" s="155"/>
    </row>
    <row r="69" spans="1:9" ht="7.5" customHeight="1" x14ac:dyDescent="0.25">
      <c r="A69" s="145"/>
      <c r="B69" s="145"/>
      <c r="C69" s="145"/>
      <c r="D69" s="145"/>
      <c r="E69" s="145"/>
      <c r="F69" s="145"/>
      <c r="G69" s="145"/>
      <c r="H69" s="145"/>
      <c r="I69" s="145"/>
    </row>
    <row r="70" spans="1:9" ht="27.75" customHeight="1" x14ac:dyDescent="0.25">
      <c r="A70" s="149" t="s">
        <v>442</v>
      </c>
      <c r="B70" s="149"/>
      <c r="C70" s="149"/>
      <c r="D70" s="149"/>
      <c r="E70" s="149"/>
      <c r="F70" s="149"/>
      <c r="G70" s="149"/>
      <c r="H70" s="149"/>
      <c r="I70" s="149"/>
    </row>
    <row r="71" spans="1:9" ht="7.5" customHeight="1" x14ac:dyDescent="0.25">
      <c r="A71" s="145"/>
      <c r="B71" s="145"/>
      <c r="C71" s="145"/>
      <c r="D71" s="145"/>
      <c r="E71" s="145"/>
      <c r="F71" s="145"/>
      <c r="G71" s="145"/>
      <c r="H71" s="145"/>
      <c r="I71" s="145"/>
    </row>
    <row r="72" spans="1:9" ht="37.5" customHeight="1" x14ac:dyDescent="0.25">
      <c r="A72" s="154" t="s">
        <v>443</v>
      </c>
      <c r="B72" s="154"/>
      <c r="C72" s="154"/>
      <c r="D72" s="154"/>
      <c r="E72" s="154"/>
      <c r="F72" s="154"/>
      <c r="G72" s="154"/>
      <c r="H72" s="154"/>
      <c r="I72" s="154"/>
    </row>
    <row r="73" spans="1:9" ht="37.5" customHeight="1" x14ac:dyDescent="0.25">
      <c r="A73" s="154" t="s">
        <v>444</v>
      </c>
      <c r="B73" s="154"/>
      <c r="C73" s="154"/>
      <c r="D73" s="154"/>
      <c r="E73" s="154"/>
      <c r="F73" s="154"/>
      <c r="G73" s="154"/>
      <c r="H73" s="154"/>
      <c r="I73" s="154"/>
    </row>
    <row r="74" spans="1:9" ht="37.5" customHeight="1" x14ac:dyDescent="0.25">
      <c r="A74" s="154" t="s">
        <v>445</v>
      </c>
      <c r="B74" s="154"/>
      <c r="C74" s="154"/>
      <c r="D74" s="154"/>
      <c r="E74" s="154"/>
      <c r="F74" s="154"/>
      <c r="G74" s="154"/>
      <c r="H74" s="154"/>
      <c r="I74" s="154"/>
    </row>
    <row r="75" spans="1:9" ht="37.5" customHeight="1" x14ac:dyDescent="0.25">
      <c r="A75" s="154" t="s">
        <v>446</v>
      </c>
      <c r="B75" s="154"/>
      <c r="C75" s="154"/>
      <c r="D75" s="154"/>
      <c r="E75" s="154"/>
      <c r="F75" s="154"/>
      <c r="G75" s="154"/>
      <c r="H75" s="154"/>
      <c r="I75" s="154"/>
    </row>
    <row r="76" spans="1:9" ht="37.5" customHeight="1" x14ac:dyDescent="0.25">
      <c r="A76" s="153" t="s">
        <v>447</v>
      </c>
      <c r="B76" s="153"/>
      <c r="C76" s="153"/>
      <c r="D76" s="153"/>
      <c r="E76" s="153"/>
      <c r="F76" s="153"/>
      <c r="G76" s="153"/>
      <c r="H76" s="153"/>
      <c r="I76" s="153"/>
    </row>
    <row r="77" spans="1:9" ht="37.5" customHeight="1" x14ac:dyDescent="0.25">
      <c r="A77" s="153" t="s">
        <v>448</v>
      </c>
      <c r="B77" s="153"/>
      <c r="C77" s="153"/>
      <c r="D77" s="153"/>
      <c r="E77" s="153"/>
      <c r="F77" s="153"/>
      <c r="G77" s="153"/>
      <c r="H77" s="153"/>
      <c r="I77" s="153"/>
    </row>
    <row r="78" spans="1:9" ht="37.5" customHeight="1" x14ac:dyDescent="0.25">
      <c r="A78" s="146" t="s">
        <v>449</v>
      </c>
      <c r="B78" s="146"/>
      <c r="C78" s="146"/>
      <c r="D78" s="146"/>
      <c r="E78" s="146"/>
      <c r="F78" s="146"/>
      <c r="G78" s="146"/>
      <c r="H78" s="146"/>
      <c r="I78" s="146"/>
    </row>
    <row r="79" spans="1:9" ht="7.5" customHeight="1" x14ac:dyDescent="0.25">
      <c r="A79" s="145"/>
      <c r="B79" s="145"/>
      <c r="C79" s="145"/>
      <c r="D79" s="145"/>
      <c r="E79" s="145"/>
      <c r="F79" s="145"/>
      <c r="G79" s="145"/>
      <c r="H79" s="145"/>
      <c r="I79" s="145"/>
    </row>
    <row r="80" spans="1:9" ht="27.75" customHeight="1" x14ac:dyDescent="0.25">
      <c r="A80" s="149" t="s">
        <v>450</v>
      </c>
      <c r="B80" s="149"/>
      <c r="C80" s="149"/>
      <c r="D80" s="149"/>
      <c r="E80" s="149"/>
      <c r="F80" s="149"/>
      <c r="G80" s="149"/>
      <c r="H80" s="149"/>
      <c r="I80" s="149"/>
    </row>
    <row r="81" spans="1:9" ht="7.5" customHeight="1" x14ac:dyDescent="0.25">
      <c r="A81" s="145"/>
      <c r="B81" s="145"/>
      <c r="C81" s="145"/>
      <c r="D81" s="145"/>
      <c r="E81" s="145"/>
      <c r="F81" s="145"/>
      <c r="G81" s="145"/>
      <c r="H81" s="145"/>
      <c r="I81" s="145"/>
    </row>
    <row r="82" spans="1:9" ht="21.75" customHeight="1" x14ac:dyDescent="0.25">
      <c r="A82" s="151" t="s">
        <v>451</v>
      </c>
      <c r="B82" s="151"/>
      <c r="C82" s="151"/>
      <c r="D82" s="151"/>
      <c r="E82" s="151"/>
      <c r="F82" s="151"/>
      <c r="G82" s="151"/>
      <c r="H82" s="151"/>
      <c r="I82" s="151"/>
    </row>
    <row r="83" spans="1:9" ht="45" customHeight="1" x14ac:dyDescent="0.25">
      <c r="A83" s="147" t="s">
        <v>452</v>
      </c>
      <c r="B83" s="147"/>
      <c r="C83" s="147"/>
      <c r="D83" s="147"/>
      <c r="E83" s="147"/>
      <c r="F83" s="147"/>
      <c r="G83" s="147"/>
      <c r="H83" s="147"/>
      <c r="I83" s="147"/>
    </row>
    <row r="84" spans="1:9" ht="21.75" customHeight="1" x14ac:dyDescent="0.25">
      <c r="A84" s="152" t="s">
        <v>453</v>
      </c>
      <c r="B84" s="152"/>
      <c r="C84" s="152"/>
      <c r="D84" s="152"/>
      <c r="E84" s="152"/>
      <c r="F84" s="152"/>
      <c r="G84" s="152"/>
      <c r="H84" s="152"/>
      <c r="I84" s="152"/>
    </row>
    <row r="85" spans="1:9" ht="45" customHeight="1" x14ac:dyDescent="0.25">
      <c r="A85" s="147" t="s">
        <v>454</v>
      </c>
      <c r="B85" s="147"/>
      <c r="C85" s="147"/>
      <c r="D85" s="147"/>
      <c r="E85" s="147"/>
      <c r="F85" s="147"/>
      <c r="G85" s="147"/>
      <c r="H85" s="147"/>
      <c r="I85" s="147"/>
    </row>
    <row r="86" spans="1:9" ht="21.75" customHeight="1" x14ac:dyDescent="0.25">
      <c r="A86" s="150" t="s">
        <v>455</v>
      </c>
      <c r="B86" s="150"/>
      <c r="C86" s="150"/>
      <c r="D86" s="150"/>
      <c r="E86" s="150"/>
      <c r="F86" s="150"/>
      <c r="G86" s="150"/>
      <c r="H86" s="150"/>
      <c r="I86" s="150"/>
    </row>
    <row r="87" spans="1:9" ht="45" customHeight="1" x14ac:dyDescent="0.25">
      <c r="A87" s="147" t="s">
        <v>456</v>
      </c>
      <c r="B87" s="147"/>
      <c r="C87" s="147"/>
      <c r="D87" s="147"/>
      <c r="E87" s="147"/>
      <c r="F87" s="147"/>
      <c r="G87" s="147"/>
      <c r="H87" s="147"/>
      <c r="I87" s="147"/>
    </row>
    <row r="88" spans="1:9" ht="21.75" customHeight="1" x14ac:dyDescent="0.25">
      <c r="A88" s="150" t="s">
        <v>457</v>
      </c>
      <c r="B88" s="150"/>
      <c r="C88" s="150"/>
      <c r="D88" s="150"/>
      <c r="E88" s="150"/>
      <c r="F88" s="150"/>
      <c r="G88" s="150"/>
      <c r="H88" s="150"/>
      <c r="I88" s="150"/>
    </row>
    <row r="89" spans="1:9" ht="45" customHeight="1" x14ac:dyDescent="0.25">
      <c r="A89" s="147" t="s">
        <v>458</v>
      </c>
      <c r="B89" s="147"/>
      <c r="C89" s="147"/>
      <c r="D89" s="147"/>
      <c r="E89" s="147"/>
      <c r="F89" s="147"/>
      <c r="G89" s="147"/>
      <c r="H89" s="147"/>
      <c r="I89" s="147"/>
    </row>
    <row r="90" spans="1:9" ht="21.75" customHeight="1" x14ac:dyDescent="0.25">
      <c r="A90" s="151" t="s">
        <v>459</v>
      </c>
      <c r="B90" s="151"/>
      <c r="C90" s="151"/>
      <c r="D90" s="151"/>
      <c r="E90" s="151"/>
      <c r="F90" s="151"/>
      <c r="G90" s="151"/>
      <c r="H90" s="151"/>
      <c r="I90" s="151"/>
    </row>
    <row r="91" spans="1:9" ht="45" customHeight="1" x14ac:dyDescent="0.25">
      <c r="A91" s="147" t="s">
        <v>460</v>
      </c>
      <c r="B91" s="147"/>
      <c r="C91" s="147"/>
      <c r="D91" s="147"/>
      <c r="E91" s="147"/>
      <c r="F91" s="147"/>
      <c r="G91" s="147"/>
      <c r="H91" s="147"/>
      <c r="I91" s="147"/>
    </row>
    <row r="92" spans="1:9" ht="21.75" customHeight="1" x14ac:dyDescent="0.25">
      <c r="A92" s="148" t="s">
        <v>461</v>
      </c>
      <c r="B92" s="148"/>
      <c r="C92" s="148"/>
      <c r="D92" s="148"/>
      <c r="E92" s="148"/>
      <c r="F92" s="148"/>
      <c r="G92" s="148"/>
      <c r="H92" s="148"/>
      <c r="I92" s="148"/>
    </row>
    <row r="93" spans="1:9" ht="45" customHeight="1" x14ac:dyDescent="0.25">
      <c r="A93" s="147" t="s">
        <v>462</v>
      </c>
      <c r="B93" s="147"/>
      <c r="C93" s="147"/>
      <c r="D93" s="147"/>
      <c r="E93" s="147"/>
      <c r="F93" s="147"/>
      <c r="G93" s="147"/>
      <c r="H93" s="147"/>
      <c r="I93" s="147"/>
    </row>
    <row r="94" spans="1:9" ht="7.5" customHeight="1" x14ac:dyDescent="0.25">
      <c r="A94" s="145"/>
      <c r="B94" s="145"/>
      <c r="C94" s="145"/>
      <c r="D94" s="145"/>
      <c r="E94" s="145"/>
      <c r="F94" s="145"/>
      <c r="G94" s="145"/>
      <c r="H94" s="145"/>
      <c r="I94" s="145"/>
    </row>
    <row r="95" spans="1:9" ht="27.75" customHeight="1" x14ac:dyDescent="0.25">
      <c r="A95" s="149" t="s">
        <v>463</v>
      </c>
      <c r="B95" s="149"/>
      <c r="C95" s="149"/>
      <c r="D95" s="149"/>
      <c r="E95" s="149"/>
      <c r="F95" s="149"/>
      <c r="G95" s="149"/>
      <c r="H95" s="149"/>
      <c r="I95" s="149"/>
    </row>
    <row r="96" spans="1:9" ht="7.5" customHeight="1" x14ac:dyDescent="0.25">
      <c r="A96" s="145"/>
      <c r="B96" s="145"/>
      <c r="C96" s="145"/>
      <c r="D96" s="145"/>
      <c r="E96" s="145"/>
      <c r="F96" s="145"/>
      <c r="G96" s="145"/>
      <c r="H96" s="145"/>
      <c r="I96" s="145"/>
    </row>
    <row r="97" spans="1:9" ht="45" customHeight="1" x14ac:dyDescent="0.25">
      <c r="A97" s="146" t="s">
        <v>464</v>
      </c>
      <c r="B97" s="146"/>
      <c r="C97" s="146"/>
      <c r="D97" s="146"/>
      <c r="E97" s="146"/>
      <c r="F97" s="146"/>
      <c r="G97" s="146"/>
      <c r="H97" s="146"/>
      <c r="I97" s="146"/>
    </row>
  </sheetData>
  <mergeCells count="97">
    <mergeCell ref="A1:I1"/>
    <mergeCell ref="A2:I2"/>
    <mergeCell ref="A3:I3"/>
    <mergeCell ref="A4:I4"/>
    <mergeCell ref="A5:I5"/>
    <mergeCell ref="A6:I6"/>
    <mergeCell ref="A7:I7"/>
    <mergeCell ref="A8:I8"/>
    <mergeCell ref="A9:I9"/>
    <mergeCell ref="A10:I10"/>
    <mergeCell ref="A11:I11"/>
    <mergeCell ref="A12:I12"/>
    <mergeCell ref="A13:I13"/>
    <mergeCell ref="A14:I14"/>
    <mergeCell ref="A15:I15"/>
    <mergeCell ref="A16:I16"/>
    <mergeCell ref="A17:I17"/>
    <mergeCell ref="A18:I18"/>
    <mergeCell ref="A19:I19"/>
    <mergeCell ref="A20:I20"/>
    <mergeCell ref="A21:I21"/>
    <mergeCell ref="A22:I22"/>
    <mergeCell ref="A23:I23"/>
    <mergeCell ref="A24:I24"/>
    <mergeCell ref="A25:I25"/>
    <mergeCell ref="A26:I26"/>
    <mergeCell ref="A27:I27"/>
    <mergeCell ref="A28:I28"/>
    <mergeCell ref="A29:I29"/>
    <mergeCell ref="A30:I30"/>
    <mergeCell ref="A31:I31"/>
    <mergeCell ref="A32:I32"/>
    <mergeCell ref="A33:I33"/>
    <mergeCell ref="A34:I34"/>
    <mergeCell ref="A35:I35"/>
    <mergeCell ref="A36:I36"/>
    <mergeCell ref="A37:I37"/>
    <mergeCell ref="A38:I38"/>
    <mergeCell ref="A39:I39"/>
    <mergeCell ref="A40:I40"/>
    <mergeCell ref="A41:I41"/>
    <mergeCell ref="A42:I42"/>
    <mergeCell ref="A43:I43"/>
    <mergeCell ref="A44:I44"/>
    <mergeCell ref="A45:I45"/>
    <mergeCell ref="A46:I46"/>
    <mergeCell ref="A47:I47"/>
    <mergeCell ref="A48:I48"/>
    <mergeCell ref="A49:I49"/>
    <mergeCell ref="A50:I50"/>
    <mergeCell ref="A51:I51"/>
    <mergeCell ref="A52:I52"/>
    <mergeCell ref="A53:I53"/>
    <mergeCell ref="A54:I54"/>
    <mergeCell ref="A55:I55"/>
    <mergeCell ref="A56:I56"/>
    <mergeCell ref="A57:I57"/>
    <mergeCell ref="A58:I58"/>
    <mergeCell ref="A59:I59"/>
    <mergeCell ref="A60:I60"/>
    <mergeCell ref="A61:I61"/>
    <mergeCell ref="A62:I62"/>
    <mergeCell ref="A63:I63"/>
    <mergeCell ref="A64:I64"/>
    <mergeCell ref="A65:I65"/>
    <mergeCell ref="A66:I66"/>
    <mergeCell ref="A67:I67"/>
    <mergeCell ref="A68:I68"/>
    <mergeCell ref="A69:I69"/>
    <mergeCell ref="A70:I70"/>
    <mergeCell ref="A71:I71"/>
    <mergeCell ref="A72:I72"/>
    <mergeCell ref="A73:I73"/>
    <mergeCell ref="A74:I74"/>
    <mergeCell ref="A75:I75"/>
    <mergeCell ref="A76:I76"/>
    <mergeCell ref="A77:I77"/>
    <mergeCell ref="A78:I78"/>
    <mergeCell ref="A79:I79"/>
    <mergeCell ref="A80:I80"/>
    <mergeCell ref="A81:I81"/>
    <mergeCell ref="A82:I82"/>
    <mergeCell ref="A83:I83"/>
    <mergeCell ref="A84:I84"/>
    <mergeCell ref="A85:I85"/>
    <mergeCell ref="A86:I86"/>
    <mergeCell ref="A87:I87"/>
    <mergeCell ref="A88:I88"/>
    <mergeCell ref="A89:I89"/>
    <mergeCell ref="A90:I90"/>
    <mergeCell ref="A96:I96"/>
    <mergeCell ref="A97:I97"/>
    <mergeCell ref="A91:I91"/>
    <mergeCell ref="A92:I92"/>
    <mergeCell ref="A93:I93"/>
    <mergeCell ref="A94:I94"/>
    <mergeCell ref="A95:I95"/>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Datos_Encuesta</vt:lpstr>
      <vt:lpstr>Análisis_Dimensiones</vt:lpstr>
      <vt:lpstr>Análisis_Por_Feria</vt:lpstr>
      <vt:lpstr>Fidelización_Retorno</vt:lpstr>
      <vt:lpstr>Gráficos</vt:lpstr>
      <vt:lpstr>Dashboard_Ejecutivo</vt:lpstr>
      <vt:lpstr>Informe_Narrativo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WINDOWS 10</cp:lastModifiedBy>
  <cp:revision>1</cp:revision>
  <dcterms:created xsi:type="dcterms:W3CDTF">2026-05-26T01:37:50Z</dcterms:created>
  <dcterms:modified xsi:type="dcterms:W3CDTF">2026-05-26T16:32:43Z</dcterms:modified>
  <dc:language>en-US</dc:language>
</cp:coreProperties>
</file>