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defaultThemeVersion="124226"/>
  <mc:AlternateContent xmlns:mc="http://schemas.openxmlformats.org/markup-compatibility/2006">
    <mc:Choice Requires="x15">
      <x15ac:absPath xmlns:x15ac="http://schemas.microsoft.com/office/spreadsheetml/2010/11/ac" url="C:\Users\loryn pertuz\Downloads\"/>
    </mc:Choice>
  </mc:AlternateContent>
  <xr:revisionPtr revIDLastSave="0" documentId="8_{80311D4F-6B77-417F-B5C5-590642BB1DDB}" xr6:coauthVersionLast="47" xr6:coauthVersionMax="47" xr10:uidLastSave="{00000000-0000-0000-0000-000000000000}"/>
  <bookViews>
    <workbookView xWindow="-108" yWindow="-108" windowWidth="23256" windowHeight="12576" firstSheet="1" activeTab="1" xr2:uid="{00000000-000D-0000-FFFF-FFFF00000000}"/>
  </bookViews>
  <sheets>
    <sheet name="BODEGA" sheetId="7" state="hidden" r:id="rId1"/>
    <sheet name="SEMAP" sheetId="10" r:id="rId2"/>
    <sheet name="Alojamiento Semap" sheetId="11" r:id="rId3"/>
    <sheet name="Viviendas Fiscales" sheetId="12" r:id="rId4"/>
    <sheet name="Hoja2" sheetId="8" state="hidden" r:id="rId5"/>
    <sheet name="Hoja3" sheetId="9" state="hidden" r:id="rId6"/>
    <sheet name="Hoja1" sheetId="5" state="hidden" r:id="rId7"/>
  </sheets>
  <definedNames>
    <definedName name="_xlnm.Print_Area" localSheetId="2">'Alojamiento Semap'!$A$1:$L$94</definedName>
    <definedName name="_xlnm.Print_Area" localSheetId="0">BODEGA!$A$1:$K$55</definedName>
    <definedName name="_xlnm.Print_Area" localSheetId="1">SEMAP!$A$1:$M$82</definedName>
    <definedName name="_xlnm.Print_Area" localSheetId="3">'Viviendas Fiscales'!$A$1:$M$102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42" i="11" l="1"/>
  <c r="L43" i="11"/>
  <c r="L44" i="11"/>
  <c r="L45" i="11"/>
  <c r="M27" i="10"/>
  <c r="M28" i="10"/>
  <c r="O28" i="12"/>
  <c r="N42" i="11"/>
  <c r="N43" i="11"/>
  <c r="N44" i="11"/>
  <c r="N45" i="11"/>
  <c r="O82" i="10"/>
  <c r="O27" i="10"/>
  <c r="O65" i="10" s="1"/>
  <c r="O28" i="10"/>
  <c r="M7" i="11"/>
  <c r="K7" i="11"/>
  <c r="M76" i="11"/>
  <c r="M89" i="11"/>
  <c r="N89" i="11"/>
  <c r="N88" i="11"/>
  <c r="M88" i="11"/>
  <c r="L89" i="11"/>
  <c r="K89" i="11"/>
  <c r="N7" i="10"/>
  <c r="L98" i="12"/>
  <c r="L97" i="12"/>
  <c r="L85" i="12"/>
  <c r="K28" i="12"/>
  <c r="G28" i="12"/>
  <c r="G98" i="12"/>
  <c r="G69" i="12"/>
  <c r="G67" i="12"/>
  <c r="G74" i="12"/>
  <c r="G75" i="12"/>
  <c r="G76" i="12"/>
  <c r="G77" i="12"/>
  <c r="G78" i="12"/>
  <c r="G79" i="12"/>
  <c r="G80" i="12"/>
  <c r="G81" i="12"/>
  <c r="G82" i="12"/>
  <c r="G83" i="12"/>
  <c r="G73" i="12"/>
  <c r="F66" i="11"/>
  <c r="F67" i="11"/>
  <c r="F68" i="11"/>
  <c r="F69" i="11"/>
  <c r="F70" i="11"/>
  <c r="F71" i="11"/>
  <c r="F72" i="11"/>
  <c r="F73" i="11"/>
  <c r="F74" i="11"/>
  <c r="F65" i="11"/>
  <c r="F63" i="11"/>
  <c r="E91" i="11"/>
  <c r="F42" i="11"/>
  <c r="F43" i="11"/>
  <c r="F44" i="11"/>
  <c r="F45" i="11"/>
  <c r="L74" i="12"/>
  <c r="M74" i="12" s="1"/>
  <c r="L75" i="12"/>
  <c r="L76" i="12"/>
  <c r="M76" i="12" s="1"/>
  <c r="L77" i="12"/>
  <c r="L78" i="12"/>
  <c r="M78" i="12" s="1"/>
  <c r="L79" i="12"/>
  <c r="L80" i="12"/>
  <c r="M80" i="12" s="1"/>
  <c r="L81" i="12"/>
  <c r="L82" i="12"/>
  <c r="M82" i="12" s="1"/>
  <c r="L83" i="12"/>
  <c r="M83" i="12" s="1"/>
  <c r="L73" i="12"/>
  <c r="M73" i="12" s="1"/>
  <c r="L69" i="12"/>
  <c r="M69" i="12" s="1"/>
  <c r="L67" i="12"/>
  <c r="K65" i="11"/>
  <c r="K66" i="11"/>
  <c r="L66" i="11" s="1"/>
  <c r="K67" i="11"/>
  <c r="K68" i="11"/>
  <c r="K69" i="11"/>
  <c r="L69" i="11" s="1"/>
  <c r="K70" i="11"/>
  <c r="L70" i="11" s="1"/>
  <c r="K71" i="11"/>
  <c r="L71" i="11" s="1"/>
  <c r="K72" i="11"/>
  <c r="K73" i="11"/>
  <c r="L73" i="11" s="1"/>
  <c r="K74" i="11"/>
  <c r="L68" i="11"/>
  <c r="K74" i="12"/>
  <c r="K75" i="12"/>
  <c r="K76" i="12"/>
  <c r="K77" i="12"/>
  <c r="K78" i="12"/>
  <c r="K79" i="12"/>
  <c r="K80" i="12"/>
  <c r="K81" i="12"/>
  <c r="K82" i="12"/>
  <c r="K83" i="12"/>
  <c r="K73" i="12"/>
  <c r="K69" i="12"/>
  <c r="K67" i="12"/>
  <c r="J71" i="11"/>
  <c r="J73" i="11"/>
  <c r="J75" i="11"/>
  <c r="J92" i="11"/>
  <c r="J66" i="11"/>
  <c r="J67" i="11"/>
  <c r="J68" i="11"/>
  <c r="J69" i="11"/>
  <c r="J70" i="11"/>
  <c r="J72" i="11"/>
  <c r="J74" i="11"/>
  <c r="J65" i="11"/>
  <c r="J63" i="11"/>
  <c r="K63" i="11"/>
  <c r="L63" i="11" s="1"/>
  <c r="J29" i="11"/>
  <c r="J42" i="11"/>
  <c r="J43" i="11"/>
  <c r="J44" i="11"/>
  <c r="J45" i="11"/>
  <c r="K45" i="11"/>
  <c r="K44" i="11"/>
  <c r="K43" i="11"/>
  <c r="K42" i="11"/>
  <c r="J65" i="10"/>
  <c r="L64" i="10"/>
  <c r="M64" i="10" s="1"/>
  <c r="L48" i="10"/>
  <c r="M48" i="10" s="1"/>
  <c r="L49" i="10"/>
  <c r="M49" i="10" s="1"/>
  <c r="L50" i="10"/>
  <c r="M50" i="10" s="1"/>
  <c r="L51" i="10"/>
  <c r="M51" i="10" s="1"/>
  <c r="L52" i="10"/>
  <c r="N52" i="10" s="1"/>
  <c r="O52" i="10" s="1"/>
  <c r="Q52" i="10" s="1"/>
  <c r="M52" i="10"/>
  <c r="L53" i="10"/>
  <c r="N53" i="10" s="1"/>
  <c r="O53" i="10" s="1"/>
  <c r="Q53" i="10" s="1"/>
  <c r="M53" i="10"/>
  <c r="L54" i="10"/>
  <c r="M54" i="10"/>
  <c r="N54" i="10"/>
  <c r="O54" i="10" s="1"/>
  <c r="Q54" i="10" s="1"/>
  <c r="L55" i="10"/>
  <c r="M55" i="10"/>
  <c r="N55" i="10"/>
  <c r="O55" i="10" s="1"/>
  <c r="Q55" i="10" s="1"/>
  <c r="L56" i="10"/>
  <c r="M56" i="10" s="1"/>
  <c r="L57" i="10"/>
  <c r="M57" i="10" s="1"/>
  <c r="L58" i="10"/>
  <c r="M58" i="10" s="1"/>
  <c r="L59" i="10"/>
  <c r="M59" i="10" s="1"/>
  <c r="L60" i="10"/>
  <c r="N60" i="10" s="1"/>
  <c r="O60" i="10" s="1"/>
  <c r="Q60" i="10" s="1"/>
  <c r="M60" i="10"/>
  <c r="L61" i="10"/>
  <c r="N61" i="10" s="1"/>
  <c r="O61" i="10" s="1"/>
  <c r="Q61" i="10" s="1"/>
  <c r="M61" i="10"/>
  <c r="L62" i="10"/>
  <c r="M62" i="10"/>
  <c r="N62" i="10"/>
  <c r="O62" i="10" s="1"/>
  <c r="Q62" i="10" s="1"/>
  <c r="L47" i="10"/>
  <c r="M47" i="10" s="1"/>
  <c r="K64" i="10"/>
  <c r="K63" i="10" s="1"/>
  <c r="K48" i="10"/>
  <c r="K49" i="10"/>
  <c r="K50" i="10"/>
  <c r="K51" i="10"/>
  <c r="K52" i="10"/>
  <c r="K53" i="10"/>
  <c r="K54" i="10"/>
  <c r="K55" i="10"/>
  <c r="K56" i="10"/>
  <c r="K57" i="10"/>
  <c r="K58" i="10"/>
  <c r="K59" i="10"/>
  <c r="K60" i="10"/>
  <c r="K61" i="10"/>
  <c r="K62" i="10"/>
  <c r="K47" i="10"/>
  <c r="K12" i="10"/>
  <c r="F65" i="10"/>
  <c r="G63" i="10"/>
  <c r="G46" i="10"/>
  <c r="G42" i="10"/>
  <c r="G38" i="10"/>
  <c r="G35" i="10"/>
  <c r="G32" i="10"/>
  <c r="G23" i="10"/>
  <c r="G20" i="10"/>
  <c r="G14" i="10"/>
  <c r="G6" i="10"/>
  <c r="M81" i="12" l="1"/>
  <c r="M79" i="12"/>
  <c r="M77" i="12"/>
  <c r="M75" i="12"/>
  <c r="F64" i="11"/>
  <c r="L74" i="11"/>
  <c r="L67" i="11"/>
  <c r="L65" i="11"/>
  <c r="M67" i="12"/>
  <c r="L72" i="11"/>
  <c r="J64" i="11"/>
  <c r="N64" i="10"/>
  <c r="O64" i="10" s="1"/>
  <c r="Q64" i="10" s="1"/>
  <c r="N57" i="10"/>
  <c r="O57" i="10" s="1"/>
  <c r="Q57" i="10" s="1"/>
  <c r="N49" i="10"/>
  <c r="O49" i="10" s="1"/>
  <c r="Q49" i="10" s="1"/>
  <c r="N58" i="10"/>
  <c r="O58" i="10" s="1"/>
  <c r="Q58" i="10" s="1"/>
  <c r="N50" i="10"/>
  <c r="O50" i="10" s="1"/>
  <c r="Q50" i="10" s="1"/>
  <c r="L65" i="10"/>
  <c r="N56" i="10"/>
  <c r="O56" i="10" s="1"/>
  <c r="Q56" i="10" s="1"/>
  <c r="N48" i="10"/>
  <c r="O48" i="10" s="1"/>
  <c r="Q48" i="10" s="1"/>
  <c r="N59" i="10"/>
  <c r="O59" i="10" s="1"/>
  <c r="Q59" i="10" s="1"/>
  <c r="N51" i="10"/>
  <c r="O51" i="10" s="1"/>
  <c r="Q51" i="10" s="1"/>
  <c r="N47" i="10"/>
  <c r="O47" i="10" s="1"/>
  <c r="Q47" i="10" s="1"/>
  <c r="K46" i="10"/>
  <c r="G31" i="10"/>
  <c r="G5" i="10"/>
  <c r="G64" i="10"/>
  <c r="G27" i="10"/>
  <c r="G28" i="10"/>
  <c r="G80" i="10"/>
  <c r="I80" i="10"/>
  <c r="G49" i="10"/>
  <c r="G50" i="10"/>
  <c r="G51" i="10"/>
  <c r="G52" i="10"/>
  <c r="G53" i="10"/>
  <c r="G54" i="10"/>
  <c r="G55" i="10"/>
  <c r="G56" i="10"/>
  <c r="G57" i="10"/>
  <c r="G58" i="10"/>
  <c r="G59" i="10"/>
  <c r="G60" i="10"/>
  <c r="G61" i="10"/>
  <c r="G62" i="10"/>
  <c r="G48" i="10"/>
  <c r="G47" i="10"/>
  <c r="E9" i="10"/>
  <c r="H52" i="11"/>
  <c r="H75" i="11"/>
  <c r="H64" i="11"/>
  <c r="H60" i="11"/>
  <c r="H57" i="11"/>
  <c r="H53" i="11"/>
  <c r="H50" i="11"/>
  <c r="H29" i="11"/>
  <c r="H26" i="11"/>
  <c r="H17" i="11"/>
  <c r="F49" i="11"/>
  <c r="E10" i="10"/>
  <c r="G12" i="10"/>
  <c r="I31" i="10"/>
  <c r="I63" i="10"/>
  <c r="I46" i="10"/>
  <c r="I42" i="10"/>
  <c r="I38" i="10"/>
  <c r="I35" i="10"/>
  <c r="I32" i="10"/>
  <c r="I23" i="10"/>
  <c r="I20" i="10"/>
  <c r="I14" i="10"/>
  <c r="I69" i="12"/>
  <c r="I67" i="12"/>
  <c r="I28" i="12"/>
  <c r="I74" i="12"/>
  <c r="I75" i="12"/>
  <c r="I76" i="12"/>
  <c r="I77" i="12"/>
  <c r="I78" i="12"/>
  <c r="I79" i="12"/>
  <c r="I80" i="12"/>
  <c r="I81" i="12"/>
  <c r="I82" i="12"/>
  <c r="I83" i="12"/>
  <c r="I73" i="12"/>
  <c r="L28" i="12"/>
  <c r="M28" i="12" s="1"/>
  <c r="J77" i="11"/>
  <c r="J76" i="11"/>
  <c r="H81" i="10"/>
  <c r="J89" i="11"/>
  <c r="H89" i="11"/>
  <c r="F89" i="11"/>
  <c r="H42" i="11"/>
  <c r="H43" i="11"/>
  <c r="H44" i="11"/>
  <c r="H45" i="11"/>
  <c r="H63" i="11"/>
  <c r="H65" i="11"/>
  <c r="H66" i="11"/>
  <c r="H67" i="11"/>
  <c r="H68" i="11"/>
  <c r="H69" i="11"/>
  <c r="H70" i="11"/>
  <c r="H71" i="11"/>
  <c r="H72" i="11"/>
  <c r="H73" i="11"/>
  <c r="H74" i="11"/>
  <c r="H76" i="11"/>
  <c r="H77" i="11"/>
  <c r="H79" i="10"/>
  <c r="I64" i="10"/>
  <c r="I53" i="10"/>
  <c r="I54" i="10"/>
  <c r="I55" i="10"/>
  <c r="I56" i="10"/>
  <c r="I57" i="10"/>
  <c r="I58" i="10"/>
  <c r="I59" i="10"/>
  <c r="I60" i="10"/>
  <c r="I61" i="10"/>
  <c r="I62" i="10"/>
  <c r="I52" i="10"/>
  <c r="I50" i="10"/>
  <c r="I51" i="10"/>
  <c r="I48" i="10"/>
  <c r="I49" i="10"/>
  <c r="I47" i="10"/>
  <c r="I30" i="10"/>
  <c r="I28" i="10"/>
  <c r="I27" i="10"/>
  <c r="I22" i="10"/>
  <c r="I19" i="10"/>
  <c r="I15" i="10"/>
  <c r="I13" i="10"/>
  <c r="I7" i="10"/>
  <c r="L28" i="10"/>
  <c r="L27" i="10"/>
  <c r="I12" i="10"/>
  <c r="L12" i="10"/>
  <c r="E58" i="12"/>
  <c r="E57" i="12" s="1"/>
  <c r="E56" i="12"/>
  <c r="E54" i="12"/>
  <c r="E53" i="12" s="1"/>
  <c r="G53" i="12" s="1"/>
  <c r="E51" i="12"/>
  <c r="K51" i="12" s="1"/>
  <c r="E49" i="12"/>
  <c r="K49" i="12" s="1"/>
  <c r="E46" i="12"/>
  <c r="E45" i="12" s="1"/>
  <c r="E44" i="12"/>
  <c r="K44" i="12" s="1"/>
  <c r="E40" i="12"/>
  <c r="E42" i="12" s="1"/>
  <c r="E41" i="12" s="1"/>
  <c r="E37" i="12"/>
  <c r="E38" i="12" s="1"/>
  <c r="E36" i="12"/>
  <c r="K36" i="12" s="1"/>
  <c r="E33" i="12"/>
  <c r="E35" i="12" s="1"/>
  <c r="I35" i="12" s="1"/>
  <c r="E29" i="12"/>
  <c r="E27" i="12"/>
  <c r="G27" i="12" s="1"/>
  <c r="E25" i="12"/>
  <c r="K25" i="12" s="1"/>
  <c r="E19" i="12"/>
  <c r="E20" i="12" s="1"/>
  <c r="E10" i="12"/>
  <c r="K10" i="12" s="1"/>
  <c r="D45" i="11"/>
  <c r="D41" i="11"/>
  <c r="H41" i="11" s="1"/>
  <c r="D37" i="11"/>
  <c r="J37" i="11" s="1"/>
  <c r="D36" i="11"/>
  <c r="D34" i="11"/>
  <c r="J34" i="11" s="1"/>
  <c r="D31" i="11"/>
  <c r="D30" i="11"/>
  <c r="D28" i="11"/>
  <c r="J28" i="11" s="1"/>
  <c r="D25" i="11"/>
  <c r="F25" i="11" s="1"/>
  <c r="D23" i="11"/>
  <c r="F23" i="11" s="1"/>
  <c r="E27" i="10"/>
  <c r="E24" i="10"/>
  <c r="E21" i="10"/>
  <c r="E22" i="10" s="1"/>
  <c r="G61" i="12"/>
  <c r="I61" i="12"/>
  <c r="K61" i="12"/>
  <c r="M61" i="12"/>
  <c r="N57" i="11"/>
  <c r="O52" i="12"/>
  <c r="Q52" i="12" s="1"/>
  <c r="M85" i="12"/>
  <c r="L63" i="12"/>
  <c r="L64" i="12"/>
  <c r="L66" i="12"/>
  <c r="L70" i="12"/>
  <c r="L71" i="12"/>
  <c r="L54" i="12"/>
  <c r="L55" i="12"/>
  <c r="L56" i="12"/>
  <c r="L57" i="12"/>
  <c r="L32" i="12"/>
  <c r="L33" i="12"/>
  <c r="L34" i="12"/>
  <c r="L35" i="12"/>
  <c r="L36" i="12"/>
  <c r="L37" i="12"/>
  <c r="L38" i="12"/>
  <c r="L39" i="12"/>
  <c r="M39" i="12" s="1"/>
  <c r="L40" i="12"/>
  <c r="L41" i="12"/>
  <c r="L42" i="12"/>
  <c r="L43" i="12"/>
  <c r="M43" i="12" s="1"/>
  <c r="L44" i="12"/>
  <c r="L45" i="12"/>
  <c r="L46" i="12"/>
  <c r="L47" i="12"/>
  <c r="M47" i="12" s="1"/>
  <c r="L48" i="12"/>
  <c r="L49" i="12"/>
  <c r="L50" i="12"/>
  <c r="L51" i="12"/>
  <c r="K85" i="12"/>
  <c r="K63" i="12"/>
  <c r="K71" i="12"/>
  <c r="K55" i="12"/>
  <c r="K32" i="12"/>
  <c r="K34" i="12"/>
  <c r="K39" i="12"/>
  <c r="K43" i="12"/>
  <c r="K47" i="12"/>
  <c r="K48" i="12"/>
  <c r="K50" i="12"/>
  <c r="K16" i="12"/>
  <c r="K17" i="12"/>
  <c r="K18" i="12"/>
  <c r="K21" i="12"/>
  <c r="K22" i="12"/>
  <c r="K23" i="12"/>
  <c r="K24" i="12"/>
  <c r="K11" i="12"/>
  <c r="K12" i="12"/>
  <c r="K13" i="12"/>
  <c r="L25" i="12"/>
  <c r="L24" i="12"/>
  <c r="M24" i="12" s="1"/>
  <c r="L23" i="12"/>
  <c r="L22" i="12"/>
  <c r="L21" i="12"/>
  <c r="M21" i="12" s="1"/>
  <c r="L20" i="12"/>
  <c r="L19" i="12"/>
  <c r="L18" i="12"/>
  <c r="L17" i="12"/>
  <c r="M17" i="12" s="1"/>
  <c r="L16" i="12"/>
  <c r="M16" i="12" s="1"/>
  <c r="L11" i="12"/>
  <c r="L12" i="12"/>
  <c r="M12" i="12" s="1"/>
  <c r="L13" i="12"/>
  <c r="K79" i="11"/>
  <c r="K54" i="11"/>
  <c r="K55" i="11"/>
  <c r="K56" i="11"/>
  <c r="L56" i="11" s="1"/>
  <c r="K58" i="11"/>
  <c r="K59" i="11"/>
  <c r="L59" i="11" s="1"/>
  <c r="K61" i="11"/>
  <c r="L61" i="11" s="1"/>
  <c r="K62" i="11"/>
  <c r="L62" i="11" s="1"/>
  <c r="K49" i="11"/>
  <c r="K31" i="11"/>
  <c r="K32" i="11"/>
  <c r="K33" i="11"/>
  <c r="K34" i="11"/>
  <c r="K35" i="11"/>
  <c r="L35" i="11" s="1"/>
  <c r="K36" i="11"/>
  <c r="K37" i="11"/>
  <c r="K38" i="11"/>
  <c r="L38" i="11" s="1"/>
  <c r="K39" i="11"/>
  <c r="K40" i="11"/>
  <c r="K41" i="11"/>
  <c r="J56" i="11"/>
  <c r="J59" i="11"/>
  <c r="J61" i="11"/>
  <c r="J62" i="11"/>
  <c r="J38" i="11"/>
  <c r="J39" i="11"/>
  <c r="J35" i="11"/>
  <c r="J24" i="11"/>
  <c r="K25" i="11"/>
  <c r="K24" i="11"/>
  <c r="L24" i="11" s="1"/>
  <c r="K23" i="11"/>
  <c r="J22" i="11"/>
  <c r="K22" i="11"/>
  <c r="L22" i="11" s="1"/>
  <c r="J21" i="11"/>
  <c r="K21" i="11"/>
  <c r="L21" i="11" s="1"/>
  <c r="J20" i="11"/>
  <c r="K20" i="11"/>
  <c r="L20" i="11" s="1"/>
  <c r="J19" i="11"/>
  <c r="K19" i="11"/>
  <c r="L19" i="11" s="1"/>
  <c r="J15" i="11"/>
  <c r="J14" i="11"/>
  <c r="J13" i="11"/>
  <c r="K39" i="10"/>
  <c r="L39" i="10"/>
  <c r="M39" i="10" s="1"/>
  <c r="K18" i="10"/>
  <c r="L18" i="10"/>
  <c r="K17" i="10"/>
  <c r="L17" i="10"/>
  <c r="K16" i="10"/>
  <c r="L16" i="10"/>
  <c r="M16" i="10" s="1"/>
  <c r="I85" i="12"/>
  <c r="I86" i="12"/>
  <c r="I63" i="12"/>
  <c r="I71" i="12"/>
  <c r="I55" i="12"/>
  <c r="I32" i="12"/>
  <c r="I34" i="12"/>
  <c r="I39" i="12"/>
  <c r="I43" i="12"/>
  <c r="I47" i="12"/>
  <c r="I48" i="12"/>
  <c r="I50" i="12"/>
  <c r="I16" i="12"/>
  <c r="I17" i="12"/>
  <c r="I18" i="12"/>
  <c r="I21" i="12"/>
  <c r="I22" i="12"/>
  <c r="I23" i="12"/>
  <c r="I24" i="12"/>
  <c r="I15" i="12"/>
  <c r="I11" i="12"/>
  <c r="I12" i="12"/>
  <c r="I13" i="12"/>
  <c r="H56" i="11"/>
  <c r="H59" i="11"/>
  <c r="H61" i="11"/>
  <c r="H62" i="11"/>
  <c r="H35" i="11"/>
  <c r="H38" i="11"/>
  <c r="H39" i="11"/>
  <c r="H24" i="11"/>
  <c r="H22" i="11"/>
  <c r="H21" i="11"/>
  <c r="H20" i="11"/>
  <c r="H19" i="11"/>
  <c r="H15" i="11"/>
  <c r="K15" i="11"/>
  <c r="H14" i="11"/>
  <c r="K14" i="11"/>
  <c r="H13" i="11"/>
  <c r="K13" i="11"/>
  <c r="I17" i="10"/>
  <c r="I18" i="10"/>
  <c r="I39" i="10"/>
  <c r="I16" i="10"/>
  <c r="G32" i="12"/>
  <c r="G34" i="12"/>
  <c r="G39" i="12"/>
  <c r="G43" i="12"/>
  <c r="G47" i="12"/>
  <c r="G48" i="12"/>
  <c r="G50" i="12"/>
  <c r="G55" i="12"/>
  <c r="G60" i="12"/>
  <c r="G63" i="12"/>
  <c r="G71" i="12"/>
  <c r="G85" i="12"/>
  <c r="G21" i="12"/>
  <c r="G22" i="12"/>
  <c r="G23" i="12"/>
  <c r="G24" i="12"/>
  <c r="G18" i="12"/>
  <c r="G17" i="12"/>
  <c r="G16" i="12"/>
  <c r="G70" i="12"/>
  <c r="I64" i="12"/>
  <c r="F35" i="11"/>
  <c r="F38" i="11"/>
  <c r="F39" i="11"/>
  <c r="F41" i="11"/>
  <c r="F56" i="11"/>
  <c r="F59" i="11"/>
  <c r="F61" i="11"/>
  <c r="F62" i="11"/>
  <c r="F24" i="11"/>
  <c r="F22" i="11"/>
  <c r="F21" i="11"/>
  <c r="F20" i="11"/>
  <c r="F19" i="11"/>
  <c r="H40" i="11"/>
  <c r="H32" i="11"/>
  <c r="L100" i="12"/>
  <c r="K98" i="12"/>
  <c r="I98" i="12"/>
  <c r="K97" i="12"/>
  <c r="I97" i="12"/>
  <c r="G97" i="12"/>
  <c r="Q92" i="12"/>
  <c r="Q91" i="12"/>
  <c r="Q90" i="12"/>
  <c r="L90" i="12"/>
  <c r="Q89" i="12"/>
  <c r="L89" i="12"/>
  <c r="Q88" i="12"/>
  <c r="L88" i="12"/>
  <c r="L86" i="12"/>
  <c r="K86" i="12"/>
  <c r="G86" i="12"/>
  <c r="L60" i="12"/>
  <c r="M60" i="12" s="1"/>
  <c r="K60" i="12"/>
  <c r="I60" i="12"/>
  <c r="L58" i="12"/>
  <c r="L53" i="12"/>
  <c r="L31" i="12"/>
  <c r="O30" i="12"/>
  <c r="Q30" i="12" s="1"/>
  <c r="L29" i="12"/>
  <c r="L27" i="12"/>
  <c r="L15" i="12"/>
  <c r="K15" i="12"/>
  <c r="G15" i="12"/>
  <c r="G13" i="12"/>
  <c r="G12" i="12"/>
  <c r="G11" i="12"/>
  <c r="L10" i="12"/>
  <c r="L8" i="12"/>
  <c r="M8" i="12" s="1"/>
  <c r="K8" i="12"/>
  <c r="I8" i="12"/>
  <c r="G8" i="12"/>
  <c r="K7" i="12"/>
  <c r="I7" i="12"/>
  <c r="H58" i="11"/>
  <c r="H54" i="11"/>
  <c r="K92" i="11"/>
  <c r="K90" i="11"/>
  <c r="L90" i="11" s="1"/>
  <c r="J90" i="11"/>
  <c r="H90" i="11"/>
  <c r="F90" i="11"/>
  <c r="K88" i="11"/>
  <c r="L88" i="11" s="1"/>
  <c r="J88" i="11"/>
  <c r="H88" i="11"/>
  <c r="F88" i="11"/>
  <c r="P83" i="11"/>
  <c r="P82" i="11"/>
  <c r="P81" i="11"/>
  <c r="K81" i="11"/>
  <c r="P80" i="11"/>
  <c r="K80" i="11"/>
  <c r="P79" i="11"/>
  <c r="K77" i="11"/>
  <c r="F77" i="11"/>
  <c r="K76" i="11"/>
  <c r="F76" i="11"/>
  <c r="F75" i="11" s="1"/>
  <c r="K51" i="11"/>
  <c r="J51" i="11"/>
  <c r="J50" i="11" s="1"/>
  <c r="K48" i="11"/>
  <c r="L48" i="11" s="1"/>
  <c r="J48" i="11"/>
  <c r="H48" i="11"/>
  <c r="F48" i="11"/>
  <c r="K47" i="11"/>
  <c r="P46" i="11"/>
  <c r="K30" i="11"/>
  <c r="P29" i="11"/>
  <c r="K28" i="11"/>
  <c r="K27" i="11"/>
  <c r="J27" i="11"/>
  <c r="J26" i="11" s="1"/>
  <c r="K18" i="11"/>
  <c r="J18" i="11"/>
  <c r="H18" i="11"/>
  <c r="F18" i="11"/>
  <c r="K16" i="11"/>
  <c r="J16" i="11"/>
  <c r="H16" i="11"/>
  <c r="F16" i="11"/>
  <c r="F15" i="11"/>
  <c r="F14" i="11"/>
  <c r="F13" i="11"/>
  <c r="K12" i="11"/>
  <c r="J12" i="11"/>
  <c r="H12" i="11"/>
  <c r="F12" i="11"/>
  <c r="K10" i="11"/>
  <c r="F10" i="11"/>
  <c r="K9" i="11"/>
  <c r="L9" i="11" s="1"/>
  <c r="J9" i="11"/>
  <c r="H9" i="11"/>
  <c r="F9" i="11"/>
  <c r="K8" i="11"/>
  <c r="J8" i="11"/>
  <c r="H8" i="11"/>
  <c r="F8" i="11"/>
  <c r="J7" i="11"/>
  <c r="H7" i="11"/>
  <c r="F7" i="11"/>
  <c r="G39" i="10"/>
  <c r="G18" i="10"/>
  <c r="G17" i="10"/>
  <c r="G16" i="10"/>
  <c r="N81" i="12" l="1"/>
  <c r="O81" i="12" s="1"/>
  <c r="N83" i="12"/>
  <c r="O83" i="12" s="1"/>
  <c r="N69" i="12"/>
  <c r="O69" i="12" s="1"/>
  <c r="N75" i="12"/>
  <c r="O75" i="12" s="1"/>
  <c r="N77" i="12"/>
  <c r="O77" i="12" s="1"/>
  <c r="N76" i="12"/>
  <c r="O76" i="12" s="1"/>
  <c r="N73" i="12"/>
  <c r="O73" i="12" s="1"/>
  <c r="N67" i="12"/>
  <c r="O67" i="12" s="1"/>
  <c r="N78" i="12"/>
  <c r="O78" i="12" s="1"/>
  <c r="N79" i="12"/>
  <c r="O79" i="12" s="1"/>
  <c r="N82" i="12"/>
  <c r="O82" i="12" s="1"/>
  <c r="N74" i="12"/>
  <c r="O74" i="12" s="1"/>
  <c r="N80" i="12"/>
  <c r="O80" i="12" s="1"/>
  <c r="M72" i="11"/>
  <c r="N72" i="11" s="1"/>
  <c r="M66" i="11"/>
  <c r="N66" i="11" s="1"/>
  <c r="M70" i="11"/>
  <c r="N70" i="11" s="1"/>
  <c r="M73" i="11"/>
  <c r="N73" i="11" s="1"/>
  <c r="M74" i="11"/>
  <c r="N74" i="11" s="1"/>
  <c r="M68" i="11"/>
  <c r="N68" i="11" s="1"/>
  <c r="M44" i="11"/>
  <c r="M69" i="11"/>
  <c r="N69" i="11" s="1"/>
  <c r="M71" i="11"/>
  <c r="N71" i="11" s="1"/>
  <c r="M65" i="11"/>
  <c r="N65" i="11" s="1"/>
  <c r="M67" i="11"/>
  <c r="N67" i="11" s="1"/>
  <c r="F60" i="11"/>
  <c r="F17" i="11"/>
  <c r="F11" i="11"/>
  <c r="F6" i="11"/>
  <c r="N28" i="12"/>
  <c r="M42" i="11"/>
  <c r="M63" i="11"/>
  <c r="N63" i="11" s="1"/>
  <c r="M45" i="11"/>
  <c r="M43" i="11"/>
  <c r="J60" i="11"/>
  <c r="J11" i="11"/>
  <c r="H11" i="11"/>
  <c r="M12" i="10"/>
  <c r="L7" i="12"/>
  <c r="M7" i="12" s="1"/>
  <c r="G7" i="12"/>
  <c r="M19" i="12"/>
  <c r="M45" i="12"/>
  <c r="G19" i="12"/>
  <c r="M41" i="12"/>
  <c r="M57" i="12"/>
  <c r="K33" i="12"/>
  <c r="M49" i="12"/>
  <c r="K66" i="12"/>
  <c r="G35" i="12"/>
  <c r="N37" i="12"/>
  <c r="O37" i="12" s="1"/>
  <c r="N66" i="12"/>
  <c r="N44" i="12"/>
  <c r="O44" i="12" s="1"/>
  <c r="N20" i="12"/>
  <c r="O20" i="12" s="1"/>
  <c r="N36" i="12"/>
  <c r="O36" i="12" s="1"/>
  <c r="I41" i="12"/>
  <c r="G20" i="12"/>
  <c r="I20" i="12"/>
  <c r="N11" i="12"/>
  <c r="O11" i="12" s="1"/>
  <c r="N23" i="12"/>
  <c r="O23" i="12" s="1"/>
  <c r="K35" i="12"/>
  <c r="N48" i="12"/>
  <c r="O48" i="12" s="1"/>
  <c r="N40" i="12"/>
  <c r="O40" i="12" s="1"/>
  <c r="N32" i="12"/>
  <c r="O32" i="12" s="1"/>
  <c r="N71" i="12"/>
  <c r="O71" i="12" s="1"/>
  <c r="N57" i="12"/>
  <c r="O57" i="12" s="1"/>
  <c r="G51" i="12"/>
  <c r="G36" i="12"/>
  <c r="I19" i="12"/>
  <c r="I44" i="12"/>
  <c r="I54" i="12"/>
  <c r="K64" i="12"/>
  <c r="N47" i="12"/>
  <c r="O47" i="12" s="1"/>
  <c r="N39" i="12"/>
  <c r="O39" i="12" s="1"/>
  <c r="N70" i="12"/>
  <c r="O70" i="12" s="1"/>
  <c r="M44" i="12"/>
  <c r="M66" i="12"/>
  <c r="M11" i="12"/>
  <c r="M20" i="12"/>
  <c r="N45" i="12"/>
  <c r="O45" i="12" s="1"/>
  <c r="N18" i="12"/>
  <c r="O18" i="12" s="1"/>
  <c r="N97" i="12"/>
  <c r="O97" i="12" s="1"/>
  <c r="M56" i="12"/>
  <c r="N19" i="12"/>
  <c r="O19" i="12" s="1"/>
  <c r="N54" i="12"/>
  <c r="O54" i="12" s="1"/>
  <c r="N64" i="12"/>
  <c r="O64" i="12" s="1"/>
  <c r="M36" i="12"/>
  <c r="M25" i="12"/>
  <c r="N56" i="12"/>
  <c r="O56" i="12" s="1"/>
  <c r="M38" i="12"/>
  <c r="G45" i="12"/>
  <c r="K20" i="12"/>
  <c r="N51" i="12"/>
  <c r="O51" i="12" s="1"/>
  <c r="N43" i="12"/>
  <c r="O43" i="12" s="1"/>
  <c r="N35" i="12"/>
  <c r="O35" i="12" s="1"/>
  <c r="N63" i="12"/>
  <c r="O63" i="12" s="1"/>
  <c r="M35" i="12"/>
  <c r="N17" i="12"/>
  <c r="O17" i="12" s="1"/>
  <c r="N55" i="12"/>
  <c r="O55" i="12" s="1"/>
  <c r="N38" i="12"/>
  <c r="O38" i="12" s="1"/>
  <c r="G25" i="12"/>
  <c r="G44" i="12"/>
  <c r="I49" i="12"/>
  <c r="I33" i="12"/>
  <c r="N13" i="12"/>
  <c r="O13" i="12" s="1"/>
  <c r="N21" i="12"/>
  <c r="O21" i="12" s="1"/>
  <c r="K42" i="12"/>
  <c r="N50" i="12"/>
  <c r="O50" i="12" s="1"/>
  <c r="N42" i="12"/>
  <c r="O42" i="12" s="1"/>
  <c r="N34" i="12"/>
  <c r="O34" i="12" s="1"/>
  <c r="M55" i="12"/>
  <c r="M23" i="12"/>
  <c r="N25" i="12"/>
  <c r="O25" i="12" s="1"/>
  <c r="M18" i="12"/>
  <c r="N12" i="12"/>
  <c r="O12" i="12" s="1"/>
  <c r="N22" i="12"/>
  <c r="O22" i="12" s="1"/>
  <c r="N49" i="12"/>
  <c r="O49" i="12" s="1"/>
  <c r="N41" i="12"/>
  <c r="O41" i="12" s="1"/>
  <c r="N33" i="12"/>
  <c r="O33" i="12" s="1"/>
  <c r="N72" i="12"/>
  <c r="O72" i="12" s="1"/>
  <c r="M51" i="12"/>
  <c r="M54" i="12"/>
  <c r="N65" i="12"/>
  <c r="O65" i="12" s="1"/>
  <c r="M13" i="12"/>
  <c r="M22" i="12"/>
  <c r="J41" i="11"/>
  <c r="J47" i="11"/>
  <c r="L36" i="11"/>
  <c r="H34" i="11"/>
  <c r="M40" i="11"/>
  <c r="N40" i="11" s="1"/>
  <c r="M32" i="11"/>
  <c r="N32" i="11" s="1"/>
  <c r="F58" i="11"/>
  <c r="F57" i="11" s="1"/>
  <c r="F54" i="11"/>
  <c r="F32" i="11"/>
  <c r="H55" i="11"/>
  <c r="J32" i="11"/>
  <c r="J58" i="11"/>
  <c r="J57" i="11" s="1"/>
  <c r="M39" i="11"/>
  <c r="N39" i="11" s="1"/>
  <c r="M31" i="11"/>
  <c r="N31" i="11" s="1"/>
  <c r="M58" i="11"/>
  <c r="N58" i="11" s="1"/>
  <c r="M49" i="11"/>
  <c r="N49" i="11" s="1"/>
  <c r="P49" i="11" s="1"/>
  <c r="M38" i="11"/>
  <c r="N38" i="11" s="1"/>
  <c r="J55" i="11"/>
  <c r="M37" i="11"/>
  <c r="N37" i="11" s="1"/>
  <c r="L55" i="11"/>
  <c r="J54" i="11"/>
  <c r="J53" i="11" s="1"/>
  <c r="L54" i="11"/>
  <c r="M35" i="11"/>
  <c r="N35" i="11" s="1"/>
  <c r="M34" i="11"/>
  <c r="N34" i="11" s="1"/>
  <c r="L58" i="11"/>
  <c r="M41" i="11"/>
  <c r="N41" i="11" s="1"/>
  <c r="M33" i="11"/>
  <c r="N33" i="11" s="1"/>
  <c r="F31" i="11"/>
  <c r="H31" i="11"/>
  <c r="L31" i="11"/>
  <c r="J31" i="11"/>
  <c r="L34" i="11"/>
  <c r="M36" i="11"/>
  <c r="N36" i="11" s="1"/>
  <c r="F33" i="11"/>
  <c r="H49" i="11"/>
  <c r="H46" i="11" s="1"/>
  <c r="J25" i="11"/>
  <c r="L41" i="11"/>
  <c r="L33" i="11"/>
  <c r="M62" i="11"/>
  <c r="N62" i="11" s="1"/>
  <c r="H37" i="11"/>
  <c r="L40" i="11"/>
  <c r="L32" i="11"/>
  <c r="M61" i="11"/>
  <c r="N61" i="11" s="1"/>
  <c r="F36" i="11"/>
  <c r="H36" i="11"/>
  <c r="J23" i="11"/>
  <c r="J17" i="11" s="1"/>
  <c r="J40" i="11"/>
  <c r="L25" i="11"/>
  <c r="L39" i="11"/>
  <c r="M59" i="11"/>
  <c r="N59" i="11" s="1"/>
  <c r="F34" i="11"/>
  <c r="F37" i="11"/>
  <c r="H25" i="11"/>
  <c r="F55" i="11"/>
  <c r="H23" i="11"/>
  <c r="J36" i="11"/>
  <c r="L23" i="11"/>
  <c r="L37" i="11"/>
  <c r="L49" i="11"/>
  <c r="M56" i="11"/>
  <c r="N56" i="11" s="1"/>
  <c r="M54" i="11"/>
  <c r="N54" i="11" s="1"/>
  <c r="M55" i="11"/>
  <c r="N55" i="11" s="1"/>
  <c r="F40" i="11"/>
  <c r="H33" i="11"/>
  <c r="J33" i="11"/>
  <c r="J49" i="11"/>
  <c r="J46" i="11" s="1"/>
  <c r="G58" i="12"/>
  <c r="G42" i="12"/>
  <c r="I57" i="12"/>
  <c r="K19" i="12"/>
  <c r="K40" i="12"/>
  <c r="M50" i="12"/>
  <c r="M42" i="12"/>
  <c r="M34" i="12"/>
  <c r="M64" i="12"/>
  <c r="I40" i="12"/>
  <c r="K41" i="12"/>
  <c r="G57" i="12"/>
  <c r="G49" i="12"/>
  <c r="G41" i="12"/>
  <c r="G33" i="12"/>
  <c r="I25" i="12"/>
  <c r="I46" i="12"/>
  <c r="I38" i="12"/>
  <c r="I56" i="12"/>
  <c r="I70" i="12"/>
  <c r="K57" i="12"/>
  <c r="M33" i="12"/>
  <c r="M63" i="12"/>
  <c r="N85" i="12"/>
  <c r="O85" i="12" s="1"/>
  <c r="I58" i="12"/>
  <c r="G64" i="12"/>
  <c r="G56" i="12"/>
  <c r="G40" i="12"/>
  <c r="I45" i="12"/>
  <c r="I37" i="12"/>
  <c r="K46" i="12"/>
  <c r="K38" i="12"/>
  <c r="K56" i="12"/>
  <c r="K70" i="12"/>
  <c r="M48" i="12"/>
  <c r="M40" i="12"/>
  <c r="M32" i="12"/>
  <c r="N62" i="12"/>
  <c r="O62" i="12" s="1"/>
  <c r="N84" i="12"/>
  <c r="O84" i="12" s="1"/>
  <c r="K58" i="12"/>
  <c r="I36" i="12"/>
  <c r="K45" i="12"/>
  <c r="K37" i="12"/>
  <c r="M71" i="12"/>
  <c r="N61" i="12"/>
  <c r="O61" i="12" s="1"/>
  <c r="N24" i="12"/>
  <c r="O24" i="12" s="1"/>
  <c r="N16" i="12"/>
  <c r="O16" i="12" s="1"/>
  <c r="G54" i="12"/>
  <c r="G46" i="12"/>
  <c r="G38" i="12"/>
  <c r="I51" i="12"/>
  <c r="K54" i="12"/>
  <c r="M46" i="12"/>
  <c r="M70" i="12"/>
  <c r="G37" i="12"/>
  <c r="I42" i="12"/>
  <c r="M37" i="12"/>
  <c r="N68" i="12"/>
  <c r="O68" i="12" s="1"/>
  <c r="N46" i="12"/>
  <c r="O46" i="12" s="1"/>
  <c r="M20" i="11"/>
  <c r="N20" i="11" s="1"/>
  <c r="P20" i="11" s="1"/>
  <c r="M23" i="11"/>
  <c r="N23" i="11" s="1"/>
  <c r="M24" i="11"/>
  <c r="N24" i="11" s="1"/>
  <c r="M21" i="11"/>
  <c r="N21" i="11" s="1"/>
  <c r="P21" i="11" s="1"/>
  <c r="M22" i="11"/>
  <c r="N22" i="11" s="1"/>
  <c r="P22" i="11" s="1"/>
  <c r="M25" i="11"/>
  <c r="N25" i="11" s="1"/>
  <c r="M19" i="11"/>
  <c r="N19" i="11" s="1"/>
  <c r="P19" i="11" s="1"/>
  <c r="M18" i="10"/>
  <c r="M17" i="10"/>
  <c r="M15" i="11"/>
  <c r="N15" i="11" s="1"/>
  <c r="P15" i="11" s="1"/>
  <c r="M13" i="11"/>
  <c r="N13" i="11" s="1"/>
  <c r="P13" i="11" s="1"/>
  <c r="M14" i="11"/>
  <c r="N14" i="11" s="1"/>
  <c r="P14" i="11" s="1"/>
  <c r="L15" i="11"/>
  <c r="L14" i="11"/>
  <c r="L13" i="11"/>
  <c r="K53" i="12"/>
  <c r="I53" i="12"/>
  <c r="J99" i="12"/>
  <c r="K100" i="12" s="1"/>
  <c r="J101" i="12" s="1"/>
  <c r="O26" i="12"/>
  <c r="Q26" i="12" s="1"/>
  <c r="I27" i="12"/>
  <c r="K27" i="12"/>
  <c r="I29" i="12"/>
  <c r="N10" i="12"/>
  <c r="O10" i="12" s="1"/>
  <c r="Q10" i="12" s="1"/>
  <c r="N31" i="12"/>
  <c r="O31" i="12" s="1"/>
  <c r="Q31" i="12" s="1"/>
  <c r="N58" i="12"/>
  <c r="O58" i="12" s="1"/>
  <c r="Q58" i="12" s="1"/>
  <c r="N15" i="12"/>
  <c r="O15" i="12" s="1"/>
  <c r="Q15" i="12" s="1"/>
  <c r="N27" i="12"/>
  <c r="O27" i="12" s="1"/>
  <c r="Q27" i="12" s="1"/>
  <c r="F99" i="12"/>
  <c r="G100" i="12" s="1"/>
  <c r="F101" i="12" s="1"/>
  <c r="N29" i="12"/>
  <c r="N53" i="12"/>
  <c r="O53" i="12" s="1"/>
  <c r="Q53" i="12" s="1"/>
  <c r="I10" i="12"/>
  <c r="G10" i="12"/>
  <c r="N86" i="12"/>
  <c r="O86" i="12" s="1"/>
  <c r="Q86" i="12" s="1"/>
  <c r="M15" i="12"/>
  <c r="M10" i="12"/>
  <c r="M31" i="12"/>
  <c r="N98" i="12"/>
  <c r="O98" i="12" s="1"/>
  <c r="M98" i="12"/>
  <c r="H99" i="12"/>
  <c r="I100" i="12" s="1"/>
  <c r="H101" i="12" s="1"/>
  <c r="N8" i="12"/>
  <c r="O8" i="12" s="1"/>
  <c r="Q8" i="12" s="1"/>
  <c r="M27" i="12"/>
  <c r="M53" i="12"/>
  <c r="M58" i="12"/>
  <c r="M86" i="12"/>
  <c r="O9" i="12"/>
  <c r="Q9" i="12" s="1"/>
  <c r="O14" i="12"/>
  <c r="Q14" i="12" s="1"/>
  <c r="G31" i="12"/>
  <c r="M97" i="12"/>
  <c r="I31" i="12"/>
  <c r="K31" i="12"/>
  <c r="N6" i="12"/>
  <c r="O6" i="12" s="1"/>
  <c r="O59" i="12"/>
  <c r="Q59" i="12" s="1"/>
  <c r="N60" i="12"/>
  <c r="O60" i="12" s="1"/>
  <c r="Q60" i="12" s="1"/>
  <c r="M12" i="11"/>
  <c r="N12" i="11" s="1"/>
  <c r="P12" i="11" s="1"/>
  <c r="F28" i="11"/>
  <c r="H28" i="11"/>
  <c r="L28" i="11"/>
  <c r="M47" i="11"/>
  <c r="N47" i="11" s="1"/>
  <c r="P47" i="11" s="1"/>
  <c r="M10" i="11"/>
  <c r="N10" i="11" s="1"/>
  <c r="P10" i="11" s="1"/>
  <c r="L12" i="11"/>
  <c r="M18" i="11"/>
  <c r="N18" i="11" s="1"/>
  <c r="P18" i="11" s="1"/>
  <c r="I91" i="11"/>
  <c r="I93" i="11" s="1"/>
  <c r="L30" i="11"/>
  <c r="M16" i="11"/>
  <c r="N16" i="11" s="1"/>
  <c r="P16" i="11" s="1"/>
  <c r="M51" i="11"/>
  <c r="N51" i="11" s="1"/>
  <c r="P51" i="11" s="1"/>
  <c r="N76" i="11"/>
  <c r="P76" i="11" s="1"/>
  <c r="M8" i="11"/>
  <c r="N8" i="11" s="1"/>
  <c r="P8" i="11" s="1"/>
  <c r="P26" i="11"/>
  <c r="H51" i="11"/>
  <c r="M48" i="11"/>
  <c r="N48" i="11" s="1"/>
  <c r="P48" i="11" s="1"/>
  <c r="L16" i="11"/>
  <c r="L18" i="11"/>
  <c r="F27" i="11"/>
  <c r="L47" i="11"/>
  <c r="P50" i="11"/>
  <c r="G91" i="11"/>
  <c r="H92" i="11" s="1"/>
  <c r="G93" i="11" s="1"/>
  <c r="M90" i="11"/>
  <c r="N90" i="11" s="1"/>
  <c r="P11" i="11"/>
  <c r="H27" i="11"/>
  <c r="F92" i="11"/>
  <c r="E93" i="11" s="1"/>
  <c r="N7" i="11"/>
  <c r="P7" i="11" s="1"/>
  <c r="L27" i="11"/>
  <c r="M30" i="11"/>
  <c r="N30" i="11" s="1"/>
  <c r="P30" i="11" s="1"/>
  <c r="L51" i="11"/>
  <c r="M77" i="11"/>
  <c r="N77" i="11" s="1"/>
  <c r="P77" i="11" s="1"/>
  <c r="M9" i="11"/>
  <c r="N9" i="11" s="1"/>
  <c r="P9" i="11" s="1"/>
  <c r="P17" i="11"/>
  <c r="F51" i="11"/>
  <c r="F50" i="11" s="1"/>
  <c r="M27" i="11"/>
  <c r="N27" i="11" s="1"/>
  <c r="P27" i="11" s="1"/>
  <c r="J10" i="11"/>
  <c r="J6" i="11" s="1"/>
  <c r="H10" i="11"/>
  <c r="H6" i="11" s="1"/>
  <c r="M28" i="11"/>
  <c r="N28" i="11" s="1"/>
  <c r="P28" i="11" s="1"/>
  <c r="L7" i="11"/>
  <c r="L8" i="11"/>
  <c r="F30" i="11"/>
  <c r="H30" i="11"/>
  <c r="L10" i="11"/>
  <c r="F47" i="11"/>
  <c r="F46" i="11" s="1"/>
  <c r="L76" i="11"/>
  <c r="L77" i="11"/>
  <c r="J30" i="11"/>
  <c r="H47" i="11"/>
  <c r="L99" i="12" l="1"/>
  <c r="M100" i="12" s="1"/>
  <c r="L101" i="12" s="1"/>
  <c r="F53" i="11"/>
  <c r="F52" i="11" s="1"/>
  <c r="F29" i="11"/>
  <c r="F5" i="11" s="1"/>
  <c r="F26" i="11"/>
  <c r="J52" i="11"/>
  <c r="I78" i="11" s="1"/>
  <c r="J5" i="11"/>
  <c r="H5" i="11"/>
  <c r="G78" i="11" s="1"/>
  <c r="H79" i="11" s="1"/>
  <c r="N7" i="12"/>
  <c r="O7" i="12" s="1"/>
  <c r="Q7" i="12" s="1"/>
  <c r="O66" i="12"/>
  <c r="I66" i="12"/>
  <c r="H87" i="12" s="1"/>
  <c r="G66" i="12"/>
  <c r="K78" i="11"/>
  <c r="N99" i="12"/>
  <c r="O29" i="12"/>
  <c r="Q29" i="12" s="1"/>
  <c r="K29" i="12"/>
  <c r="G29" i="12"/>
  <c r="F87" i="12" s="1"/>
  <c r="M29" i="12"/>
  <c r="L87" i="12" s="1"/>
  <c r="Q6" i="12"/>
  <c r="M91" i="11"/>
  <c r="K91" i="11"/>
  <c r="L92" i="11" s="1"/>
  <c r="K93" i="11" s="1"/>
  <c r="N78" i="11"/>
  <c r="P78" i="11" s="1"/>
  <c r="I89" i="12" l="1"/>
  <c r="J87" i="12"/>
  <c r="K88" i="12" s="1"/>
  <c r="M89" i="12"/>
  <c r="E78" i="11"/>
  <c r="F79" i="11" s="1"/>
  <c r="J81" i="11"/>
  <c r="J82" i="11" s="1"/>
  <c r="G90" i="12"/>
  <c r="G91" i="12" s="1"/>
  <c r="O87" i="12"/>
  <c r="Q87" i="12" s="1"/>
  <c r="I88" i="12"/>
  <c r="M88" i="12"/>
  <c r="I90" i="12"/>
  <c r="I91" i="12" s="1"/>
  <c r="M90" i="12"/>
  <c r="M91" i="12" s="1"/>
  <c r="H81" i="11"/>
  <c r="H82" i="11" s="1"/>
  <c r="H80" i="11"/>
  <c r="N94" i="11"/>
  <c r="L81" i="11"/>
  <c r="L82" i="11" s="1"/>
  <c r="L79" i="11"/>
  <c r="L80" i="11"/>
  <c r="L92" i="12" l="1"/>
  <c r="L102" i="12" s="1"/>
  <c r="K90" i="12"/>
  <c r="K91" i="12" s="1"/>
  <c r="K89" i="12"/>
  <c r="F81" i="11"/>
  <c r="F82" i="11" s="1"/>
  <c r="F80" i="11"/>
  <c r="J79" i="11"/>
  <c r="J80" i="11"/>
  <c r="G88" i="12"/>
  <c r="G89" i="12"/>
  <c r="O102" i="12"/>
  <c r="J92" i="12"/>
  <c r="J102" i="12" s="1"/>
  <c r="H92" i="12"/>
  <c r="H102" i="12" s="1"/>
  <c r="G83" i="11"/>
  <c r="G94" i="11" s="1"/>
  <c r="K83" i="11"/>
  <c r="K94" i="11" s="1"/>
  <c r="E83" i="11" l="1"/>
  <c r="E94" i="11" s="1"/>
  <c r="I83" i="11"/>
  <c r="I94" i="11" s="1"/>
  <c r="F92" i="12"/>
  <c r="F102" i="12" s="1"/>
  <c r="H97" i="11"/>
  <c r="O31" i="10"/>
  <c r="Q31" i="10" s="1"/>
  <c r="O32" i="10"/>
  <c r="Q32" i="10" s="1"/>
  <c r="O35" i="10"/>
  <c r="Q35" i="10" s="1"/>
  <c r="Q66" i="10"/>
  <c r="Q67" i="10"/>
  <c r="Q68" i="10"/>
  <c r="Q69" i="10"/>
  <c r="Q70" i="10"/>
  <c r="L68" i="10"/>
  <c r="L67" i="10"/>
  <c r="L45" i="10" l="1"/>
  <c r="M45" i="10" s="1"/>
  <c r="L44" i="10"/>
  <c r="M44" i="10" s="1"/>
  <c r="L43" i="10"/>
  <c r="M43" i="10" s="1"/>
  <c r="L41" i="10"/>
  <c r="M41" i="10" s="1"/>
  <c r="L40" i="10"/>
  <c r="M40" i="10" s="1"/>
  <c r="L37" i="10"/>
  <c r="M37" i="10" s="1"/>
  <c r="L36" i="10"/>
  <c r="M36" i="10" s="1"/>
  <c r="L34" i="10"/>
  <c r="M34" i="10" s="1"/>
  <c r="L33" i="10"/>
  <c r="M33" i="10" s="1"/>
  <c r="L30" i="10"/>
  <c r="M30" i="10" s="1"/>
  <c r="L29" i="10"/>
  <c r="M29" i="10" s="1"/>
  <c r="L26" i="10"/>
  <c r="M26" i="10" s="1"/>
  <c r="L25" i="10"/>
  <c r="M25" i="10" s="1"/>
  <c r="L24" i="10"/>
  <c r="M24" i="10" s="1"/>
  <c r="L22" i="10"/>
  <c r="M22" i="10" s="1"/>
  <c r="L21" i="10"/>
  <c r="M21" i="10" s="1"/>
  <c r="L19" i="10"/>
  <c r="M19" i="10" s="1"/>
  <c r="L15" i="10"/>
  <c r="M15" i="10" s="1"/>
  <c r="L13" i="10"/>
  <c r="M13" i="10" s="1"/>
  <c r="L11" i="10"/>
  <c r="M11" i="10" s="1"/>
  <c r="L10" i="10"/>
  <c r="M10" i="10" s="1"/>
  <c r="L9" i="10"/>
  <c r="M9" i="10" s="1"/>
  <c r="L8" i="10"/>
  <c r="M8" i="10" s="1"/>
  <c r="L7" i="10"/>
  <c r="M7" i="10" s="1"/>
  <c r="L76" i="10"/>
  <c r="M76" i="10" s="1"/>
  <c r="L77" i="10"/>
  <c r="M77" i="10" s="1"/>
  <c r="L78" i="10"/>
  <c r="M78" i="10" s="1"/>
  <c r="L75" i="10"/>
  <c r="M75" i="10" s="1"/>
  <c r="L66" i="10"/>
  <c r="G78" i="10"/>
  <c r="G77" i="10"/>
  <c r="G76" i="10"/>
  <c r="G75" i="10"/>
  <c r="I78" i="10"/>
  <c r="I77" i="10"/>
  <c r="I76" i="10"/>
  <c r="I75" i="10"/>
  <c r="K78" i="10"/>
  <c r="K77" i="10"/>
  <c r="K76" i="10"/>
  <c r="K75" i="10"/>
  <c r="K45" i="10"/>
  <c r="K44" i="10"/>
  <c r="K43" i="10"/>
  <c r="K41" i="10"/>
  <c r="K40" i="10"/>
  <c r="K37" i="10"/>
  <c r="K36" i="10"/>
  <c r="K34" i="10"/>
  <c r="K33" i="10"/>
  <c r="K30" i="10"/>
  <c r="K29" i="10"/>
  <c r="K26" i="10"/>
  <c r="K25" i="10"/>
  <c r="K24" i="10"/>
  <c r="K22" i="10"/>
  <c r="K21" i="10"/>
  <c r="K19" i="10"/>
  <c r="K15" i="10"/>
  <c r="K13" i="10"/>
  <c r="K11" i="10"/>
  <c r="K10" i="10"/>
  <c r="K9" i="10"/>
  <c r="K8" i="10"/>
  <c r="K7" i="10"/>
  <c r="I45" i="10"/>
  <c r="I44" i="10"/>
  <c r="I43" i="10"/>
  <c r="I41" i="10"/>
  <c r="I40" i="10"/>
  <c r="I37" i="10"/>
  <c r="I36" i="10"/>
  <c r="I34" i="10"/>
  <c r="I33" i="10"/>
  <c r="I29" i="10"/>
  <c r="I26" i="10"/>
  <c r="I25" i="10"/>
  <c r="I24" i="10"/>
  <c r="I21" i="10"/>
  <c r="I11" i="10"/>
  <c r="I10" i="10"/>
  <c r="I9" i="10"/>
  <c r="I8" i="10"/>
  <c r="G45" i="10"/>
  <c r="G44" i="10"/>
  <c r="G43" i="10"/>
  <c r="G41" i="10"/>
  <c r="G40" i="10"/>
  <c r="G37" i="10"/>
  <c r="G36" i="10"/>
  <c r="G34" i="10"/>
  <c r="G33" i="10"/>
  <c r="G30" i="10"/>
  <c r="G29" i="10"/>
  <c r="G26" i="10"/>
  <c r="G25" i="10"/>
  <c r="G24" i="10"/>
  <c r="G22" i="10"/>
  <c r="G21" i="10"/>
  <c r="G19" i="10"/>
  <c r="G15" i="10"/>
  <c r="G13" i="10"/>
  <c r="G11" i="10"/>
  <c r="G10" i="10"/>
  <c r="G9" i="10"/>
  <c r="G8" i="10"/>
  <c r="G7" i="10"/>
  <c r="K42" i="10" l="1"/>
  <c r="K38" i="10"/>
  <c r="K35" i="10"/>
  <c r="K32" i="10"/>
  <c r="K23" i="10"/>
  <c r="K20" i="10"/>
  <c r="K14" i="10"/>
  <c r="K6" i="10"/>
  <c r="N28" i="10"/>
  <c r="N27" i="10"/>
  <c r="N12" i="10"/>
  <c r="O12" i="10" s="1"/>
  <c r="Q12" i="10" s="1"/>
  <c r="I6" i="10"/>
  <c r="I5" i="10" s="1"/>
  <c r="H65" i="10" s="1"/>
  <c r="N6" i="10"/>
  <c r="O6" i="10" s="1"/>
  <c r="Q6" i="10" s="1"/>
  <c r="N16" i="10"/>
  <c r="O16" i="10" s="1"/>
  <c r="Q16" i="10" s="1"/>
  <c r="N17" i="10"/>
  <c r="O17" i="10" s="1"/>
  <c r="Q17" i="10" s="1"/>
  <c r="N18" i="10"/>
  <c r="O18" i="10" s="1"/>
  <c r="Q18" i="10" s="1"/>
  <c r="N39" i="10"/>
  <c r="O39" i="10" s="1"/>
  <c r="Q39" i="10" s="1"/>
  <c r="F79" i="10"/>
  <c r="F81" i="10" s="1"/>
  <c r="O7" i="10"/>
  <c r="Q7" i="10" s="1"/>
  <c r="N30" i="10"/>
  <c r="O30" i="10" s="1"/>
  <c r="Q30" i="10" s="1"/>
  <c r="N41" i="10"/>
  <c r="O41" i="10" s="1"/>
  <c r="Q41" i="10" s="1"/>
  <c r="N43" i="10"/>
  <c r="O43" i="10" s="1"/>
  <c r="Q43" i="10" s="1"/>
  <c r="N8" i="10"/>
  <c r="O8" i="10" s="1"/>
  <c r="Q8" i="10" s="1"/>
  <c r="N9" i="10"/>
  <c r="O9" i="10" s="1"/>
  <c r="Q9" i="10" s="1"/>
  <c r="N42" i="10"/>
  <c r="O42" i="10" s="1"/>
  <c r="Q42" i="10" s="1"/>
  <c r="N14" i="10"/>
  <c r="O14" i="10" s="1"/>
  <c r="Q14" i="10" s="1"/>
  <c r="N10" i="10"/>
  <c r="O10" i="10" s="1"/>
  <c r="Q10" i="10" s="1"/>
  <c r="N20" i="10"/>
  <c r="O20" i="10" s="1"/>
  <c r="Q20" i="10" s="1"/>
  <c r="N13" i="10"/>
  <c r="O13" i="10" s="1"/>
  <c r="Q13" i="10" s="1"/>
  <c r="N22" i="10"/>
  <c r="O22" i="10" s="1"/>
  <c r="Q22" i="10" s="1"/>
  <c r="N23" i="10"/>
  <c r="O23" i="10" s="1"/>
  <c r="Q23" i="10" s="1"/>
  <c r="N11" i="10"/>
  <c r="O11" i="10" s="1"/>
  <c r="Q11" i="10" s="1"/>
  <c r="N21" i="10"/>
  <c r="O21" i="10" s="1"/>
  <c r="Q21" i="10" s="1"/>
  <c r="N36" i="10"/>
  <c r="O36" i="10" s="1"/>
  <c r="Q36" i="10" s="1"/>
  <c r="N24" i="10"/>
  <c r="O24" i="10" s="1"/>
  <c r="Q24" i="10" s="1"/>
  <c r="N44" i="10"/>
  <c r="O44" i="10" s="1"/>
  <c r="Q44" i="10" s="1"/>
  <c r="N29" i="10"/>
  <c r="O29" i="10" s="1"/>
  <c r="Q29" i="10" s="1"/>
  <c r="N15" i="10"/>
  <c r="O15" i="10" s="1"/>
  <c r="Q15" i="10" s="1"/>
  <c r="N33" i="10"/>
  <c r="O33" i="10" s="1"/>
  <c r="Q33" i="10" s="1"/>
  <c r="N37" i="10"/>
  <c r="O37" i="10" s="1"/>
  <c r="Q37" i="10" s="1"/>
  <c r="N40" i="10"/>
  <c r="O40" i="10" s="1"/>
  <c r="Q40" i="10" s="1"/>
  <c r="N26" i="10"/>
  <c r="O26" i="10" s="1"/>
  <c r="Q26" i="10" s="1"/>
  <c r="N45" i="10"/>
  <c r="O45" i="10" s="1"/>
  <c r="Q45" i="10" s="1"/>
  <c r="N19" i="10"/>
  <c r="O19" i="10" s="1"/>
  <c r="Q19" i="10" s="1"/>
  <c r="N34" i="10"/>
  <c r="O34" i="10" s="1"/>
  <c r="Q34" i="10" s="1"/>
  <c r="N25" i="10"/>
  <c r="O25" i="10" s="1"/>
  <c r="Q25" i="10" s="1"/>
  <c r="L79" i="10"/>
  <c r="K31" i="10" l="1"/>
  <c r="K5" i="10"/>
  <c r="Q65" i="10"/>
  <c r="M67" i="10" l="1"/>
  <c r="M66" i="10"/>
  <c r="M68" i="10"/>
  <c r="M69" i="10" s="1"/>
  <c r="J79" i="10"/>
  <c r="L70" i="10" l="1"/>
  <c r="L82" i="10" s="1"/>
  <c r="M105" i="12" s="1"/>
  <c r="L80" i="10"/>
  <c r="N76" i="10" l="1"/>
  <c r="O76" i="10" s="1"/>
  <c r="N78" i="10"/>
  <c r="O78" i="10" s="1"/>
  <c r="N77" i="10"/>
  <c r="O77" i="10" s="1"/>
  <c r="N75" i="10"/>
  <c r="O75" i="10" s="1"/>
  <c r="M80" i="10"/>
  <c r="L81" i="10" s="1"/>
  <c r="N79" i="10" l="1"/>
  <c r="K80" i="10" l="1"/>
  <c r="J81" i="10" s="1"/>
  <c r="D19" i="7" l="1"/>
  <c r="D17" i="7"/>
  <c r="D18" i="7"/>
  <c r="F50" i="7"/>
  <c r="G68" i="10" l="1"/>
  <c r="G69" i="10" s="1"/>
  <c r="G66" i="10"/>
  <c r="I66" i="10"/>
  <c r="K68" i="10"/>
  <c r="K69" i="10" s="1"/>
  <c r="K66" i="10"/>
  <c r="K67" i="10"/>
  <c r="G67" i="10"/>
  <c r="I68" i="10"/>
  <c r="I67" i="10"/>
  <c r="F20" i="7"/>
  <c r="F19" i="7"/>
  <c r="F18" i="7"/>
  <c r="F17" i="7"/>
  <c r="H17" i="7" s="1"/>
  <c r="I17" i="7"/>
  <c r="F54" i="7"/>
  <c r="F49" i="7"/>
  <c r="F48" i="7"/>
  <c r="H48" i="7" s="1"/>
  <c r="J48" i="7" s="1"/>
  <c r="K48" i="7" s="1"/>
  <c r="F47" i="7"/>
  <c r="F46" i="7"/>
  <c r="F45" i="7"/>
  <c r="F43" i="7"/>
  <c r="F41" i="7"/>
  <c r="F38" i="7"/>
  <c r="H38" i="7" s="1"/>
  <c r="J38" i="7" s="1"/>
  <c r="K38" i="7" s="1"/>
  <c r="F37" i="7"/>
  <c r="H37" i="7" s="1"/>
  <c r="J37" i="7" s="1"/>
  <c r="K37" i="7" s="1"/>
  <c r="D35" i="7"/>
  <c r="F35" i="7" s="1"/>
  <c r="D34" i="7"/>
  <c r="F34" i="7" s="1"/>
  <c r="F33" i="7"/>
  <c r="H33" i="7" s="1"/>
  <c r="J33" i="7" s="1"/>
  <c r="K33" i="7" s="1"/>
  <c r="D31" i="7"/>
  <c r="F31" i="7" s="1"/>
  <c r="D30" i="7"/>
  <c r="F30" i="7" s="1"/>
  <c r="D29" i="7"/>
  <c r="F29" i="7" s="1"/>
  <c r="H29" i="7" s="1"/>
  <c r="J29" i="7" s="1"/>
  <c r="K29" i="7" s="1"/>
  <c r="F28" i="7"/>
  <c r="H28" i="7" s="1"/>
  <c r="J28" i="7" s="1"/>
  <c r="K28" i="7" s="1"/>
  <c r="F27" i="7"/>
  <c r="H27" i="7" s="1"/>
  <c r="J27" i="7" s="1"/>
  <c r="K27" i="7" s="1"/>
  <c r="D25" i="7"/>
  <c r="F25" i="7" s="1"/>
  <c r="D23" i="7"/>
  <c r="F23" i="7" s="1"/>
  <c r="D21" i="7"/>
  <c r="F21" i="7" s="1"/>
  <c r="D15" i="7"/>
  <c r="F15" i="7" s="1"/>
  <c r="F14" i="7"/>
  <c r="D13" i="7"/>
  <c r="F13" i="7" s="1"/>
  <c r="D12" i="7"/>
  <c r="F12" i="7" s="1"/>
  <c r="D11" i="7"/>
  <c r="F11" i="7" s="1"/>
  <c r="D10" i="7"/>
  <c r="F10" i="7" s="1"/>
  <c r="D9" i="7"/>
  <c r="F9" i="7" s="1"/>
  <c r="D8" i="7"/>
  <c r="F8" i="7" s="1"/>
  <c r="D7" i="7"/>
  <c r="F7" i="7" s="1"/>
  <c r="H7" i="7" s="1"/>
  <c r="J7" i="7" s="1"/>
  <c r="F6" i="7"/>
  <c r="H6" i="7" s="1"/>
  <c r="J6" i="7" s="1"/>
  <c r="K6" i="7" s="1"/>
  <c r="I69" i="10" l="1"/>
  <c r="J70" i="10"/>
  <c r="J82" i="10" s="1"/>
  <c r="F70" i="10"/>
  <c r="F82" i="10" s="1"/>
  <c r="D22" i="7"/>
  <c r="F22" i="7" s="1"/>
  <c r="H14" i="7"/>
  <c r="J14" i="7" s="1"/>
  <c r="K14" i="7" s="1"/>
  <c r="H45" i="7"/>
  <c r="J45" i="7" s="1"/>
  <c r="K45" i="7" s="1"/>
  <c r="E55" i="7"/>
  <c r="H30" i="7"/>
  <c r="J30" i="7" s="1"/>
  <c r="K30" i="7" s="1"/>
  <c r="H10" i="7"/>
  <c r="J10" i="7" s="1"/>
  <c r="K10" i="7" s="1"/>
  <c r="H15" i="7"/>
  <c r="J15" i="7" s="1"/>
  <c r="K15" i="7"/>
  <c r="H21" i="7"/>
  <c r="J21" i="7" s="1"/>
  <c r="K21" i="7" s="1"/>
  <c r="H11" i="7"/>
  <c r="J11" i="7" s="1"/>
  <c r="K11" i="7" s="1"/>
  <c r="H31" i="7"/>
  <c r="J31" i="7" s="1"/>
  <c r="K31" i="7" s="1"/>
  <c r="H12" i="7"/>
  <c r="J12" i="7" s="1"/>
  <c r="K12" i="7" s="1"/>
  <c r="K7" i="7"/>
  <c r="H23" i="7"/>
  <c r="J23" i="7" s="1"/>
  <c r="K23" i="7" s="1"/>
  <c r="H46" i="7"/>
  <c r="J46" i="7" s="1"/>
  <c r="K46" i="7" s="1"/>
  <c r="H8" i="7"/>
  <c r="J8" i="7" s="1"/>
  <c r="K8" i="7" s="1"/>
  <c r="H9" i="7"/>
  <c r="J9" i="7" s="1"/>
  <c r="K9" i="7" s="1"/>
  <c r="H41" i="7"/>
  <c r="J41" i="7" s="1"/>
  <c r="K41" i="7" s="1"/>
  <c r="H47" i="7"/>
  <c r="J47" i="7" s="1"/>
  <c r="K47" i="7" s="1"/>
  <c r="H25" i="7"/>
  <c r="J25" i="7" s="1"/>
  <c r="K25" i="7" s="1"/>
  <c r="H13" i="7"/>
  <c r="J13" i="7" s="1"/>
  <c r="K13" i="7" s="1"/>
  <c r="H49" i="7"/>
  <c r="J49" i="7" s="1"/>
  <c r="K49" i="7" s="1"/>
  <c r="H43" i="7"/>
  <c r="J43" i="7" s="1"/>
  <c r="K43" i="7" s="1"/>
  <c r="H70" i="10" l="1"/>
  <c r="H82" i="10" s="1"/>
  <c r="G55" i="7"/>
  <c r="I55" i="7" l="1"/>
  <c r="K55" i="7"/>
</calcChain>
</file>

<file path=xl/sharedStrings.xml><?xml version="1.0" encoding="utf-8"?>
<sst xmlns="http://schemas.openxmlformats.org/spreadsheetml/2006/main" count="947" uniqueCount="412">
  <si>
    <t>DIRECCION GENERAL MARITIMA - ÁREA DE MATERIAL</t>
  </si>
  <si>
    <t xml:space="preserve">ANEXO TECNICO ACTIVIDADES BODEGA </t>
  </si>
  <si>
    <t>ÍTEM</t>
  </si>
  <si>
    <t>DESCRIPCIÓN</t>
  </si>
  <si>
    <t>UNIDAD</t>
  </si>
  <si>
    <t>CANTIDAD</t>
  </si>
  <si>
    <t>VALOR UNITARIO</t>
  </si>
  <si>
    <t>VALOR TOTAL</t>
  </si>
  <si>
    <t>PROMEDIO</t>
  </si>
  <si>
    <t>ADECUACIONES BODEGA - GIMNASIO</t>
  </si>
  <si>
    <t>CUBIERTA E IMPERMEABILIZACIÓN</t>
  </si>
  <si>
    <t>1.1</t>
  </si>
  <si>
    <t>Localización y Replanteo</t>
  </si>
  <si>
    <t>DIA</t>
  </si>
  <si>
    <t>1.2</t>
  </si>
  <si>
    <t>Desmonte de teja de cubierta existente. Incluye disposición en sitio autorizado</t>
  </si>
  <si>
    <t>M2</t>
  </si>
  <si>
    <t>1.3</t>
  </si>
  <si>
    <t>Desmonte de cerchas o estructura de madera de cubiera existente. Incluye disposición en sitio autorizado</t>
  </si>
  <si>
    <t>1.4</t>
  </si>
  <si>
    <t>Diseño, suministro e instalación de estructura metálica sobre estructura de concreto existente. El proyecto incluye la instalación de cerchas, correas y elementos de fijación, como platinas, anclajes y pernos, así como soldaduras de acabado y presentación. El proceso contempla la aplicación de wash primer, anticorrosivo y dos manos de esmalte base aceite mate, en color tipo óxido, además de la realización de ensayos en soldaduras, anticorrosivos y pinturas. También se utilizarán andamios y equipo especializado para trabajos en alturas, en caso de ser necesario, con el objetivo de garantizar una restauración completa y efectiva de la estructura.</t>
  </si>
  <si>
    <t>1.5</t>
  </si>
  <si>
    <t xml:space="preserve">Suministro e instalación de cubierta monolítica tipo panel tipo sándwich MONOROOF o similar, inyectada en línea continua con poliuretano PUR de espesor 40 mm (libre de CFC y HCFC) y densidad real de 38 Kg/m3 ± 2; ancho útil 1,0m (1000mm); cara externa con geometría de 4 crestas separadas 333,3cm y altura de cresta de 42mm, en lámina de acero galvanizado prepintado poliéster estándar calibre 24 y Color RAL 6005; cara interna en papel vinyl y/o foil. </t>
  </si>
  <si>
    <t>1.6</t>
  </si>
  <si>
    <t>Suministro, transporte e instalación de caballetes en lámina calibre 24, pintados con pintura tipo poliéster secada al horno en ambas caras, con desarrollo hasta 600 mm. El servicio incluye el sello necesario para su correcta instalación.</t>
  </si>
  <si>
    <t>ML</t>
  </si>
  <si>
    <t>1.7</t>
  </si>
  <si>
    <t>Suministro e instalación de canal Amazonas. Incluye empaques, uniones, terminales, fijaciones, accesorios y todos los materiales y equipos necesarios para garantizar su correcta instalación.</t>
  </si>
  <si>
    <t>1.8</t>
  </si>
  <si>
    <t>Suministro e instalación de bajante para canal Amazonas. Incluye extremo de salida tradicional, empaques, uniones, fijaciones, accesorios y todos los materiales y equipos necesarios para asegurar su correcta instalación</t>
  </si>
  <si>
    <t>1.9</t>
  </si>
  <si>
    <t>Suministro y construcción de caja de inspección de 0.80 m x 0.80 m. Incluye exacavación, concreto impermeabilizado para la placa y muros, cañuelas internas, marco metálico y tapa de concreto de 3000 PSI.</t>
  </si>
  <si>
    <t>UND</t>
  </si>
  <si>
    <t>1.10</t>
  </si>
  <si>
    <t>Suministro e instalación de tubería de aguas lluvias enterrada. Incluye excavación, instalación de tubería PVC-S de 6", con cama de arenilla para apoyo y relleno con material proveniente de la excavación, asegurando la pendiente adecuada para el drenaje.</t>
  </si>
  <si>
    <t>ESTRUCTURA Y MAMPOSTERIA</t>
  </si>
  <si>
    <t>2.1</t>
  </si>
  <si>
    <t>Construcción de dados y/o pedestales en concreto con resistencia f'c = 28 Mpa. Incluye el suministro, transporte y colocación del concreto, mano de obra, formaleta, vibrado, protección y curado, conforme a las dimensiones requeridas para las estructuras.</t>
  </si>
  <si>
    <t>M3</t>
  </si>
  <si>
    <t>2.2</t>
  </si>
  <si>
    <t>Construcción de columnas en concreto con resistencia f'c = 28 MPa. Incluye el suministro, transporte y colocación del concreto, mano de obra, andamios, y todos los elementos necesarios para su correcta ejecución. Además, se incluye el transporte interno del material. El acero de refuerzo se considerará y pagará en su ítem correspondiente</t>
  </si>
  <si>
    <t>2.3</t>
  </si>
  <si>
    <t>Construcción de vigas aereas en concreto con resistencia f'c = 28 MPa. Incluye el suministro, transporte y colocación del concreto, mano de obra, andamios, y todos los elementos necesarios para su correcta ejecución. Además, se incluye el transporte interno del material. El acero de refuerzo se considerará y pagará en su ítem correspondiente</t>
  </si>
  <si>
    <t>2.4</t>
  </si>
  <si>
    <t>Suministro e instalación de anclajes en estructuras de concreto. Incluye perforación, aplicación de epóxico de alta resistencia, y colocación de acero de refuerzo en diámetro Ø 3/8" o Ø 1/2" con una longitud de 0,15 m, según sea necesario.</t>
  </si>
  <si>
    <t>2.5</t>
  </si>
  <si>
    <t xml:space="preserve">Aplicación de pintura koraza en muros exteriores, color blanco. Incluye tres manos de pintura, resane en estuco plástico, reparación de filos y dilataciones, así como el suministro de materiales y todo el equipo necesario para completar la actividad. </t>
  </si>
  <si>
    <t>2.6</t>
  </si>
  <si>
    <t>Suministro, transporte e instalación de estuco plástico en muros. Incluye filos y dilataciones.</t>
  </si>
  <si>
    <t>2.7</t>
  </si>
  <si>
    <t>Aplicación de pintura tipo 1 en muros interiores, color blanco. Incluye tres manos de pintura</t>
  </si>
  <si>
    <t>CIELO RASO</t>
  </si>
  <si>
    <t>3.1</t>
  </si>
  <si>
    <t xml:space="preserve">Suministro e instalación de cielo raso en láminas de PVC color blanco. Incluye estructura de soporte en lámina galvanizada, remate perimetral, todos los accesorios y material necesarios para su correcta instalación </t>
  </si>
  <si>
    <t>CARPINTERIA MADERA, METALICA, ALUMNIO Y VIDRIO</t>
  </si>
  <si>
    <t>4.1</t>
  </si>
  <si>
    <t xml:space="preserve">Desmonte de puerta de madera. Incluye disposición final en sitio autorizado </t>
  </si>
  <si>
    <t>4.2</t>
  </si>
  <si>
    <t>Suministro e instalación de puerta en metalica (1,0 x 2,0 m). Incluye bisagras, chapa en acero inoxidable y tope fijo</t>
  </si>
  <si>
    <t>4.3</t>
  </si>
  <si>
    <t xml:space="preserve">Desmonte de ventanería existente. Incluye disposición final en sitio autorizado  </t>
  </si>
  <si>
    <t>4.4</t>
  </si>
  <si>
    <t xml:space="preserve">Suministro e instalación de ventana de aluminio anodizado, con alfajía, sellos perimetrales, empaques, vidrio de 5 mm y película polarizada en nanocerámico, conforme a la modulación de la ventanería existente. Incluye todo el material y equipo necesarios para completar la actividad. </t>
  </si>
  <si>
    <t>4.5</t>
  </si>
  <si>
    <t xml:space="preserve">Sello exterior de ventaneria para subsanar filtraciones de agua </t>
  </si>
  <si>
    <t>PISOS Y ENCHAPES</t>
  </si>
  <si>
    <t>5.1</t>
  </si>
  <si>
    <t>Demolición de piso de acabado existente. Incluye disposición de material</t>
  </si>
  <si>
    <t>5.2</t>
  </si>
  <si>
    <t>Suministro, transporte e instalación de acabado de piso para losa contrapiso pulido con pulidora y acabado con helicóptero. Incluye juntas de 5 mm realizadas con cortadora, imprimante Sikafloor EpoCem Modul o equivalente, mortero Sikafloor-81 EpoCem en 2 mm o equivalente, y sello Sikafloor 261 color "Agua Brisa" o equivalente. El color deberá ser aprobado previamente por el supervisor de contrato</t>
  </si>
  <si>
    <t>5.3</t>
  </si>
  <si>
    <t>Suministro, transporte e instalación de media caña vaciada en concreto (h = 5 cm), más sello Sikafloor 261 color "Agua Brisa" o equivalente.</t>
  </si>
  <si>
    <t>EQUIPOS Y APARATOS</t>
  </si>
  <si>
    <t>6.1</t>
  </si>
  <si>
    <t>Suministro e instalación unidad de aire acondicionado tipo mini split, 16000 Btu, inverter 220v, eficiencia energetica "A" o su equivalencia en SER mayor o igual a 5.10, consistente en 01 unidad evaporadora y 01 unidad condensadora, se requiere instalación de tubería de cobre con recubrimiento de tubería  poliuretano de alta resistencia, cableado encauchutado, breaker termomagnético seccionador para 220V, protección brekaer matic, bomba de condensado, tubería de drenaje, punto de conexión a 220V, canaleta de 60x40 mm para recubrimiento de tubería en exteriores e interiores con tapa, para fachada  y todo lo necesario para su perfecta instalación y funcionamiento. (Adentro de la bodega despues del muro interior)</t>
  </si>
  <si>
    <t>6.2</t>
  </si>
  <si>
    <t>Suministro e instalación unidad de aire acondicionado tipo mini split, 24000 Btu, inverter 220v, eficiencia energetica "A" o su equivalencia en SER mayor o igual a 5.10, consistente en 01 unidad evaporadora y 01 unidad condensadora, se requiere instalación de tubería de cobre con recubrimiento de tubería  poliuretano de alta resistencia, cableado encauchutado, breaker termomagnético seccionador para 220V, protección brekaer matic, bomba de condensado, tubería de drenaje, punto de conexión a 220V, canaleta de 60x40 mm para recubrimiento de tubería en exteriores e interiores con tapa, para fachada  y todo lo necesario para su perfecta instalación y funcionamiento. (Adentro de la bodega en el sector antes del muro interior.</t>
  </si>
  <si>
    <t>SISTEMA ELECTRICO</t>
  </si>
  <si>
    <t>7.1</t>
  </si>
  <si>
    <t>ILUMINACIÓN</t>
  </si>
  <si>
    <t>7.1.1</t>
  </si>
  <si>
    <t>Suministro, instalación, pruebas y puesta en funcionamiento de salida para luminaria panel LED   de 60x60  48 W, 120V, 60Hz,Montaje de incrustar en cielo raso, con clip de fijación. Proyección uniforme de la luz . Incluye: Luminaria Lpanel LED redonda  de 60*60 cm de diametro 48 W.demás elementos  y  accesorios  para  su correcto funcionamiento.</t>
  </si>
  <si>
    <t>7.2</t>
  </si>
  <si>
    <t>INTERRUPTORES</t>
  </si>
  <si>
    <t>7.2.1</t>
  </si>
  <si>
    <t>Suministro, instalación, pruebas y puesta en funcionamiento de salida para interruptor doble  Incluye: Interruptor, tubería  conduit, SCH 40 pesada, cableado de cobre 3 No. 12 + 1 No. 12 (T) AWG, cajas Rawelt, tapa metálica para caja,  pasa  cables,  cable encauchetado  de  caja  a  lámpara,  regata  y recuperación de áreas afectadas, demás elementos  y  accesorios  para  su correcto funcionamiento.</t>
  </si>
  <si>
    <t>7.3</t>
  </si>
  <si>
    <t>TABLEROS Y ACOMETIDAS ELECTRICAS</t>
  </si>
  <si>
    <t>7.3.1</t>
  </si>
  <si>
    <t>Retiro de acometida existente. Incluye disposición en lugar autorizado</t>
  </si>
  <si>
    <t>7.3.2</t>
  </si>
  <si>
    <t>Suministro, instalación, pruebas y puesta en servicio de acometida en conductor 3 No 10 + 1 No 10 (N)+ 1 No 10 (T) AWG  THHN, Cobre, 600 V, 75°C, incluye tuberia Conduit 3/4", regata, recueracion de areas afectadas, terminales, cajas  rawelt, terminales, anclajes y accesorios para correcto funcionamiento</t>
  </si>
  <si>
    <t>7.3.3</t>
  </si>
  <si>
    <t>Suministro, instalación, pruebas y puesta en servicio de acometida en conductor 3 No 12 + 1 No 12 (N)+ 1 No 12 (T) AWG  THHN, Cobre, 600 V, 75°C, incluye tuberia conduit, regata, recueracion de areas afectadas, terminales, cajas  rawelt, terminales, anclajes y accesorios para correcto funcionamiento</t>
  </si>
  <si>
    <t>7.3.4</t>
  </si>
  <si>
    <t>Desmonte de tablero electrico existente. Incluye disposición en lugar autorizado.</t>
  </si>
  <si>
    <t>7.3.5</t>
  </si>
  <si>
    <t>Suministro e instalación de tablero eléctrico trifásico para 8 puestos. Incluye trabajos de demolición y reconstrucción requeridos, así como la instalación de conexiones eléctricas y breakers de acuerdo con el requerimiento.</t>
  </si>
  <si>
    <t>7.3.6</t>
  </si>
  <si>
    <t>Suministro, instalación, pruebas y puesta en funcionamiento de salida para tomacorriente doble de 15 A nema 5, Incluye: tomacorriente doble de 15 A nema 5, tubería  conduit, SCH 40 pesada, cableado de cobre 1 No. 12 + 1 No. 12 + 1 No. 12 (T) AWG, cajas Rawelt, tapa metálica para caja,  pasa  cables,  regata  y recuperación de áreas afectadas, demás elementos  y  accesorios para  su correcto  funcionamiento. (Muros perimetrales bodega)</t>
  </si>
  <si>
    <t>7.3.7</t>
  </si>
  <si>
    <t>Suministro, instalación, pruebas y puesta en funcionamiento de salida provisional de piso para tomacorriente doble de 15 A nema 5, Incluye: tomacorriente doble de 15 A nema 5, Canaleta 70 mm x 17 mm, cableado de cobre 1 No. 12 + 1 No. 12 + 1 No. 12 (T) AWG, cajas Rawelt, tapa metálica para caja,  pasa cables y demás elementos  y  accesorios para  su correcto  funcionamiento. (Para puestos de trabajo centrales provisionales)</t>
  </si>
  <si>
    <t>DISPOSICIÓN DE RESIDUOS</t>
  </si>
  <si>
    <t>8.1</t>
  </si>
  <si>
    <t>Retiro y disposición de residuos de RCD (Residuos de Construcción y Demolición).</t>
  </si>
  <si>
    <t>8.2</t>
  </si>
  <si>
    <t>Aseo general</t>
  </si>
  <si>
    <t>DIRECCION GENERAL MARITIMA - GRUPO DE INFRAESTRUCTURA Y UNIDADES A FLOTE</t>
  </si>
  <si>
    <t>DESCRIPCIÓN TÉCNICA DEL BIEN O SERVICIO</t>
  </si>
  <si>
    <t>UNIDAD DE MEDIDA</t>
  </si>
  <si>
    <t>DISCO MIM SAS</t>
  </si>
  <si>
    <t>ROTOFIBRA</t>
  </si>
  <si>
    <t>SEA SCENSE GROUP</t>
  </si>
  <si>
    <t>VALOR UNITARIO MÁXIMO A OFERTAR</t>
  </si>
  <si>
    <t>VALOR TOTAL MÁXIMO A OFERTAR</t>
  </si>
  <si>
    <t>OBRA CIVIL</t>
  </si>
  <si>
    <t>CUBIERTA, FACHADA Y DRENAJE PLUVIAL</t>
  </si>
  <si>
    <t>1.1.1</t>
  </si>
  <si>
    <t>Hangar</t>
  </si>
  <si>
    <t>Desmonte técnico de cubierta en teja metálica trapezoidal, incluye trasla, acopio en sitio autorizado por la supervisión y disposición final</t>
  </si>
  <si>
    <t>1.1.2</t>
  </si>
  <si>
    <t>Suministro e instalación de revestimiento de fachada en teja termo-acústica tipo UPVC trapezoidal (mín. 2.0mm), incluye flanches de remate y accesorios de fijación.</t>
  </si>
  <si>
    <t>1.1.3</t>
  </si>
  <si>
    <t>Desmonte técnico de teja traslúcida deteriorada, incluye limpieza de apoyos, traslado y acopio en sitio autorizado por la supervisión.</t>
  </si>
  <si>
    <t>1.1.4</t>
  </si>
  <si>
    <t>Suministro e instalación de teja traslúcida en policarbonato trapezoidal con protección UV, incluye accesorios de fijación y sellado de estanqueidad.</t>
  </si>
  <si>
    <t>1.1.5</t>
  </si>
  <si>
    <t>Instalación de bajante en tubería de 4" PVC. Incluye ensamblaje y fijación adecuada de las piezas para garantizar un sistema de drenaje eficiente y sin fugas.</t>
  </si>
  <si>
    <t>1.1.6</t>
  </si>
  <si>
    <t>Conexión de bajante de 4" a caja de inspección de aguas lluvias. Incluye excavación, suministro e instalación de los accesorios necesarios, demolición de losa, relleno y vaciado de losa de contrapiso, asegurando una correcta conexión y funcionamiento del sistema de drenaje.</t>
  </si>
  <si>
    <t>1.1.7</t>
  </si>
  <si>
    <t xml:space="preserve">Sondeo y limpieza de red de aguas lluvias existente con 14 bajantes de 3 metros aprox. Incluye la inspección mediante cámaras especializadas para identificar obstrucciones o daños en las tuberías y bajantes. Posteriormente, se procederá a limpiar y desobstruir los sistemas utilizando equipos a presión o aspiradores, eliminando sedimentos, hojas, raíces y otros materiales que puedan bloquear el flujo de agua. </t>
  </si>
  <si>
    <t>MAMPOSTERIA</t>
  </si>
  <si>
    <t>1.2.1</t>
  </si>
  <si>
    <t>Reparación de muros interiores afectados por humedad. Incluye inspección técnica previa, escarificación hasta sustrato sano, retiro de material suelto o deteriorado, limpieza de la superficie, tratamiento de eflorescencias, aplicación de sistema impermeabilizante acorde al diagnóstico, resane con mortero de reparación con aditivo impermeabilizante y conformación de filos y dilataciones. Incluye suministro de materiales, mano de obra, equipos y herramientas. No incluye pintura. Previo a la intervención, el contratista deberá presentar informe de diagnóstico y obtener aprobación de la supervisión.</t>
  </si>
  <si>
    <t>1.2.2</t>
  </si>
  <si>
    <t xml:space="preserve">Aplicación de pintura en muros interiores. Incluye limpieza de superficie, resanes menores, lijado, preparación, aplicación de sellador si se requiere y aplicación de pintura tipo 1 color blanco en mínimo tres manos. Incluye suministro de materiales, mano de obra, equipos y herramientas.  </t>
  </si>
  <si>
    <t>1.2.3</t>
  </si>
  <si>
    <t>Cuarto de bombas</t>
  </si>
  <si>
    <t xml:space="preserve">Reparación de muros exteriores afectados por humedad. Incluye inspección técnica previa, escarificación, retiro de material deteriorado, limpieza, tratamiento de sales, aplicación de sistema impermeabilizante, resane con mortero impermeable y conformación de filos y juntas. Incluye suministro de materiales, mano de obra, equipos, herramientas y medios de acceso en altura. No incluye pintura. Previo a la intervención, el contratista deberá presentar informe de diagnóstico y obtener aprobación de la supervisión.. </t>
  </si>
  <si>
    <t>1.2.4</t>
  </si>
  <si>
    <t>Aplicación de pintura antihongos en muros interiores. Incluye limpieza y desinfección de la superficie, preparación, aplicación de sellador si se requiere y aplicación de pintura antihongos color blanco en mínimo tres manos. Incluye suministro de materiales, mano de obra, equipos y herramientas.</t>
  </si>
  <si>
    <t>1.2.5</t>
  </si>
  <si>
    <t xml:space="preserve">Aplicación de pintura exterior en muros. Incluye limpieza de superficie, resanes menores, preparación, aplicación de imprimante o sellador y aplicación de pintura exterior tipo elastomérica o equivalente en mínimo tres manos. Incluye suministro de materiales, mano de obra, equipos, herramientas y medios de acceso en altura. </t>
  </si>
  <si>
    <t>1.3.1</t>
  </si>
  <si>
    <t>Oficina SEMAP</t>
  </si>
  <si>
    <t>Desmonte de cielo raso en PCV existente, incluye disposición final</t>
  </si>
  <si>
    <t>1.3.2</t>
  </si>
  <si>
    <t xml:space="preserve">Suministro e instalación de cielo raso en láminas de PVC color blanco. Incluye estructura de soporte en lámina galvanizada, remate perimetral, todos los accesorios y material necesarios para su correcta instalación. </t>
  </si>
  <si>
    <t>CARPINTERIA</t>
  </si>
  <si>
    <t>1.4.1</t>
  </si>
  <si>
    <t>1.4.2</t>
  </si>
  <si>
    <t xml:space="preserve">Desmonte de película, suministro e instalación de película tipo nano cerámica en ventanería </t>
  </si>
  <si>
    <t>1.4.3</t>
  </si>
  <si>
    <t>Desmonte vidrio fracturado, suministro e instalación de vidrio 4mm. Incluye cambio de empaques, silicona y todo el material necesario para su instalación.</t>
  </si>
  <si>
    <t>1.4.4</t>
  </si>
  <si>
    <r>
      <rPr>
        <sz val="9"/>
        <rFont val="Arial"/>
        <family val="2"/>
      </rPr>
      <t>Desmonte técnico de divisiones de oficina existente de piso a techo, incluye desensamble de marcos, retiro de vidrios, traslado a sitio de acopio y disposición final</t>
    </r>
    <r>
      <rPr>
        <sz val="9"/>
        <color rgb="FF000000"/>
        <rFont val="Arial"/>
        <family val="2"/>
      </rPr>
      <t>.</t>
    </r>
  </si>
  <si>
    <t>1.4.5</t>
  </si>
  <si>
    <t>Suministro e instalación de divisiones modulares a media altura (H=0.50m aprox.),color azul tipo institucional DIMAR, incluye perfilería de aluminio y paneles.</t>
  </si>
  <si>
    <t>Ml</t>
  </si>
  <si>
    <t>1.4.6</t>
  </si>
  <si>
    <t>Retiro de ventaneria existente tipo rejilla en vidrio, acopio en lugar autorizado por la supervisión y disposición final</t>
  </si>
  <si>
    <t>1.4.7</t>
  </si>
  <si>
    <t>Suministro e instalación de rejilla de ventilación anticorrosiva</t>
  </si>
  <si>
    <t>2.1.1</t>
  </si>
  <si>
    <t>Desmonte de puntos eléctricos incluye tomas, luminarias, interruptores, tubería, cajas, cableado y demás elementos y disposición final de escombro en sitio autorizado.</t>
  </si>
  <si>
    <t>2.1.2</t>
  </si>
  <si>
    <t>Suministro e instalación de 3 metros de salida para luminaria led de 24 w, ip 20, multivoltage 110 - 240 v material aluminio blanco, marco metálico , incluye  luminaria, punto eléctrico accesorios de instalación, caja con suplemento, tubería EMT si es a la vistao pvc tipo pesado   embebida (regate y resane) en muro, con accesorios de unión, fijación de tubería, marcación según retie y  alimentador en cable cu no.12 (f+n+t)awg-thhn/thwn-2 y todo para su correcto funcionamiento.</t>
  </si>
  <si>
    <t>2.2.1</t>
  </si>
  <si>
    <t>Suministro e instalación de 3 metros de salida para interruptor doble, incluye aparato, marcación con cinta, conectores de resorte, accesorios de instalación y fijación, caja con suplemento, tubería EMT  o pvc tipo pesado embebida (regate y resane) en muro, con accesorios de unión, fijación de tubería, marcación según retie y alimentadores en cable cu no.12 (f+n+t) awg-thhn/thwn-2 y todo para su correcto funcionamiento.</t>
  </si>
  <si>
    <t>2.2.2</t>
  </si>
  <si>
    <t>Suministro e instalación de 3 metros de salida para interruptor sencillo, incluye aparato, marcación con cinta, conectores de resorte, accesorios de instalación y fijación, caja con suplemento, tubería EMT si es a la vista o sch40 en techo mientras no quede a la vista o pvc tipo pesado embebida (regate y resane) en muro, con accesorios de unión, fijación de tubería, marcación según retie y alimentadores en cable cu no.12 (f+n+t) awg-thhn/thwn-2 y todo para su correcto funcionamiento.</t>
  </si>
  <si>
    <t>TOMAS</t>
  </si>
  <si>
    <t>2.3.1</t>
  </si>
  <si>
    <t>Suministro e instalación de 3 metros de salida para tomacorriente doble monofásico tipo nema, 125v, 20a, con polo a tierra, color blanco, tapa color blanco, incluye toma,  marcación, conectores de resorte, accesorios de instalación, caja con suplemento, tubería emt o canaleta metalica si es a la vista o pvc tipo pesado   embebida (regate y resane) en muro, con accesorios de unión, fijación de tubería, marcación según retie y  alimentador en cable cu no.12 (f+n+t)awg-thhn/thwn-2 y todo para su correcto funcionamiento.</t>
  </si>
  <si>
    <t>2.3.2</t>
  </si>
  <si>
    <t xml:space="preserve">Suministro e instalación de 3 metros de salida para tomacorriente doble gfci, 125v, 20a, incluye toma,  marcación, conectores de resorte, accesorios de instalación, caja con suplemento, tubería emt o canaleta si es a la vista  y pvc tipo pesado   embebida (regate y resane) en muro, con accesorios de unión, fijación de tubería, marcación según retie y  alimentador en cable cu no.12 (f+n+t)awg-thhn/thwn-2 y todo para su correcto funcionamiento. </t>
  </si>
  <si>
    <t>2.3.3</t>
  </si>
  <si>
    <t>Suministro e instalación de 3 metros de salida para tomas trifasicos a tipo codelca de caractisticas similares o superiores de 50a a 250 v incluye toma,  marcación, conectores de resorte, accesorios de instalación, caja con suplemento, tubería emt o canaleta metalica si es a la vista  y pvc tipo pesado   embebida (regate y resane) en muro, con accesorios de unión, fijación de tubería, marcación según retie y  alimentador en cable cu no.6 (3f+n+t)awg-thhn/thwn-2 y todo para su correcto funcionamiento de acuerdo a la clavija en sitio.</t>
  </si>
  <si>
    <t>ADECUACION AIRES ACONDICIONADOS</t>
  </si>
  <si>
    <t>2.4.1</t>
  </si>
  <si>
    <t>Suministro e instalación de 3 metros de salida para tomas a 220v aires acondicionados levinton o similar. incluye punto eléctrico (cajas, cableado #8, tubería y accesorio), aparato, elementos de fijación y accesorios para su correcto funcionamiento. de acuerdo a la clavija en sitio.</t>
  </si>
  <si>
    <t>2.4.2</t>
  </si>
  <si>
    <t>Suministro e instalación de 3 metros de salida para tomas a 220v aires acondicionados levinton o similar. incluye punto eléctrico (cajas, cableado #10, tubería y accesorio), aparato, elementos de fijación y accesorios para su correcto funcionamiento. de acuerdo a la clavija en sitio.</t>
  </si>
  <si>
    <t>2.4.3</t>
  </si>
  <si>
    <t>Desmonte de sistema de aire acondicionado tipo central: comprende el retiro total de los equipos existentes, incluyendo condensadoras, tuberías, soportes, accesorios y demás elementos asociados al sistema, así como la desconexión eléctrica de los puntos de alimentación vinculados a los equipos desmontados. la actividad incluye mano de obra, herramientas, equipos, desenergización previa, desmonte seguro, cargue, retiro de materiales sobrantes y disposición final de los elementos desmontados en sitio autorizado, dejando el área intervenida en condiciones de orden y limpieza.</t>
  </si>
  <si>
    <t>2.5.1</t>
  </si>
  <si>
    <t>Desmantelamiento de tablero eléctrico existente, incluye separación de muro, resane de la superficie, pintura y demás requerimientos.</t>
  </si>
  <si>
    <t>2.5.2</t>
  </si>
  <si>
    <t>Suministro e instalación de tablero eléctrico de 36 circuitos 220v / 120v, trifásico legrand o de características superiores. llamado tablero de aires acondicionados contiene  barraje  225 a-42 circuitos unidad de disparo termomagnética regulable 225a, 18 breakers enchufables bipolares de 30 amp y 3 breakers bipolates de 40 a, legrand, siemens, abb, scheneider, incluye las siguientes especificaciones: bordes de la tapa del tablero redondeado y sin filos para mayor seguridad durante la manipulación, color blanco ral9010 con pintura electrostática y acabado texturizado que evita las ralladuras, mecanismo de cierre con chapa que garantizan el correcto cierre de la puerta, módulos ciegos removibles plásticos que pueden ser instalados nuevamente en el espacio que se desee, barraje 3 fases, neutro y tierra incluida, barraje con punta biselada para fácil y perfecto acople del cortocircuito, caja en lámina metálica calibre 18/16 o 14 y con pintura electrostática, prerrupturas para conexión de tuberías pvc - emt de ½” a 2” en sus cuatro caras, demarcación, incluye etiqetas de peligro, nombre del tablero, diagrama unifilar, cuadros de carga, frente muerto, cintas, amarres y todo lo requerido elementos de fijación, transporte, izaje y ubicación de tablero, el tablerista fabricante debe adjuntar los certificados de conformidad con el retie, incluyendo registro de pruebas y protocolos vigentes exigidos.</t>
  </si>
  <si>
    <t xml:space="preserve">UND </t>
  </si>
  <si>
    <t>2.5.3</t>
  </si>
  <si>
    <t xml:space="preserve">Suministro, tendida e instalación de acometida eléctrica en cable 3f n4/0 +1n no. 4/0 +1t no4 thwn /awg /cu, incluye terminales, accesorios y elementos de fijación para su correcto funcionamiento.  </t>
  </si>
  <si>
    <t>2.5.4</t>
  </si>
  <si>
    <t>Suministro e instalación de canalización 3 in  tubería imc a la intemperie, emt si es a la vista, emt o sch 40 si es en cielo raso, o pvc tipo pesado embebida (regate y resane) en muro, con accesorios de unión, fijación de tubería, marcación según retie  incluye ducto accesorios y elementos de fijación para su correcto funcionamiento.</t>
  </si>
  <si>
    <t>2.5.5</t>
  </si>
  <si>
    <t>Suministro e instalación de tablero eléctrico de 24 circuitos 220v / 120v, trifásico legrand o de características superiores. llamado tablero de luces y tomas SEMAP incluye barraje 100  incluye espacio y breaker totalizador con unidad de disparo termomagnética regulable 100 a, 18 breakers enchufables monopolares de 20 amp, legrand, siemens, abb, scheneider, incluye las siguientes especificaciones: bordes de la tapa del tablero redondeado y sin filos para mayor seguridad durante la manipulación, color blanco ral9010 con pintura electrostática y acabado texturizado que evita las ralladuras, mecanismo de cierre con chapa que garantizan el correcto cierre de la puerta, módulos ciegos removibles plásticos que pueden ser instalados nuevamente en el espacio que se desee, barraje 3 fases, neutro y tierra incluida, barraje con punta biselada para fácil y perfecto acople del cortocircuito, caja en lámina metálica calibre 18/16 o 14 y con pintura electrostática, prerrupturas para conexión de tuberías pvc - emt de ½” a 2” en sus cuatro caras, demarcación, incluye etiquetas de peligro, nombre del tablero, diagrama unifilar, cuadros de carga, frente muerto, cintas, amarres y todo lo requerido elementos de fijación, transporte, izaje y ubicación de tablero, el tablerista fabricante debe adjuntar los certificados de conformidad con el retie, incluyendo registro de pruebas y protocolos vigentes exigidos.</t>
  </si>
  <si>
    <t>2.5.6</t>
  </si>
  <si>
    <t>Suministro e instalación de tablero eléctrico de 24 circuitos 220v / 120v, trifásico legrand o de caracteristicas superiores. llamado tablero de laboratorio SEMAP SEMAP incluye barraje 100  incluye espacio y breaker totalizador con unidad de disparo termomagnética regulable 100 a, 10 breakers enchufables monopolares de 20 amp y 4 breakers bipolares de 30 a, legrand, siemens, abb, scheneider, incluye las siguientes especificaciones: bordes de la tapa del tablero redondeado y sin filos para mayor seguridad durante la manipulación, color blanco ral9010 con pintura electrostática y acabado texturizado que evita las ralladuras, mecanismo de cierre con chapa que garantizan el correcto cierre de la puerta, módulos ciegos removibles plásticos que pueden ser instalados nuevamente en el espacio que se desee, barraje 3 fases, neutro y tierra incluida, barraje con punta biselada para fácil y perfecto acople del cortocircuito, caja en lámina metálica calibre 18/16 o 14 y con pintura electrostática, prerrupturas para conexión de tuberías pvc - emt de ½” a 2” en sus cuatro caras, demarcación, incluye etiquetas de peligro, nombre del tablero, diagrama unifilar, cuadros de carga, frente muerto, cintas, amarres y todo lo requerido elementos de fijación, transporte, izaje y ubicación de tablero, el tablerista fabricante debe adjuntar los certificados de conformidad con el retie, incluyendo registro de pruebas y protocolos vigentes exigidos.</t>
  </si>
  <si>
    <t>2.5.7</t>
  </si>
  <si>
    <t xml:space="preserve">Suministro, tendida e instalación de acometida eléctrica en cable 3f n2 +1n no. 2 +1t no8 thwn /awg /cu, incluye terminales, accesorios y elementos de fijación para su correcto funcionamiento </t>
  </si>
  <si>
    <t>2.5.8</t>
  </si>
  <si>
    <t>Suministro e instalación de canalización 2 in  tubería imc a la intemperie, emt si es a la vista, emt o sch 40 si es en cielo raso, o pvc tipo pesado embebida (regate y resane) en muro, con accesorios de unión, fijación de tubería, marcación según retie  incluye ducto accesorios y elementos de fijación para su correcto funcionamiento.</t>
  </si>
  <si>
    <t>2.5.9</t>
  </si>
  <si>
    <t xml:space="preserve">Suministro, tendida e instalación de acometida eléctrica en cable 1f n12+1n no. 12+1t no12 thwn /awg /cu, incluye terminales, accesorios y elementos de fijación para su correcto funcionamiento. </t>
  </si>
  <si>
    <t>2.5.10</t>
  </si>
  <si>
    <t>Suministro e instalación de canalización 3/4 in  tubería imc a la intemperie, emt si es a la vista, emt o sch 40 si es en cielo raso, o pvc tipo pesado embebida (regate y resane) en muro, con accesorios de unión, fijación de tubería, marcación según retie  incluye ducto accesorios y elementos de fijación para su correcto funcionamiento.</t>
  </si>
  <si>
    <t>2.5.11</t>
  </si>
  <si>
    <t xml:space="preserve">Suministro, tendida e instalación de acometida eléctrica en cable 3f n6+1n no. 6+1t no10 thwn /awg /cu, incluye terminales, accesorios y elementos de fijación para su correcto funcionamiento.  </t>
  </si>
  <si>
    <t>2.5.12</t>
  </si>
  <si>
    <t>Suministro e instalación de canalización 1-1/2 in  tubería imc a la interperie, emt si es a la vista, emt o sch 40 si es en cielo raso, o pvc tipo pesado embebida (regate y resane) en muro, con accesorios de unión, fijación de tubería, marcación según retie  incluye ducto accesorios y elementos de fijación para su correcto funcionamiento.</t>
  </si>
  <si>
    <t>2.5.13</t>
  </si>
  <si>
    <t>Suministro e instalación de canalización 1/2 in  tubería imc a la intemperie, emt si es a la vista, emt o sch 40 si es en cielo raso, o pvc tipo pesado embebida (regate y resane) en muro, con accesorios de unión, fijación de tubería, marcación según retie  incluye ducto accesorios y elementos de fijación para su correcto funcionamiento</t>
  </si>
  <si>
    <t>2.5.14</t>
  </si>
  <si>
    <t xml:space="preserve">Suministro, tendida e instalación de acometida eléctrica en cable 2f n8+1t no10 thwn /awg /cu, incluye terminales, accesorios y elementos de fijación para su correcto funcionamiento.  </t>
  </si>
  <si>
    <t>2.5.15</t>
  </si>
  <si>
    <t xml:space="preserve">Suministro, tendida e instalación de acometida eléctrica en cable 2f n10+1t no10 thwn /awg /cu, incluye terminales, accesorios y elementos de fijación para su correcto funcionamiento. </t>
  </si>
  <si>
    <t>2.5.16</t>
  </si>
  <si>
    <t>Suministro e instalación de caja de paso 20 x 20 , incluye accesorios y elementos de fijación para su correcto funcionamiento.</t>
  </si>
  <si>
    <t>GENERAL</t>
  </si>
  <si>
    <t>VALOR SUBTOTAL</t>
  </si>
  <si>
    <t>A</t>
  </si>
  <si>
    <t>I</t>
  </si>
  <si>
    <t>U</t>
  </si>
  <si>
    <t>IVA 19%</t>
  </si>
  <si>
    <t>SUMINISTRO DE BIENES</t>
  </si>
  <si>
    <t xml:space="preserve"> VALOR UNITARIO </t>
  </si>
  <si>
    <t xml:space="preserve"> VALOR TOTAL </t>
  </si>
  <si>
    <t>Suministro e instalación unidad de aire acondicionado tipo mini split, 18000Btu, inverter 220v, eficiencia energetica "A" o su equivalencia en SER, INCLUYE 01 unidad evaporadora y 01 unidad condensadora, se requiere instalación de tubería de cobre con recubrimiento de tubería  poliuretano de alta resistencia, cableado encauchutado, protección brekaer matic, bomba de condensado, tubería de drenaje, canaleta de 60x40 mm para recubrimiento de tubería en exteriores e interiores con tapa, para fachada  y todo lo necesario para su perfecta instalación y funcionamiento.</t>
  </si>
  <si>
    <t xml:space="preserve">Suministro e instalación unidad de aire acondicionado tipo mini split, 24000Btu, inverter 220v, eficiencia energetica "A" o su equivalencia en SER mayor o igual a 5.10, consistente en 01 unidad evaporadora y 01 unidad condensadora, se requiere instalación de tubería de cobre con recubrimiento de tubería  poliuretano de alta resistencia, cableado encauchutado, breaker termomagnético seccionador para 220V, protección brekaer matic, bomba de condensado, tubería de drenaje, punto de conexión a 220V, canaleta de 60x40 mm para recubrimiento de tubería en exteriores e interiores con tapa, para fachada  y todo lo necesario para su perfecta instalación y funcionamiento. </t>
  </si>
  <si>
    <t xml:space="preserve">Suministro e instalación unidad de aire acondicionado tipo mini split, 36000 BTU, inverter 220V,eficiencia energetica "A" o su equivalencia en SER mayor o igual a 5.10, consistente en 01 unidad evaporadora y 01 unidad condensadora, se requiere instalación de tubería de cobre con recubrimiento de tubería  poliuretano de alta resistencia, cableado encauchutado, breaker termomagnético seccionador para 220V , protección brekaer matic, bomba de condensado, tubería de drenaje, punto de conexión a 220V, canaleta de 60x40 mm para recubrimiento de tubería en exteriores e interiores con tapa, para fachada  y todo lo necesario para su perfecta instalación y funcionamiento. </t>
  </si>
  <si>
    <t xml:space="preserve">Suministro e instalación unidad de aire acondicionado tipo piso techo, 48000 BTU, inverter 220V,eficiencia energetica "A" o su equivalencia en SER mayor o igual a 5.10, consistente en 01 unidad evaporadora y 01 unidad condensadora, se requiere instalación de tubería de cobre con recubrimiento de tubería  poliuretano de alta resistencia, cableado encauchutado, breaker termomagnético seccionador para 220V, protección brekaer matic, bomba de condensado, tubería de drenaje, punto de conexión a 220V, canaleta de 60x40 mm para recubrimiento de tubería en exteriores e interiores con tapa, para fachada  y todo lo necesario para su perfecta instalación y funcionamiento. </t>
  </si>
  <si>
    <t>SSG  SEA SCIENCE GROUP</t>
  </si>
  <si>
    <t>CUBIERTA</t>
  </si>
  <si>
    <t>Mantenimiento de la cubierta: Incluye la limpieza de la superficie de las tejas, eliminando suciedad, musgo y óxido. Posteriormente, se procede a la aplicación de Alumanation 301 y Solargard 6038, o productos equivalentes, para la impermeabilización de las tejas. Además, se realiza el sellado de filtraciones en las uniones por sombreros de amarre y se instalan amarres adicionales en las áreas donde se requiera.</t>
  </si>
  <si>
    <t>Suministro, transporte e instalación de remates en lámina calibre 24, pintados con pintura tipo poliéster secada al horno en ambas caras, con desarrollo hasta 300 mm. El servicio incluye el sello necesario para su correcta instalación. (En todo el perimetro de la estructura)</t>
  </si>
  <si>
    <t>Mantenimiento y limpieza de canaleta Amazonas, que incluye el cambio de empaques, uniones, terminales, fijaciones, accesorios y demás materiales y equipos necesarios para garantizar su correcto funcionamiento.</t>
  </si>
  <si>
    <t>Reparación de muros interiores afectados por humedad. Incluye escarificación hasta encontrar sustrato sano, retiro de material suelto o deteriorado, limpieza de la superficie, tratamiento de eflorescencias, aplicación de mortero de reparación con aditivo impermeabilizante y conformación de filos y dilataciones. Incluye suministro de materiales, mano de obra, equipos y herramientas necesarios para la actividad. No incluye pintura. Previo a la intervención, el contratista deberá realizar inspección, presentar informe de las áreas a intervenir y obtener aprobación de la supervisión.</t>
  </si>
  <si>
    <t>APLICACIÓN DE PINTURA TIPO 1 EN MUROS INTERIORES Y HALL, COLOR BLANCO Aplicación de pintura en muros interiores. Incluye limpieza de superficie, resanes menores en estuco, lijado, preparación y aplicación de pintura tipo 1 color blanco en mínimo tres manos. Incluye suministro de materiales, mano de obra, equipos y herramientas necesarios para la actividad.</t>
  </si>
  <si>
    <t>APLICACIÓN DE PINTURA ANTIHONGOS EN MUROS INTERIORES, COLOR BLANCO Aplicación de pintura antihongos en muros interiores. Incluye limpieza y desinfección de la superficie, resanes menores en estuco, preparación y aplicación de pintura antihongos color blanco en mínimo tres manos. Incluye suministro de materiales, mano de obra, equipos y herramientas necesarios para la actividad</t>
  </si>
  <si>
    <t>REPARACIÓN DE MUROS EXTERIORES AFECTADOS POR HUMEDAD  Incluye escarificación, retiro de material deteriorado, limpieza de la superficie, tratamiento de sales, aplicación de mortero de reparación con aditivo impermeabilizante y conformación de filos y dilataciones. Incluye suministro de materiales, mano de obra, equipos, herramientas y medios de acceso en altura necesarios para la actividad. No incluye pintura. Previo a la intervención, el contratista deberá realizar inspección, presentar informe de las áreas a intervenir y obtener aprobación de la supervisión</t>
  </si>
  <si>
    <t>Aplicación de pintura en muros exteriores. Incluye limpieza de superficie, resanes menores en estuco, preparación y aplicación de pintura tipo Koraza o equivalente color blanco en mínimo tres manos. Incluye suministro de materiales, mano de obra, equipos, herramientas y medios de acceso en altura necesarios para la actividad</t>
  </si>
  <si>
    <t>APARATOS SANITARIOS</t>
  </si>
  <si>
    <t xml:space="preserve">Inspección de red sanitaria de sifones de piso con sondeo de tubería de desagüe para garantizar la evacuación adecuada. Incluye cambio de accesorios en la salida, limpieza de red </t>
  </si>
  <si>
    <t>Suministro e instalación de rejilla de piso en aluminio para red de 2"</t>
  </si>
  <si>
    <t>1.3.3</t>
  </si>
  <si>
    <t>Suministro de juegos de accesorios acero inoxidable para los baños, que incluyen 1 colgador para toalla, 1 jaboneras y 1 porta papel higiénico</t>
  </si>
  <si>
    <t>1.3.4</t>
  </si>
  <si>
    <t>Suministro e instalación de accesorio "asiento sanitario", Incluye retiro y disposición del existente, y todos los materiales, accesorios y equipo necesarios para su correcta instalación. (garita exterior)</t>
  </si>
  <si>
    <t>1.3.5</t>
  </si>
  <si>
    <t>Desmonte de grifería. Incluye la disposición en sitio autorizado.</t>
  </si>
  <si>
    <t>1.3.6</t>
  </si>
  <si>
    <t>Suministro e instalación de grifería para lavamanos. Incluye acoples plásticos con registro, accesorios y todo el material y equipo necesarios para esta instalación, retiro y disposición de grifería existente. (Baño hombres)</t>
  </si>
  <si>
    <t>1.3.7</t>
  </si>
  <si>
    <t xml:space="preserve">Desmonte de ducha. Incluye su disposición en lugar autorizado </t>
  </si>
  <si>
    <t>1.3.8</t>
  </si>
  <si>
    <t xml:space="preserve">Suministro e instalación de regadera en ducha monocontrol, línea institucional </t>
  </si>
  <si>
    <t>Suministro e instalación de cielo raso en láminas de PVC color blanco o color negro (segun corresponda). Incluye estructura de soporte en lámina galvanizada, remate perimetral, todos los accesorios y material necesarios para su correcta instalación. (Bodega de señalización, oficinas, laboratorios, pantry, auditorio y baños)</t>
  </si>
  <si>
    <t>CARPITNERIA</t>
  </si>
  <si>
    <t>1.5.1</t>
  </si>
  <si>
    <t>Desmonte de cortina existente.Acopio en sitio autorizado y disposición final. se pagara por su respectivo item</t>
  </si>
  <si>
    <t>1.5.2</t>
  </si>
  <si>
    <t>Suministro e instalación de cortina enrollable tipo blackout de color blanco, con altura de 2 metros.</t>
  </si>
  <si>
    <t>1.5.3</t>
  </si>
  <si>
    <t>Suministro e instalación de espejo 4mm rectangular 60x60 biselado sin marco</t>
  </si>
  <si>
    <t>1.5.4</t>
  </si>
  <si>
    <t xml:space="preserve">Desmonte de las divisiones en vidrio de 5 mm existentes. Incluye acopio en sitio a utorizado y disposición final. </t>
  </si>
  <si>
    <t>UN</t>
  </si>
  <si>
    <t>1.5.5</t>
  </si>
  <si>
    <t xml:space="preserve">Suministro e instalación de divisiones en vidrio de 5 mm en las duchas. con medidas existentes. Incluye accesorios, agarraderas y la fijación de las mismas. </t>
  </si>
  <si>
    <t>1.5.6</t>
  </si>
  <si>
    <t xml:space="preserve">Desmonte de puerta de madera existente, incluye acopio en sitio autorizado y disposición final. </t>
  </si>
  <si>
    <t>1.5.7</t>
  </si>
  <si>
    <t>Suministro e instalación de puerta en madera entamborada (0,7x2,10m). Incluye bisagras, chapa en acero inoxidable y tope fijo. (baños)</t>
  </si>
  <si>
    <t>1.5.8</t>
  </si>
  <si>
    <t>Desmonte, retiro y disposición final de clósets existentes: Desmantelamiento manual de estructuras de madera/aglomerado infectadas por comején y/o afectadas por la humedad. Incluye retiro de escombros, limpieza del área y transporte a lugar de disposición autorizado.</t>
  </si>
  <si>
    <t>1.5.9</t>
  </si>
  <si>
    <t>Suministro e instalación de Clóset Principal "Línea Pacífico": Estructura 100% en aluminio/PVC (inmune a plagas). Incluye puertas con diseño de ranuras verticales para ventilación y logo de la SEMAP troquelado en panel central. El diseño interior debe ser simétrico, garantizando que cada división contenga el mismo número de espacios. Incluye entrepaños, soportes de carga, tubos colgadores en acero inoxidable y todos los herrajes necesarios para su correcto funcionamiento. Medidas de piso a techo según vano existente</t>
  </si>
  <si>
    <t>1.5.10</t>
  </si>
  <si>
    <t xml:space="preserve">Suministro e instalación de mueble flotante con lavamanos de cerámica. Incluye sifón de desague, accesorios de fijación y todo lo necesario para su correcta instalación y funcionamiento. </t>
  </si>
  <si>
    <t>1.5.11</t>
  </si>
  <si>
    <t>Desmonte de puertas mueble bajo. acopio en sitio autorizado y disposición final</t>
  </si>
  <si>
    <t>1.5.12</t>
  </si>
  <si>
    <t xml:space="preserve">Suministro e instalación de mueble bajo en madera aglomerada en RH con recubrimiento color blanco. Incluye puertas, bisagras metálicas, manijas, lavaplatos, entrepaño y todos los accesorios para su correcta instalación y funcionamiento. </t>
  </si>
  <si>
    <t>1.5.13</t>
  </si>
  <si>
    <t>Retiro ventna deventilación existente en baños</t>
  </si>
  <si>
    <t>1.5.14</t>
  </si>
  <si>
    <t xml:space="preserve">Suministro e instalación ventana de ventilación </t>
  </si>
  <si>
    <t>1.5.15</t>
  </si>
  <si>
    <t>Desmonte de puertas mueble alto. Incluye disposición en lugar autorizado.</t>
  </si>
  <si>
    <t>1.5.16</t>
  </si>
  <si>
    <t xml:space="preserve">Suministro e instalación de mueble alto en madera aglomerada en RH con recubrimiento color blanco. Incluye puertas, bisagras metálicas, manijas,espacio para 2 hornos microhondas, entrepaño y todos los accesorios para su correcta instalación y funcionamiento. </t>
  </si>
  <si>
    <t>1.6.1</t>
  </si>
  <si>
    <t xml:space="preserve">Suministro e instalación de piso en enchape cerámico </t>
  </si>
  <si>
    <t>1.6.2</t>
  </si>
  <si>
    <t xml:space="preserve">Suministro e instalación de zócalo recto perimetral </t>
  </si>
  <si>
    <t>1.6.3</t>
  </si>
  <si>
    <t>Demolición de enchape existente en pisos y muros. Incluye botada en lugar autorizada</t>
  </si>
  <si>
    <t>1.7.1</t>
  </si>
  <si>
    <t>Desmonte de aire acondicionado</t>
  </si>
  <si>
    <t>Suministro e instalación de 3 metros de salida para luminaria led de 24 w, ip 20, multivoltage 110 - 240 v material aluminio blanco, marco metálico , incluye  luminaria, punto eléctrico accesorios de instalación, caja con suplemento, tubería emt si es a la vista o pvc tipo pesado   embebida (regate y resane) en muro, con accesorios de unión, fijación de tubería, marcación según retie y  alimentador en cable cu no.12 (f+n+t)awg-thhn/thwn-2 y todo para su correcto funcionamiento.</t>
  </si>
  <si>
    <t>2.1.3</t>
  </si>
  <si>
    <t>Suministro e instalación de sensor de movimiento para control automático de iluminación, tipo infrarrojo pasivo (pir) o tecnología equivalente, adecuado para uso interior o exterior según ubicación del proyecto. incluye el suministro del equipo, accesorios de montaje, cableado de conexión, canalización menor requerida, y todos los elementos necesarios para su correcta instalación y funcionamiento.</t>
  </si>
  <si>
    <t>Suministro e instalación de 3 metros de salida para interruptor doble, incluye aparato, marcación con cinta, conectores de resorte, accesorios de instalación y fijación, caja con suplemento, tubería emt  o pvc tipo pesado embebida (regate y resane) en muro, con accesorios de unión, fijación de tubería, marcación según retie y alimentadores en cable cu no.12 (f+n+t) awg-thhn/thwn-2 y todo para su correcto funcionamiento.</t>
  </si>
  <si>
    <t>Suministro e instalación de 3 metros de salida para interruptor sencillo, incluye aparato, marcación con cinta, conectores de resorte, accesorios de instalación y fijación, caja con suplemento, tubería emt si es a la vista o sch40 en techo mientras no quede a la vista o pvc tipo pesado embebida (regate y resane) en muro, con accesorios de unión, fijación de tubería, marcación según retie y alimentadores en cable cu no.12 (f+n+t) awg-thhn/thwn-2 y todo para su correcto funcionamiento.</t>
  </si>
  <si>
    <t xml:space="preserve">Suministro e instalación de 3 metros de salida para tomacorriente doble gfci, 125v, 20a, incluye toma,  marcación, conectores de resorte, accesorios de instalación, caja con suplemento, tubería emt o canaleta si es a la vista  y pvc tipo pesado   embebida (regate y resane) en muro, con accesorios de unión, fijación de tubería, marcación según retie y  alimentador en cable cu no.12 (f+n+t)awg-thhn/thwn-2 y todo para su correcto funcionamiento.      </t>
  </si>
  <si>
    <t>Suministro e instalación de tablero eléctrico de 36 circuitos 220v / 120v, trifásico legrand o de caracteristicas superiores. incluye barraje 100  incluye espacio y breaker totalizador con unidad de disparo termomagnética regulable 100 a, 22 breakers enchufables monopolares de 20 amp y 7 breakers bipolares de 30 a, legrand, siemens, abb, scheneider, incluye las siguientes especificaciones: bordes de la tapa del tablero redondeado y sin filos para mayor seguridad durante la manipulación, color blanco ral9010 con pintura electrostática y acabado texturizado que evita las ralladuras, mecanismo de cierre con chapa que garantizan el correcto cierre de la puerta, módulos ciegos removibles plásticos que pueden ser instalados nuevamente en el espacio que se desee, barraje 3 fases, neutro y tierra incluida, barraje con punta biselada para fácil y perfecto acople del cortocircuito, caja en lámina metálica calibre 18/16 o 14 y con pintura electrostática, prerrupturas para conexión de tuberías pvc - emt de ½” a 2” en sus cuatro caras, demarcación, incluye etiqetas de peligro, nombre del tablero, diagrama unifilar, cuadros de carga, frente muerto, cintas, amarres y todo lo requerido elementos de fijación, transporte, izaje y ubicación de tablero, el tablerista fabricante debe adjuntar los certificados de conformidad con el retie, incluyendo registro de pruebas y protocolos vigentes exigidos.</t>
  </si>
  <si>
    <t xml:space="preserve">Suministro, tendida e instalación de acometida eléctrica en cable 3f n2 +1n no. 2 +1t no8 thwn /awg /cu, incluye terminales, accesorios y elementos de fijación para su correcto funcionamiento.  </t>
  </si>
  <si>
    <t>2.4.4</t>
  </si>
  <si>
    <t>Suministro e instalación de canalización 2 in tubería imc a la intemperie, emt si es a la vista, emt o sch 40 si es en cielo raso, o pvc tipo pesado embebida (regate y resane) en muro, con accesorios de unión, fijación de tubería, marcación según retie  incluye ducto accesorios y elementos de fijación para su correcto funcionamiento.</t>
  </si>
  <si>
    <t>2.4.5</t>
  </si>
  <si>
    <t xml:space="preserve">Suministro, tendida e instalación de acometida eléctrica en cable 1f n12+1n no. 12+1t no12 thwn /awg /cu, incluye terminales, accesorios y elementos de fijación para su correcto funcionamiento.  </t>
  </si>
  <si>
    <t>2.4.6</t>
  </si>
  <si>
    <t xml:space="preserve">Suministro, tendida e instalación de acometida eléctrica en cable 2f n10+1t no10 thwn /awg /cu, incluye terminales, accesorios y elementos de fijación para su correcto funcionamiento.  </t>
  </si>
  <si>
    <t>2.4.7</t>
  </si>
  <si>
    <t>2.4.8</t>
  </si>
  <si>
    <t>Suministro e instalación de canalización 1/2 in  tubería imc a la intemperie, emt si es a la vista, emt o sch 40 si es en cielo raso, o pvc tipo pesado embebida (regate y resane) en muro, con accesorios de unión, fijación de tubería, marcación según retie  incluye ducto accesorios y elementos de fijación para su correcto funcionamiento.</t>
  </si>
  <si>
    <t>2.4.9</t>
  </si>
  <si>
    <t xml:space="preserve">Suministro e instalación de canalización 1-1/2 in emt incluye ducto accesorios y elementos de fijación para su correcto funcionamiento.  </t>
  </si>
  <si>
    <t>2.4.10</t>
  </si>
  <si>
    <t>suministro e instalación de caja de paso 20 x 20 , incluye accesorios y elementos de fijación para su correcto funcionamiento.</t>
  </si>
  <si>
    <t>3.2</t>
  </si>
  <si>
    <t>Suministro de Minibar Marino de 45L, 12/24V DC, con puerta de acero inoxidable y cierre de seguridad marino. Dimensiones aprox: 52cm (alto) x 38cm (ancho) x 45cm (fondo)</t>
  </si>
  <si>
    <t>502-603</t>
  </si>
  <si>
    <t>Reparación y tratamiento de muros interiores afectados por humedad. Incluye escarificación profunda, retiro total de material suelto o contaminado, limpieza de la superficie, aplicación de sistema impermeabilizante cementicio o barrera antihumedad, resane con mortero modificado con aditivo impermeable, conformación de filos y dilataciones, y curado adecuado. Incluye todos los materiales, mano de obra y equipos necesarios. Previo a la intervención, el contratista deberá realizar inspección técnica, presentar informe de diagnóstico de las áreas afectadas y obtener aprobación de la supervisión.el material y equipo necesarios para  esta actividad. Previo a la intervención, el contratista deberá realizar una inspección, entregar un informe de las áreas a intervenir y obtener la autorización del supervisor.</t>
  </si>
  <si>
    <t>Suministro y aplicación de pintura acrílica para muros interiores en ambientes de alta humedad, con propiedades antihongos y antimoho, color blanco. Incluye preparación de superficie, aplicación de sellador acrílico previo, mínimo tres manos de pintura de acabado, y corrección de imperfecciones menores. Incluye materiales, mano de obra y equipos necesarios.para completar la actividad.</t>
  </si>
  <si>
    <t xml:space="preserve">Aplicación de pintura antihongos en muros interiores, color blanco. Incluye tres manos de pintura, resane en estuco plástico, reparación de filos y dilataciones, así como el suministro de materiales y todo el equipo necesario para completar la actividad. </t>
  </si>
  <si>
    <t>Reparación de vano de ventana exterior. Incluye retiro de material suelto, limpieza, resane con mortero impermeabilizado, conformación de filos y dilataciones, aplicación de estuco para acabado y pintura acrílica para exteriores con propiedades impermeables y antihongos (mínimo tres manos). Incluye todos los materiales, mano de obra y equipos necesarios.</t>
  </si>
  <si>
    <t>Desmonte de lavamanos existente, incluyendo desconexión de red hidráulica y sanitaria, retiro de accesorios, taponamiento provisional de puntos y disposición final en sitio autorizado. Incluye mano de obra, herramientas y transporte.</t>
  </si>
  <si>
    <t>Suministro e instalación de grifería para lavamanos tipo monocontrol o convencional en material metálico cromado o acero inoxidable, incluye válvula de cierre (registro), acoples certificados, teflón, sellos, accesorios de conexión y prueba de funcionamiento para verificación de ausencia de fugas.</t>
  </si>
  <si>
    <t>Suministro e instalación de lavamanos de colgar en porcelana sanitaria, incluye sistema de fijación (grapas, tornillos y chazos), conexión a red hidráulica y sanitaria, sifón, válvula de desagüe, sellos, nivelación y prueba de funcionamiento.</t>
  </si>
  <si>
    <t>Desmonte de sanitario existente, incluyendo desconexión de red hidráulica y sanitaria, retiro de sellos, taponamiento provisional y disposición en sitio autorizado.</t>
  </si>
  <si>
    <t>Suministro e instalación de sanitario tipo institucional en porcelana vitrificada, color blanco, sistema de descarga eficiente (doble descarga o equivalente), incluye válvula de suministro, brida de conexión, sello sanitario, accesorios, nivelación, fijación y prueba de funcionamiento.
Referencia tipo Montecarlo o equivalente que cumpla estándares de calidad y eficiencia.</t>
  </si>
  <si>
    <t>Suministro e instalación de llave de jardín en acero inoxidable o latón cromado de ½”, con salida roscada para manguera, incluye accesorios de conexión, teflón, sellos y prueba de funcionamiento.</t>
  </si>
  <si>
    <t>Inspección y mantenimiento de red sanitaria, incluye sondeo de tuberías de desagüe, limpieza interna, verificación de pendientes, ajuste o reemplazo de accesorios defectuosos y prueba de evacuación para garantizar correcto funcionamiento.</t>
  </si>
  <si>
    <t>Suministro e instalación de rejilla de piso en acero inoxidable o aluminio con sistema antiolores (sello hidráulico o trampa incorporada), para conexión a tubería de 2”, incluye marco, fijación, nivelación, ajuste a acabado de piso y prueba de funcionamiento para verificación de evacuación y control de olores. (La rejilla deberá garantizar sello hidráulico permanente o sistema equivalente que impida el retorno de gases desde la red sanitaria.)</t>
  </si>
  <si>
    <t>1.3.9</t>
  </si>
  <si>
    <t>1.3.10</t>
  </si>
  <si>
    <t>Desmonte de sistema de ducha existente, incluyendo retiro de grifería y accesorios, y disposición en sitio autorizado</t>
  </si>
  <si>
    <t>1.3.11</t>
  </si>
  <si>
    <t>Suministro e instalación de regadera para ducha tipo monocontrol, línea institucional, incluye válvula mezcladora, accesorios de conexión, sellos, instalación y prueba de funcionamiento.</t>
  </si>
  <si>
    <t>Retiro de cielo raso en machimbre existente, incluye desmontaje, clasificación, cargue y disposición final en sitio autorizado.</t>
  </si>
  <si>
    <t>m2</t>
  </si>
  <si>
    <t>Suministro e instalación de cielo raso en PVC, incluye perfilería de soporte en material galvanizado, accesorios de fijación, remates, nivelación, cortes, y todo lo necesario para su correcta instalación. (Bodega de señalización, oficinas, laboratorios, pantry, auditorio y baños)</t>
  </si>
  <si>
    <t>Desmonte manual o mecánico de ventanas existentes, incluyendo vidrio y marcos (aluminio, madera o hierro), demolición de anclajes, retiro de sobrantes y transporte a sitio de disposición autorizado.</t>
  </si>
  <si>
    <t>Suministro e instalación de ventana tipo abatible o proyectante con aislamiento acústico, con marco en aluminio o PVC de alta hermeticidad, vidrio laminado con interlámina PVB acústica, sistema de cierre perimetral hermético, incluyendo fabricación a medida, transporte, instalación, anclajes, nivelación y sellado perimetral, garantizando su correcto funcionamiento.</t>
  </si>
  <si>
    <t>Mantenimiento de ventanería en aluminio anodizado, que comprende la inspección y desmontaje parcial de las ventanas existentes, el reemplazo de sellos perimetrales, empaques, herrajes y accesorios (bisagras, manijas, cerraduras, rodamientos), cambio de perfiles en mal estado y limpieza profunda de perfiles y lubricación de partes móviles.</t>
  </si>
  <si>
    <t>Desmonte, suministro e instalación de lavadero en piedra. Comprende el retiro del lavadero existente, incluyendo desconexión de redes y desmontaje de accesorios; disposición final de los elementos retirados en sitio autorizado (se pagará en su respectivo ítem); suministro de un nuevo lavadero fabricado en piedra natural o prefabricada, con sus soportes, herrajes y desagües; instalación y conexión a las redes hidráulica y sanitaria existentes; nivelación, sellado y pruebas de funcionamiento. Incluye todos los materiales, herramientas y mano de obra necesarios para la correcta ejecución de la actividad.</t>
  </si>
  <si>
    <t>Suministro e instalación de espejo 4mm biselado sin marco, flotante</t>
  </si>
  <si>
    <t xml:space="preserve">Desmonte de las divisiones en vidrio de 5 mm existentes. Incluye la disposición del material en un sitio autorizado. </t>
  </si>
  <si>
    <t xml:space="preserve">Suministro e instalación de divisiones en vidrio de 5 mm en las duchas. Incluye accesorios, agarraderas y la fijación de las mismas. </t>
  </si>
  <si>
    <t>Desmonte de puerta metaliza existente, de cualquier dimensión estándar, junto con su marco, bisagras y herrajes.</t>
  </si>
  <si>
    <t>Suministro e instalación de puerta metálica entamborada de dimensiones aproximadas 1,45 m × 2,10 m. Incluye fabricación y montaje de la hoja y su marco metálico, aplicación de pintura electrostática horneada en color especificado por la supervisión,  bisagras reforzadas, chapa de seguridad en acero inoxidable y tope fijo, así como todos los materiales, herramientas, mano de obra y ajustes necesarios para su correcta instalación y funcionamiento.</t>
  </si>
  <si>
    <t xml:space="preserve">Desmonte de puerta de madera. </t>
  </si>
  <si>
    <t xml:space="preserve">Suministro e instalación de puerta en madera entamborada (0,6x2,10m). Incluye bisagras, chapa en acero inoxidable y tope fijo. </t>
  </si>
  <si>
    <t xml:space="preserve">Suministro e instalación de puerta en madera entamborada (0,9x2,10m). Incluye bisagras, chapa en acero inoxidable y tope fijo. </t>
  </si>
  <si>
    <t>Recuperación y rehabilitación de clósets en madera, que comprende el desmontaje y revisión del mobiliario existente, la reparación y/o reemplazo de entrepaños, bisagras, manijas y demás herrajes deteriorados, el ajuste de puertas y elementos móviles, el lijado y nivelación de superficies, así como la aplicación de sellador y acabado protector conforme a las especificaciones técnicas, con el fin de restituir las condiciones funcionales y estéticas del mueble.</t>
  </si>
  <si>
    <t>Desmonte y retiro de clóset existente fabricado en madera. Incluye puertas, entrepaños, cajoneras, herrajes, manijas y demás accesorios, traslado interno de los elementos retirados hasta el sitio de acopio designado. La disposición final de los materiales desmontados se pagará en su respectivo ítem.</t>
  </si>
  <si>
    <t>Suministro e instalación de clóset fabricado en madera aglomerada resistente a la humedad (RH) con recubrimiento melamínico en color a especificar. Incluye suministro y montaje de puertas, bisagras metálicas, manijas, cajoneras, entrepaños, divisiones internas y todos los herrajes y accesorios necesarios para su correcta instalación y funcionamiento.</t>
  </si>
  <si>
    <t>1.5.17</t>
  </si>
  <si>
    <t>1.5.18</t>
  </si>
  <si>
    <t>Desmonte de mueble bajo existente, que incluye estufa y lavaplatos, con dimensiones aproximadas de 1,93 m de longitud, 0,60 m de ancho y 0,90 m de altura. La disposición final de los elementos retirados se pagará en su respectivo ítem.</t>
  </si>
  <si>
    <t>1.5.19</t>
  </si>
  <si>
    <t>Suministro e instalación de mueble bajo en madera aglomerada RH con recubrimiento color blanco, que incluye mesón en quarstone color blanco polar, estufa integral 4 puestos y lavaplatos. Conformada por suministro y montaje de puertas, bisagras metálicas, manijas, entrepaños y todos los accesorios necesarios para su correcta instalación y funcionamiento. Dimensiones aproximadas: 1,93 m de longitud, 0,60 m de ancho y 0,90 m de altura.</t>
  </si>
  <si>
    <t>1.5.20</t>
  </si>
  <si>
    <t>Desmonte de mueble alto que incluye extractor eléctrico. La disposición final de los elementos retirados se pagará en su respectivo ítem.  Dimensiones aproximadas: 1,00 m de longitud y 0,60 m de ancho.</t>
  </si>
  <si>
    <t>1.5.21</t>
  </si>
  <si>
    <t>Suministro e instalación de mueble alto en madera aglomerada RH con recubrimiento color blanco, que incluye extractor eléctrico, puertas, bisagras metálicas, manijas, espacio para horno microondas, entrepaño y todos los accesorios requeridos para su correcta instalación y funcionamiento. Dimensiones aproximadas: 1,00 m de longitud y 0,60 m de ancho.</t>
  </si>
  <si>
    <t>Suministro e instalación de piso en porcelanato antideslizante beige, referencia Corona línea Siena Beige 60x60 cm (o equivalente aprobado), colocado con adhesivo tipo porcelanato sobre superficie nivelada, con emboquillado en cemento blanco pigmentado zinc. Incluye grafismos de colores según diseño específico y todos los materiales, herramientas y mano de obra necesarios para su correcta ejecución.</t>
  </si>
  <si>
    <t>Suministro e instalación de zócalo recto perimetral de 10 cm de altura en porcelanato beige de la misma referencia y color del piso (Corona línea Siena Beige 60x60 cm o equivalente aprobado), con cortes y remates limpios, pegado con adhesivo tipo porcelanato y emboquillado en cemento blanco pigmentado zinc. Incluye materiales, herramientas y mano de obra necesaria para su correcta ejecución.</t>
  </si>
  <si>
    <t>1.6.4</t>
  </si>
  <si>
    <t>Suministro e instalación de enchape para muros de baños en losa cerámica antideslizante Vancouver de la marca Corona o equivalente, color humo, con emboquillado de juntas en cemento blanco y blanco zinc. Incluye la colocación de grafismos de colores según diseño específico, así como todos los materiales, herramientas y mano de obra necesarios para su correcta ejecución.</t>
  </si>
  <si>
    <t>1.6.5</t>
  </si>
  <si>
    <t>Suministro e instalación de enchape para pisos de baños o cocina en losa cerámica antideslizante Vancouver de la marca Corona o equivalente, color gris, con emboquillado de juntas en cemento blanco y blanco zinc. Incluye la colocación de grafismos de colores según diseño específico, así como todos los materiales, herramientas y mano de obra necesarios para su correcta ejecución.</t>
  </si>
  <si>
    <t>1.6.6</t>
  </si>
  <si>
    <t>Suministro e instalación de enchape para pared de cocina, referencia Natal Blanco Cara Única 30 × 60 cm de la marca Corona o equivalente, color gris, con emboquillado de juntas en cemento blanco y blanco zinc. Incluye la colocación de grafismos de colores según diseño específico, así como todos los materiales, herramientas y mano de obra necesarios para su correcta ejecución.</t>
  </si>
  <si>
    <t>DESMONTE EQUIPOS Y APARATOS</t>
  </si>
  <si>
    <t xml:space="preserve">Suministro e instalación de ductería para extractor de 12" </t>
  </si>
  <si>
    <t xml:space="preserve">Desmonte de puntos eléctricos incluye tomas, luminarias, interruptores, tubería, cajas, cableado y demás elementos y disposición final de escombro en sitio autorizado. </t>
  </si>
  <si>
    <t>Suministro e instalación de 3 metros de salida para luminaria led de 24 w, ip 20, multivoltage 110 - 240 v material aluminio blanco, marco metálico, incluye luminaria, punto eléctrico accesorios de instalación, caja con suplemento, tubería emt si es a la vista o pvc tipo pesado   embebida (regate y resane) en muro, con accesorios de unión, fijación de tubería, marcación según retie y alimentador en cable cu no.12 (f+n+t)awg-thhn/thwn-2 y todo para su correcto funcionamiento.</t>
  </si>
  <si>
    <t>Suministro e instalación de 3 metros de salida para interruptor doble, incluye aparato, marcación con cinta, conectores de resorte, accesorios de instalación y fijación, caja con suplemento, tubería emt  o pvc tipo pesado embebida (regate y resane) en muro, con accesorios de unión, fijación de tubería, marcación según retie y alimentadores en cable cu no.12 (f+n+t) awg-thhn/thwn-2 y todo para su correcto funcionamiento</t>
  </si>
  <si>
    <t xml:space="preserve">Suministro e instalación de 3 metros de salida para tomacorriente doble gfci, 125v, 20a, incluye toma, marcación, conectores de resorte, accesorios de instalación, caja con suplemento, tubería emt o canaleta si es a la vista y pvc tipo pesado   embebida (regate y resane) en muro, con accesorios de unión, fijación de tubería, marcación según retie y alimentador en cable cu no.12 (f+n+t)awg-thhn/thwn-2 y todo para su correcto funcionamiento.   </t>
  </si>
  <si>
    <t>Suministro e instalación de tablero electrico de 24 circuitos 220v / 120v, trifasico legrand o de caracteristicas superiores. llamado tablero de laboratorio semap semap incluye barraje 100  incluye espacio y breaker totalizador con unidad de disparo termomagnética regulable 60a, 14 breakers enchufables monopolares de 20 amp y 5 breakers bipolares de 30 a, legrand, siemens, abb, scheneider, incluye las siguientes especificaciones: bordes de la tapa del tablero redondeado y sin filos para mayor seguridad durante la manipulación, color blanco ral9010 con pintura electrostática y acabado texturizado que evita las ralladuras, mecanismo de cierre con chapa que garantizan el correcto cierre de la puerta, módulos ciegos removibles plásticos que pueden ser instalados nuevamente en el espacio que se desee, barraje 3 fases, neutro y tierra incluida, barraje con punta biselada para fácil y perfecto acople del cortocircuito, caja en lámina metálica calibre 18/16 o 14 y con pintura electrostática, prerrupturas para conexión de tuberías pvc - emt de ½” a 2” en sus cuatro caras, demarcación, incluye etiqetas de peligro, nombre del tablero, diagrama unifilar, cuadros de carga, frente muerto, cintas, amarres y todo lo requerido elementos de fijacion, transporte, izaje y ubicación de tablero, el tablerista fabricante debe adjuntar los certificados de conformidad con el retie, incluyendo registro de pruebas y protocolos vigentes exigidos.</t>
  </si>
  <si>
    <t>Suministro, tendida e instalación de acometida eléctrica en cable 3f n2 +1n no. 2 +1t no8 thwn /awg /cu, incluye terminales, accesorios y elementos de fijación para su correcto funcionamiento.</t>
  </si>
  <si>
    <t>Suministro e instalación de canalización 2 in  tubería imc a la interperie, emt si es a la vista, emt o sch 40 si es en cielo raso, o pvc tipo pesado embebida (regate y resane) en muro, con accesorios de unión, fijación de tubería, marcación según retie  incluye ducto accesorios y elementos de fijación para su correcto funcionamiento.</t>
  </si>
  <si>
    <t>Suministro e instalación de canalización 3/4 in  tubería imc a la intemperie, emt si es a la vista, emt o sch 40 si es en cielo raso, o pvc tipo pesado embebida (regate y resane) en muro, con accesorios de unión, fijación de tubería, marcación según retie  incluye ducto accesorios y elementos de fijación para su correcto funcionamiento..</t>
  </si>
  <si>
    <t xml:space="preserve">Suministro e instalación de canalización 1-1/2 in tubería imc a la intemperie, emt si es a la vista, emt o sch 40 si es en cielo raso, o pvc tipo pesado embebida (regate y resane) en muro, con accesorios de unión, fijación de tubería, marcación según retie  incluye ducto accesorios y elementos de fijación para su correcto funcionamiento.  </t>
  </si>
  <si>
    <t>Suministro, tendida e instalación de acometida eléctrica en cable 2f n6+1n # 6 +1t no10 thwn/awg/cu, incluye terminales, accesorios y elementos de fijación para su correcto funcionamiento.</t>
  </si>
  <si>
    <t>2.4.11</t>
  </si>
  <si>
    <t>Suministro e instalación de tablero eléctrico de 18 o 20 circuitos 220v / 120v, bifásico legrand o de caracteristicas superiores. llamado tablero de local edif cafe  incluye barraje incluye espacio y breaker totalizador con unidad de disparo termomagnética regulable 50 a, 8 breakers enchufables monopolares de 20 amp y 2 breakers bipolares de 30 a, legrand, siemens, abb, scheneider, incluye las siguientes especificaciones: bordes de la tapa del tablero redondeado y sin filos para mayor seguridad durante la manipulación, color blanco ral9010 con pintura electrostática y acabado texturizado que evita las ralladuras, mecanismo de cierre con chapa que garantizan el correcto cierre de la puerta, módulos ciegos removibles plásticos que pueden ser instalados nuevamente en el espacio que se desee, barraje 3 fases, neutro y tierra incluida, barraje con punta biselada para fácil y perfecto acople del cortocircuito, caja en lámina metálica calibre 18/16 o 14 y con pintura electrostática, prerrupturas para conexión de tuberías pvc - emt de ½” a 2” en sus cuatro caras, demarcación, incluye etiquetas de peligro, nombre del tablero, diagrama unifilar, cuadros de carga, frente muerto, cintas, amarres y todo lo requerido elementos de fijación, transporte, izaje y ubicación de tablero, el tablerista fabricante debe adjuntar los certificados de conformidad con el retie, incluyendo registro de pruebas y protocolos vigentes exigidos.</t>
  </si>
  <si>
    <t xml:space="preserve">Suministro de un blower de extracción de 220V, 60Hz, 1800 RPM, acompañado de una rejilla para salida de aire de 12" para instalación en pared. El servicio incluye todos los accesorios necesarios para garantizar su correcto funcionamiento, así como la instalación completa del sistema. </t>
  </si>
  <si>
    <t>Suministro e instalación unidad de aire acondicionado tipo mini split, 18000Btu, inverter 220v, eficiencia energetica "A" o su equivalencia en SER mayor o igual a 5.10, consistente en 01 unidad evaporadora y 01 unidad condensadora, se requiere instalación de tubería de cobre con recubrimiento de tubería  poliuretano de alta resistencia, cableado encauchutado, breaker termomagnético seccionador para 220V, protección brekaer matic, bomba de condensado, tubería de drenaje, punto de conexión a 220V, canaleta de 60x40 mm para recubrimiento de tubería en exteriores e interiores con tapa, para fachada  y todo lo necesario para su perfecta instalación y funcionamiento. (Deacuerdo necesidad del supervisor)</t>
  </si>
  <si>
    <t>ITEM</t>
  </si>
  <si>
    <t>ESPECIFICACIONES TECNICAS</t>
  </si>
  <si>
    <t xml:space="preserve">Suministro y aplicación de pintura antihuemedad para exteriores blanco tipo 1 agrilico a tres (3) manos, incluye arreglo de filos, dilataciones reparación de fisuras y correciones de humedades con resina acuosa de impregnación, reconformación de esquineros, incluye trabajo en alturas todos los materiales, accesorios y elementos necesarios para su correcta aplicación y funcionamiento. </t>
  </si>
  <si>
    <r>
      <rPr>
        <b/>
        <sz val="10"/>
        <rFont val="Arial Narrow"/>
        <family val="2"/>
      </rPr>
      <t xml:space="preserve">Preparación: </t>
    </r>
    <r>
      <rPr>
        <sz val="10"/>
        <rFont val="Arial Narrow"/>
        <family val="2"/>
      </rPr>
      <t xml:space="preserve">
• Remueva completamente la pintura o recubrimiento que se encuentre suelto o deteriorado con lija o rasqueta. 
• En superficies estucadas: resane con Estuco Acrílico, y asegure que no queden grietas ni fisuras sobre la superficie.
</t>
    </r>
    <r>
      <rPr>
        <b/>
        <sz val="10"/>
        <rFont val="Arial Narrow"/>
        <family val="2"/>
      </rPr>
      <t xml:space="preserve">Sistema de pintura: </t>
    </r>
    <r>
      <rPr>
        <sz val="10"/>
        <rFont val="Arial Narrow"/>
        <family val="2"/>
      </rPr>
      <t xml:space="preserve">
• Aplicación de pintura antihumedad de acuerdo con proceso constructivo recomendado por el fabricante.
• Aplique de 1 a 3 manos (capas) de pintura con brocha o rodillo, de acuerdo con requerimiento de la actividad a ejecutar.
</t>
    </r>
    <r>
      <rPr>
        <b/>
        <sz val="10"/>
        <rFont val="Arial Narrow"/>
        <family val="2"/>
      </rPr>
      <t xml:space="preserve">Características técnicas: </t>
    </r>
    <r>
      <rPr>
        <sz val="10"/>
        <rFont val="Arial Narrow"/>
        <family val="2"/>
      </rPr>
      <t xml:space="preserve">
• Remoción de manchas (lavabilidad) ≥80%
• Resistencia a la abrasión ≥400 ciclos
• Poder cubriente ≥96%.</t>
    </r>
  </si>
  <si>
    <t xml:space="preserve">Mantenimieno preventivo y correctivo de barandas metalica de 4 hilos exterior del piso en acero inoxidable, tubo (1″1/2 y 2″) en acero inoxidable con soporte para 4 hilos en tubo metalico cold rolled 1.5"con tapa lateral soldada, incluye el reemplazo de partes y accesorios fuera de servicio y acabados de elementos metalicos en pintura electrostática poliester color ris texturizado, acabado natural para el acero inoxidable, incluye todo el material, elementos y accesorios necesarios para su correcta instalación y funcionamiento </t>
  </si>
  <si>
    <r>
      <rPr>
        <b/>
        <sz val="10"/>
        <color theme="1"/>
        <rFont val="Arial Narrow"/>
        <family val="2"/>
      </rPr>
      <t xml:space="preserve">Características técnicas acero inoxidable: </t>
    </r>
    <r>
      <rPr>
        <sz val="10"/>
        <color theme="1"/>
        <rFont val="Arial Narrow"/>
        <family val="2"/>
      </rPr>
      <t xml:space="preserve">
• Tubos en acero inoxidable AISI 304
• Antimagnetico 100%
• Diámetro nominal de tubo: 1-1/2” con 3.68 mm de espesor
</t>
    </r>
    <r>
      <rPr>
        <b/>
        <sz val="10"/>
        <color theme="1"/>
        <rFont val="Arial Narrow"/>
        <family val="2"/>
      </rPr>
      <t xml:space="preserve">Sistema de acabado del acero inoxidable: </t>
    </r>
    <r>
      <rPr>
        <sz val="10"/>
        <color theme="1"/>
        <rFont val="Arial Narrow"/>
        <family val="2"/>
      </rPr>
      <t xml:space="preserve">
• Aplicación de pasta para pulido POLISH, acabado con alto brillo.
</t>
    </r>
    <r>
      <rPr>
        <b/>
        <sz val="10"/>
        <color theme="1"/>
        <rFont val="Arial Narrow"/>
        <family val="2"/>
      </rPr>
      <t>Fijación a suelo:</t>
    </r>
    <r>
      <rPr>
        <sz val="10"/>
        <color theme="1"/>
        <rFont val="Arial Narrow"/>
        <family val="2"/>
      </rPr>
      <t xml:space="preserve">
• Tornillo M80 x 60 con taco metálico expansivo adecuado para suelos de hormigón 
• Perforación diámetro 10 mm, profundidad mínima 53 cm
• Espesor mínimo del material base 90 mm</t>
    </r>
  </si>
  <si>
    <t xml:space="preserve">Suministro y aplicaciòn de pintura antihumedad para interiores blanco tipo 1 a 3 manos, incluye arreglo de filos, dilataciones, reparaciones de fisuras, correciones de humedades y todos accesrios y elementos necesarios para su correcta instalación y funcionamiento. </t>
  </si>
  <si>
    <t xml:space="preserve">Suministro e instalación de tapa en lamina de alfajor de 3mm de espesor, con dimensiones de 0.65x0.65m, y agulo de hierro de 3" x3/16" para caja de inspección, incluye tanto tapa como marco, pintura, asa de izaje en barra lisa de 3/8" y todos los anclajes para asegurar una correcta sujeción y todos elementos necesarios para su correcta instalación y puesta en funcionamiento </t>
  </si>
  <si>
    <r>
      <rPr>
        <b/>
        <sz val="10"/>
        <color theme="1"/>
        <rFont val="Arial Narrow"/>
        <family val="2"/>
      </rPr>
      <t>Características técnicas lamina:</t>
    </r>
    <r>
      <rPr>
        <sz val="10"/>
        <color theme="1"/>
        <rFont val="Arial Narrow"/>
        <family val="2"/>
      </rPr>
      <t xml:space="preserve">
• Lámina estructural de bajo carbono, laminado en caliente con grabados superficiales que permiten mayor agarre, estas características la hacen especial para uso industrial, en zonas con circulación de personal, donde se necesita un material durable y antideslizante
• Estándar ASTM A-36 antideslizante
• Espesor 3mm
</t>
    </r>
    <r>
      <rPr>
        <b/>
        <sz val="10"/>
        <color theme="1"/>
        <rFont val="Arial Narrow"/>
        <family val="2"/>
      </rPr>
      <t>Sistema de pintura:</t>
    </r>
    <r>
      <rPr>
        <sz val="10"/>
        <color theme="1"/>
        <rFont val="Arial Narrow"/>
        <family val="2"/>
      </rPr>
      <t xml:space="preserve">
• Recubrimiento base imprimante epóxico Fosfato de Cinc, a un espesor de 3 - 4 mils en película seca.
• Recubrimiento de barrera epóxico con un espesor de 3-4 mils en película seca</t>
    </r>
  </si>
  <si>
    <t xml:space="preserve">Suministro e instalación de tapa en lamina de alfajor de 3mm de espesor, con dimensiones de 1.26x0.65m, y angulo de hierro de 3" x3/16" para estructura de soporte de tapa de caja de inspección interna en bodega, incluye marco, pintura antihumedad color blanco, asa de izaje en barra lisa de 3/8" y todos los anclajes para asegurar una correcta sujeción, y todos elementos necesarios para su correcta instalación y puesta en funcionamiento </t>
  </si>
  <si>
    <t>Mantenimiento correctivo consistente en cambio de acometida electrica, puntos de conexión, interuptores electricos color blanco 110v, 10amp dobles con polo a tierra, tomas electricos color blanco 110v, 15amp dobles con polo a tierra, nteruptores con toma electricos color blanco 110v, 10amp x 15 amp, dobles con polo a tierra y puntos de conexión de iluminación incluye todos los elementos necesarios para su correcta instalación y funcionamiento.</t>
  </si>
  <si>
    <r>
      <rPr>
        <b/>
        <sz val="10"/>
        <rFont val="Arial Narrow"/>
        <family val="2"/>
      </rPr>
      <t xml:space="preserve">  Conductores eléctricos:</t>
    </r>
    <r>
      <rPr>
        <sz val="10"/>
        <rFont val="Arial Narrow"/>
        <family val="2"/>
      </rPr>
      <t xml:space="preserve"> 
• Circuitos de iluminación: Conductor THHN/THWN-2, AWG 12, 600V, 90°C
• Circuitos de tomacorrientes: Conductor THHN/THWN-2, AWG 10, 600V, 90°C
• Acometidas principales: Cálculo según NTC 2050, sección 220, mínimo AWG 8
• Todos los conductores deberán tener certificación de producto según RETIE
   </t>
    </r>
    <r>
      <rPr>
        <b/>
        <sz val="10"/>
        <rFont val="Arial Narrow"/>
        <family val="2"/>
      </rPr>
      <t xml:space="preserve">Protecciones eléctricas: </t>
    </r>
    <r>
      <rPr>
        <sz val="10"/>
        <rFont val="Arial Narrow"/>
        <family val="2"/>
      </rPr>
      <t xml:space="preserve">
• Tableros con certificación NEMA 3R para exteriores o áreas húmedas
• Interruptores automáticos con capacidad interruptiva mínima de 10 kA a 240V
• Supresores de transientes (DPS) Tipo 2 en tableros, con capacidad mínima de 40 kA por fase</t>
    </r>
  </si>
  <si>
    <t>Sunimisntro e instalacion de luz lampara spot led de incrustar 12w, 11cm x 51 cm, ip65 con punto electrico y todo lo necesario para su correcto funcionamiento, retiro de las existentes en sitio.</t>
  </si>
  <si>
    <r>
      <rPr>
        <b/>
        <sz val="10"/>
        <color theme="1"/>
        <rFont val="Arial Narrow"/>
        <family val="2"/>
      </rPr>
      <t xml:space="preserve">  Sistemas de iluminación interior: </t>
    </r>
    <r>
      <rPr>
        <sz val="10"/>
        <color theme="1"/>
        <rFont val="Arial Narrow"/>
        <family val="2"/>
      </rPr>
      <t xml:space="preserve">
• Luminarias LED con índice de protección mínimo IP65
• Cumplir con ultimas disposiciones RETILAP
• Temperatura de color: 4000K ±200K para áreas de trabajo
• Vida útil certificada: mínimo 25,000 horas </t>
    </r>
  </si>
  <si>
    <t>suministro e instalacion reflector led 600w ip65 alta potencia para exteriores con punto electrico y todo lo necesario para su correcto funcionamiento, desmonte y retiro de los existentes en sitio.</t>
  </si>
  <si>
    <r>
      <rPr>
        <b/>
        <sz val="10"/>
        <color theme="1"/>
        <rFont val="Arial Narrow"/>
        <family val="2"/>
      </rPr>
      <t xml:space="preserve">  Sistemas de iluminación exterior: </t>
    </r>
    <r>
      <rPr>
        <sz val="10"/>
        <color theme="1"/>
        <rFont val="Arial Narrow"/>
        <family val="2"/>
      </rPr>
      <t xml:space="preserve">
• Luminarias LED con índice de protección mínimo IP65 para exteriores
• Factor de potencia ≥ 0.90 conforme a RETILAP
• Temperatura de color: 4000K ±200K para áreas de trabajo
• Vida útil certificada: mínimo 50,000 horas L70</t>
    </r>
  </si>
  <si>
    <t>suministro e instalacion de luz led tortuga exteriores potencia 12w, tensión de operación 110v flujo luminoso 960lm, vida util 25000h,con punto electrico y todo lo necesario para su correcto funcionamiento desmonte y retiro de los existentes en sitio.</t>
  </si>
  <si>
    <t>suministro e instalación de panel led de 60 x 60, 40w, 3200lm, 4000k, 110v, incluye punto electrico, material y equipo necesario para su instalación y funcionamiento.</t>
  </si>
  <si>
    <t>suministro e instalación de iluminacion lámpara de emergencia led 2 luces x 2w (4w) 100-240v luces giratorias 90. punto electrico cableado y todo lo necesario para su correcta intalacion y funcionamiento.</t>
  </si>
  <si>
    <t>El monorrof es portante la nsr 10 obliga a q sean 80 kg\ m2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</si>
</sst>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 #,##0.00_-;\-&quot;$&quot;\ * #,##0.00_-;_-&quot;$&quot;\ * &quot;-&quot;??_-;_-@_-"/>
    <numFmt numFmtId="164" formatCode="_(&quot;$&quot;\ * #,##0.00_);_(&quot;$&quot;\ * \(#,##0.00\);_(&quot;$&quot;\ * &quot;-&quot;??_);_(@_)"/>
    <numFmt numFmtId="165" formatCode="&quot;$&quot;\ #,##0.00"/>
    <numFmt numFmtId="166" formatCode="&quot;$&quot;\ #,##0.0000"/>
    <numFmt numFmtId="167" formatCode="&quot;$&quot;\ #,##0"/>
    <numFmt numFmtId="168" formatCode="_-\$* #,##0_-;_-\$* \(#,##0\)_-;_-\$* \-_-;_-@_-"/>
    <numFmt numFmtId="169" formatCode="#,000"/>
    <numFmt numFmtId="170" formatCode="\$#,##0"/>
  </numFmts>
  <fonts count="28" x14ac:knownFonts="1">
    <font>
      <sz val="11"/>
      <color theme="1"/>
      <name val="Calibri"/>
      <family val="2"/>
      <scheme val="minor"/>
    </font>
    <font>
      <sz val="10"/>
      <color theme="1"/>
      <name val="Arial Narrow"/>
      <family val="2"/>
    </font>
    <font>
      <sz val="11"/>
      <color theme="1"/>
      <name val="Calibri"/>
      <family val="2"/>
      <scheme val="minor"/>
    </font>
    <font>
      <sz val="8"/>
      <color theme="1"/>
      <name val="Arial"/>
      <family val="2"/>
    </font>
    <font>
      <sz val="8"/>
      <name val="Arial"/>
      <family val="2"/>
    </font>
    <font>
      <b/>
      <sz val="8"/>
      <color theme="1"/>
      <name val="Arial"/>
      <family val="2"/>
    </font>
    <font>
      <b/>
      <sz val="8"/>
      <name val="Arial"/>
      <family val="2"/>
    </font>
    <font>
      <sz val="8"/>
      <color rgb="FF000000"/>
      <name val="Arial"/>
      <family val="2"/>
    </font>
    <font>
      <b/>
      <sz val="8"/>
      <color rgb="FF000000"/>
      <name val="Arial"/>
      <family val="2"/>
    </font>
    <font>
      <sz val="8"/>
      <color rgb="FFFF0000"/>
      <name val="Arial"/>
      <family val="2"/>
    </font>
    <font>
      <sz val="10"/>
      <name val="Arial"/>
      <family val="2"/>
    </font>
    <font>
      <b/>
      <sz val="10"/>
      <color rgb="FF000000"/>
      <name val="Arial Narrow"/>
      <family val="2"/>
    </font>
    <font>
      <sz val="10"/>
      <color rgb="FF000000"/>
      <name val="Arial Narrow"/>
      <family val="2"/>
    </font>
    <font>
      <sz val="10"/>
      <name val="Arial Narrow"/>
      <family val="2"/>
    </font>
    <font>
      <b/>
      <sz val="10"/>
      <name val="Arial Narrow"/>
      <family val="2"/>
    </font>
    <font>
      <sz val="10"/>
      <color theme="1"/>
      <name val="Arial Narrow"/>
      <family val="2"/>
    </font>
    <font>
      <b/>
      <sz val="10"/>
      <color theme="1"/>
      <name val="Arial Narrow"/>
      <family val="2"/>
    </font>
    <font>
      <sz val="8"/>
      <name val="Calibri"/>
      <family val="2"/>
      <scheme val="minor"/>
    </font>
    <font>
      <b/>
      <sz val="9"/>
      <color theme="0"/>
      <name val="Arial"/>
      <family val="2"/>
    </font>
    <font>
      <b/>
      <sz val="9"/>
      <color rgb="FF000000"/>
      <name val="Arial"/>
      <family val="2"/>
    </font>
    <font>
      <sz val="9"/>
      <color rgb="FF000000"/>
      <name val="Arial"/>
      <family val="2"/>
    </font>
    <font>
      <sz val="9"/>
      <name val="Arial"/>
      <family val="2"/>
    </font>
    <font>
      <b/>
      <sz val="9"/>
      <name val="Arial"/>
      <family val="2"/>
    </font>
    <font>
      <sz val="9"/>
      <name val="Arial"/>
      <family val="2"/>
    </font>
    <font>
      <sz val="8"/>
      <name val="Arial"/>
      <family val="2"/>
    </font>
    <font>
      <b/>
      <sz val="9"/>
      <name val="Arial"/>
      <family val="2"/>
    </font>
    <font>
      <b/>
      <sz val="11"/>
      <color theme="1"/>
      <name val="Calibri"/>
      <family val="2"/>
      <scheme val="minor"/>
    </font>
    <font>
      <sz val="9"/>
      <color rgb="FF333333"/>
      <name val="Arial"/>
      <family val="2"/>
    </font>
  </fonts>
  <fills count="18">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0"/>
      </patternFill>
    </fill>
    <fill>
      <patternFill patternType="solid">
        <fgColor theme="0" tint="-0.14999847407452621"/>
        <bgColor indexed="64"/>
      </patternFill>
    </fill>
    <fill>
      <patternFill patternType="solid">
        <fgColor rgb="FF002060"/>
        <bgColor indexed="64"/>
      </patternFill>
    </fill>
    <fill>
      <patternFill patternType="solid">
        <fgColor rgb="FFFFFFFF"/>
        <bgColor indexed="64"/>
      </patternFill>
    </fill>
    <fill>
      <patternFill patternType="solid">
        <fgColor theme="3" tint="0.79998168889431442"/>
        <bgColor indexed="64"/>
      </patternFill>
    </fill>
    <fill>
      <patternFill patternType="solid">
        <fgColor theme="3" tint="-0.249977111117893"/>
        <bgColor indexed="64"/>
      </patternFill>
    </fill>
    <fill>
      <patternFill patternType="solid">
        <fgColor theme="4" tint="0.59999389629810485"/>
        <bgColor indexed="64"/>
      </patternFill>
    </fill>
    <fill>
      <patternFill patternType="solid">
        <fgColor rgb="FFFFFFFF"/>
        <bgColor rgb="FF000000"/>
      </patternFill>
    </fill>
    <fill>
      <patternFill patternType="solid">
        <fgColor rgb="FF00B0F0"/>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thin">
        <color indexed="64"/>
      </bottom>
      <diagonal/>
    </border>
  </borders>
  <cellStyleXfs count="7">
    <xf numFmtId="0" fontId="0" fillId="0" borderId="0"/>
    <xf numFmtId="164" fontId="2" fillId="0" borderId="0" applyFont="0" applyFill="0" applyBorder="0" applyAlignment="0" applyProtection="0"/>
    <xf numFmtId="0" fontId="10" fillId="0" borderId="0"/>
    <xf numFmtId="0" fontId="10" fillId="0" borderId="0"/>
    <xf numFmtId="9" fontId="2" fillId="0" borderId="0" applyFont="0" applyFill="0" applyBorder="0" applyAlignment="0" applyProtection="0"/>
    <xf numFmtId="44" fontId="2" fillId="0" borderId="0" applyFont="0" applyFill="0" applyBorder="0" applyAlignment="0" applyProtection="0"/>
    <xf numFmtId="0" fontId="2" fillId="0" borderId="0"/>
  </cellStyleXfs>
  <cellXfs count="341">
    <xf numFmtId="0" fontId="0" fillId="0" borderId="0" xfId="0"/>
    <xf numFmtId="0" fontId="8" fillId="5" borderId="1" xfId="0" applyFont="1" applyFill="1" applyBorder="1" applyAlignment="1">
      <alignment vertical="center" wrapText="1"/>
    </xf>
    <xf numFmtId="0" fontId="7" fillId="2" borderId="1" xfId="0" applyFont="1" applyFill="1" applyBorder="1" applyAlignment="1">
      <alignment vertical="center" wrapText="1"/>
    </xf>
    <xf numFmtId="0" fontId="4" fillId="2" borderId="1" xfId="0" applyFont="1" applyFill="1" applyBorder="1" applyAlignment="1">
      <alignment horizontal="center" vertical="center" wrapText="1"/>
    </xf>
    <xf numFmtId="2" fontId="4" fillId="2" borderId="1" xfId="0" applyNumberFormat="1" applyFont="1" applyFill="1" applyBorder="1" applyAlignment="1">
      <alignment horizontal="center" vertical="center" wrapText="1"/>
    </xf>
    <xf numFmtId="0" fontId="6" fillId="3" borderId="1" xfId="0" applyFont="1" applyFill="1" applyBorder="1" applyAlignment="1">
      <alignment horizontal="left" vertical="center" wrapText="1"/>
    </xf>
    <xf numFmtId="2" fontId="4" fillId="3" borderId="1" xfId="0" applyNumberFormat="1" applyFont="1" applyFill="1" applyBorder="1" applyAlignment="1">
      <alignment horizontal="center" vertical="center" wrapText="1"/>
    </xf>
    <xf numFmtId="2" fontId="4" fillId="5" borderId="1" xfId="0" applyNumberFormat="1" applyFont="1" applyFill="1" applyBorder="1" applyAlignment="1">
      <alignment horizontal="center" vertical="center" wrapText="1"/>
    </xf>
    <xf numFmtId="0" fontId="4" fillId="2" borderId="1" xfId="0" applyFont="1" applyFill="1" applyBorder="1" applyAlignment="1">
      <alignment horizontal="left" vertical="top" wrapText="1"/>
    </xf>
    <xf numFmtId="2" fontId="4" fillId="2" borderId="7" xfId="0" applyNumberFormat="1" applyFont="1" applyFill="1" applyBorder="1" applyAlignment="1">
      <alignment horizontal="center" vertical="center" wrapText="1"/>
    </xf>
    <xf numFmtId="0" fontId="7" fillId="2" borderId="7" xfId="0" applyFont="1" applyFill="1" applyBorder="1" applyAlignment="1">
      <alignment vertical="center" wrapText="1"/>
    </xf>
    <xf numFmtId="0" fontId="4" fillId="2" borderId="7" xfId="0" applyFont="1" applyFill="1" applyBorder="1" applyAlignment="1">
      <alignment horizontal="center" vertical="center" wrapText="1"/>
    </xf>
    <xf numFmtId="0" fontId="9" fillId="0" borderId="8" xfId="0" applyFont="1" applyBorder="1" applyAlignment="1">
      <alignment horizontal="left" vertical="center" wrapText="1"/>
    </xf>
    <xf numFmtId="0" fontId="6" fillId="3" borderId="9" xfId="0" applyFont="1" applyFill="1" applyBorder="1" applyAlignment="1">
      <alignment horizontal="center" vertical="center" wrapText="1"/>
    </xf>
    <xf numFmtId="0" fontId="6" fillId="5" borderId="9" xfId="0" applyFont="1" applyFill="1" applyBorder="1" applyAlignment="1">
      <alignment horizontal="center" vertical="center"/>
    </xf>
    <xf numFmtId="0" fontId="4" fillId="3"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6" fillId="2" borderId="9" xfId="0" applyFont="1" applyFill="1" applyBorder="1" applyAlignment="1">
      <alignment horizontal="center" vertical="center"/>
    </xf>
    <xf numFmtId="0" fontId="4" fillId="2" borderId="1" xfId="0" applyFont="1" applyFill="1" applyBorder="1" applyAlignment="1">
      <alignment vertical="center" wrapText="1"/>
    </xf>
    <xf numFmtId="0" fontId="3" fillId="0" borderId="0" xfId="0" applyFont="1" applyAlignment="1">
      <alignment vertical="center"/>
    </xf>
    <xf numFmtId="0" fontId="4" fillId="2" borderId="0" xfId="0" applyFont="1" applyFill="1" applyAlignment="1">
      <alignment vertical="center" wrapText="1"/>
    </xf>
    <xf numFmtId="0" fontId="4" fillId="2" borderId="0" xfId="0" applyFont="1" applyFill="1"/>
    <xf numFmtId="0" fontId="4" fillId="2" borderId="0" xfId="0" applyFont="1" applyFill="1" applyAlignment="1">
      <alignment wrapText="1"/>
    </xf>
    <xf numFmtId="0" fontId="3" fillId="2" borderId="0" xfId="0" applyFont="1" applyFill="1" applyAlignment="1">
      <alignment vertical="center"/>
    </xf>
    <xf numFmtId="0" fontId="5" fillId="5" borderId="0" xfId="0" applyFont="1" applyFill="1" applyAlignment="1">
      <alignment vertical="center"/>
    </xf>
    <xf numFmtId="0" fontId="6" fillId="5" borderId="0" xfId="0" applyFont="1" applyFill="1" applyAlignment="1">
      <alignment vertical="center" wrapText="1"/>
    </xf>
    <xf numFmtId="0" fontId="3" fillId="2" borderId="0" xfId="0" applyFont="1" applyFill="1"/>
    <xf numFmtId="0" fontId="4" fillId="2" borderId="0" xfId="0" applyFont="1" applyFill="1" applyAlignment="1">
      <alignment horizontal="center" vertical="center" wrapText="1"/>
    </xf>
    <xf numFmtId="0" fontId="6" fillId="2" borderId="0" xfId="0" applyFont="1" applyFill="1" applyAlignment="1">
      <alignment horizontal="center" vertical="center" wrapText="1"/>
    </xf>
    <xf numFmtId="0" fontId="4" fillId="2" borderId="0" xfId="0" applyFont="1" applyFill="1" applyAlignment="1">
      <alignment horizontal="justify" vertical="center" wrapText="1"/>
    </xf>
    <xf numFmtId="2" fontId="4" fillId="2" borderId="0" xfId="0" applyNumberFormat="1" applyFont="1" applyFill="1" applyAlignment="1">
      <alignment horizontal="center" vertical="center" wrapText="1"/>
    </xf>
    <xf numFmtId="164" fontId="6" fillId="3" borderId="1" xfId="1" applyFont="1" applyFill="1" applyBorder="1" applyAlignment="1">
      <alignment horizontal="center" vertical="center" wrapText="1"/>
    </xf>
    <xf numFmtId="164" fontId="6" fillId="3" borderId="10" xfId="1" applyFont="1" applyFill="1" applyBorder="1" applyAlignment="1">
      <alignment horizontal="center" vertical="center" wrapText="1"/>
    </xf>
    <xf numFmtId="164" fontId="4" fillId="2" borderId="1" xfId="1" applyFont="1" applyFill="1" applyBorder="1" applyAlignment="1">
      <alignment horizontal="center" vertical="center"/>
    </xf>
    <xf numFmtId="164" fontId="4" fillId="2" borderId="1" xfId="1" applyFont="1" applyFill="1" applyBorder="1" applyAlignment="1">
      <alignment wrapText="1"/>
    </xf>
    <xf numFmtId="164" fontId="6" fillId="2" borderId="10" xfId="1" applyFont="1" applyFill="1" applyBorder="1" applyAlignment="1">
      <alignment vertical="center" wrapText="1"/>
    </xf>
    <xf numFmtId="164" fontId="6" fillId="5" borderId="1" xfId="1" applyFont="1" applyFill="1" applyBorder="1" applyAlignment="1">
      <alignment horizontal="center" vertical="center"/>
    </xf>
    <xf numFmtId="164" fontId="4" fillId="2" borderId="7" xfId="1" applyFont="1" applyFill="1" applyBorder="1" applyAlignment="1">
      <alignment horizontal="center" vertical="center"/>
    </xf>
    <xf numFmtId="164" fontId="4" fillId="2" borderId="7" xfId="1" applyFont="1" applyFill="1" applyBorder="1" applyAlignment="1">
      <alignment wrapText="1"/>
    </xf>
    <xf numFmtId="164" fontId="6" fillId="2" borderId="12" xfId="1" applyFont="1" applyFill="1" applyBorder="1" applyAlignment="1">
      <alignment vertical="center" wrapText="1"/>
    </xf>
    <xf numFmtId="164" fontId="4" fillId="2" borderId="0" xfId="1" applyFont="1" applyFill="1" applyAlignment="1">
      <alignment horizontal="center" vertical="center" wrapText="1"/>
    </xf>
    <xf numFmtId="164" fontId="6" fillId="2" borderId="0" xfId="1" applyFont="1" applyFill="1" applyAlignment="1">
      <alignment horizontal="center" vertical="center" wrapText="1"/>
    </xf>
    <xf numFmtId="0" fontId="6" fillId="2" borderId="11" xfId="0" applyFont="1" applyFill="1" applyBorder="1" applyAlignment="1">
      <alignment horizontal="center" vertical="center"/>
    </xf>
    <xf numFmtId="164" fontId="6" fillId="5" borderId="1" xfId="1" applyFont="1" applyFill="1" applyBorder="1" applyAlignment="1">
      <alignment horizontal="center" vertical="center" wrapText="1"/>
    </xf>
    <xf numFmtId="164" fontId="6" fillId="5" borderId="10" xfId="1" applyFont="1" applyFill="1" applyBorder="1" applyAlignment="1">
      <alignment horizontal="center" vertical="center"/>
    </xf>
    <xf numFmtId="164" fontId="6" fillId="6" borderId="16" xfId="1" applyFont="1" applyFill="1" applyBorder="1" applyAlignment="1">
      <alignment horizontal="center" vertical="center" wrapText="1"/>
    </xf>
    <xf numFmtId="0" fontId="8" fillId="2" borderId="1" xfId="0" applyFont="1" applyFill="1" applyBorder="1" applyAlignment="1">
      <alignment vertical="center" wrapText="1"/>
    </xf>
    <xf numFmtId="164" fontId="6" fillId="2" borderId="1" xfId="1" applyFont="1" applyFill="1" applyBorder="1" applyAlignment="1">
      <alignment horizontal="center" vertical="center"/>
    </xf>
    <xf numFmtId="164" fontId="6" fillId="2" borderId="1" xfId="1" applyFont="1" applyFill="1" applyBorder="1" applyAlignment="1">
      <alignment horizontal="center" vertical="center" wrapText="1"/>
    </xf>
    <xf numFmtId="164" fontId="6" fillId="2" borderId="10" xfId="1" applyFont="1" applyFill="1" applyBorder="1" applyAlignment="1">
      <alignment horizontal="center" vertical="center"/>
    </xf>
    <xf numFmtId="0" fontId="5" fillId="2" borderId="0" xfId="0" applyFont="1" applyFill="1" applyAlignment="1">
      <alignment vertical="center"/>
    </xf>
    <xf numFmtId="0" fontId="6" fillId="2" borderId="0" xfId="0" applyFont="1" applyFill="1" applyAlignment="1">
      <alignment vertical="center" wrapText="1"/>
    </xf>
    <xf numFmtId="0" fontId="5" fillId="0" borderId="0" xfId="0" applyFont="1" applyAlignment="1">
      <alignment horizontal="center" vertical="center"/>
    </xf>
    <xf numFmtId="0" fontId="6" fillId="3" borderId="13" xfId="0" applyFont="1" applyFill="1" applyBorder="1" applyAlignment="1">
      <alignment horizontal="center" vertical="center" wrapText="1"/>
    </xf>
    <xf numFmtId="0" fontId="6" fillId="3" borderId="14" xfId="0" applyFont="1" applyFill="1" applyBorder="1" applyAlignment="1">
      <alignment horizontal="center" vertical="center" wrapText="1"/>
    </xf>
    <xf numFmtId="2" fontId="6" fillId="3" borderId="14" xfId="0" applyNumberFormat="1" applyFont="1" applyFill="1" applyBorder="1" applyAlignment="1">
      <alignment horizontal="center" vertical="center" wrapText="1"/>
    </xf>
    <xf numFmtId="164" fontId="6" fillId="3" borderId="14" xfId="1" applyFont="1" applyFill="1" applyBorder="1" applyAlignment="1">
      <alignment horizontal="center" vertical="center" wrapText="1"/>
    </xf>
    <xf numFmtId="164" fontId="6" fillId="3" borderId="15" xfId="1" applyFont="1" applyFill="1" applyBorder="1" applyAlignment="1">
      <alignment horizontal="center" vertical="center" wrapText="1"/>
    </xf>
    <xf numFmtId="0" fontId="11" fillId="0" borderId="0" xfId="0" applyFont="1" applyAlignment="1">
      <alignment horizontal="center" vertical="center" wrapText="1"/>
    </xf>
    <xf numFmtId="0" fontId="12" fillId="0" borderId="0" xfId="0" applyFont="1" applyAlignment="1">
      <alignment horizontal="justify" vertical="center" wrapText="1"/>
    </xf>
    <xf numFmtId="0" fontId="15" fillId="0" borderId="0" xfId="0" applyFont="1" applyAlignment="1">
      <alignment vertical="center"/>
    </xf>
    <xf numFmtId="0" fontId="11" fillId="0" borderId="1" xfId="0" applyFont="1" applyBorder="1" applyAlignment="1">
      <alignment horizontal="center" vertical="center" wrapText="1"/>
    </xf>
    <xf numFmtId="0" fontId="12" fillId="0" borderId="1" xfId="0" applyFont="1" applyBorder="1" applyAlignment="1">
      <alignment horizontal="justify" vertical="center" wrapText="1"/>
    </xf>
    <xf numFmtId="0" fontId="13" fillId="0" borderId="1" xfId="0" applyFont="1" applyBorder="1" applyAlignment="1">
      <alignment horizontal="justify" vertical="center" wrapText="1"/>
    </xf>
    <xf numFmtId="0" fontId="12" fillId="0" borderId="1" xfId="0" applyFont="1" applyBorder="1" applyAlignment="1">
      <alignment vertical="center" wrapText="1"/>
    </xf>
    <xf numFmtId="0" fontId="11" fillId="5" borderId="1" xfId="0" applyFont="1" applyFill="1" applyBorder="1" applyAlignment="1">
      <alignment horizontal="center" vertical="center" wrapText="1"/>
    </xf>
    <xf numFmtId="0" fontId="16" fillId="0" borderId="0" xfId="0" applyFont="1" applyAlignment="1">
      <alignment horizontal="center" vertical="center"/>
    </xf>
    <xf numFmtId="0" fontId="1" fillId="0" borderId="0" xfId="0" applyFont="1" applyAlignment="1">
      <alignment vertical="center"/>
    </xf>
    <xf numFmtId="0" fontId="1" fillId="0" borderId="1" xfId="0" applyFont="1" applyBorder="1" applyAlignment="1">
      <alignment vertical="center" wrapText="1"/>
    </xf>
    <xf numFmtId="0" fontId="1" fillId="0" borderId="0" xfId="0" applyFont="1" applyAlignment="1">
      <alignment vertical="center" wrapText="1"/>
    </xf>
    <xf numFmtId="165" fontId="18" fillId="11" borderId="1" xfId="0" applyNumberFormat="1" applyFont="1" applyFill="1" applyBorder="1" applyAlignment="1">
      <alignment horizontal="center" vertical="center" wrapText="1"/>
    </xf>
    <xf numFmtId="165" fontId="19" fillId="12" borderId="1" xfId="0" applyNumberFormat="1" applyFont="1" applyFill="1" applyBorder="1" applyAlignment="1">
      <alignment horizontal="right" vertical="center"/>
    </xf>
    <xf numFmtId="165" fontId="20" fillId="12" borderId="1" xfId="0" applyNumberFormat="1" applyFont="1" applyFill="1" applyBorder="1" applyAlignment="1">
      <alignment horizontal="right" vertical="center"/>
    </xf>
    <xf numFmtId="44" fontId="20" fillId="2" borderId="0" xfId="5" applyFont="1" applyFill="1" applyAlignment="1">
      <alignment vertical="center" wrapText="1"/>
    </xf>
    <xf numFmtId="0" fontId="20" fillId="2" borderId="0" xfId="0" applyFont="1" applyFill="1" applyAlignment="1">
      <alignment vertical="center" wrapText="1"/>
    </xf>
    <xf numFmtId="0" fontId="20" fillId="10" borderId="0" xfId="0" applyFont="1" applyFill="1" applyAlignment="1">
      <alignment vertical="center" wrapText="1"/>
    </xf>
    <xf numFmtId="0" fontId="19" fillId="6" borderId="0" xfId="0" applyFont="1" applyFill="1" applyAlignment="1">
      <alignment horizontal="center" vertical="center" wrapText="1"/>
    </xf>
    <xf numFmtId="44" fontId="20" fillId="13" borderId="1" xfId="5" applyFont="1" applyFill="1" applyBorder="1" applyAlignment="1">
      <alignment horizontal="center" vertical="center" wrapText="1"/>
    </xf>
    <xf numFmtId="44" fontId="20" fillId="13" borderId="0" xfId="5" applyFont="1" applyFill="1" applyAlignment="1">
      <alignment vertical="center" wrapText="1"/>
    </xf>
    <xf numFmtId="0" fontId="20" fillId="13" borderId="0" xfId="0" applyFont="1" applyFill="1" applyAlignment="1">
      <alignment vertical="center" wrapText="1"/>
    </xf>
    <xf numFmtId="0" fontId="20" fillId="5" borderId="1" xfId="0" applyFont="1" applyFill="1" applyBorder="1" applyAlignment="1">
      <alignment horizontal="center" vertical="center" wrapText="1"/>
    </xf>
    <xf numFmtId="0" fontId="19" fillId="5" borderId="0" xfId="0" applyFont="1" applyFill="1" applyAlignment="1">
      <alignment vertical="center" wrapText="1"/>
    </xf>
    <xf numFmtId="0" fontId="19" fillId="2" borderId="1" xfId="0" applyFont="1" applyFill="1" applyBorder="1" applyAlignment="1">
      <alignment horizontal="center" vertical="center"/>
    </xf>
    <xf numFmtId="0" fontId="20" fillId="2" borderId="0" xfId="0" applyFont="1" applyFill="1" applyAlignment="1">
      <alignment wrapText="1"/>
    </xf>
    <xf numFmtId="0" fontId="19" fillId="2" borderId="0" xfId="0" applyFont="1" applyFill="1" applyAlignment="1">
      <alignment vertical="center" wrapText="1"/>
    </xf>
    <xf numFmtId="165" fontId="20" fillId="2" borderId="0" xfId="0" applyNumberFormat="1" applyFont="1" applyFill="1" applyAlignment="1">
      <alignment horizontal="right" vertical="center" wrapText="1"/>
    </xf>
    <xf numFmtId="0" fontId="20" fillId="2" borderId="0" xfId="0" applyFont="1" applyFill="1"/>
    <xf numFmtId="0" fontId="20" fillId="7" borderId="0" xfId="0" applyFont="1" applyFill="1"/>
    <xf numFmtId="44" fontId="20" fillId="0" borderId="1" xfId="5" applyFont="1" applyBorder="1"/>
    <xf numFmtId="44" fontId="20" fillId="0" borderId="0" xfId="5" applyFont="1"/>
    <xf numFmtId="0" fontId="19" fillId="8" borderId="1" xfId="0" applyFont="1" applyFill="1" applyBorder="1" applyAlignment="1">
      <alignment horizontal="center" vertical="center"/>
    </xf>
    <xf numFmtId="0" fontId="20" fillId="0" borderId="0" xfId="0" applyFont="1"/>
    <xf numFmtId="0" fontId="19" fillId="8" borderId="1" xfId="0" applyFont="1" applyFill="1" applyBorder="1" applyAlignment="1">
      <alignment horizontal="center" vertical="center" wrapText="1"/>
    </xf>
    <xf numFmtId="0" fontId="19" fillId="8" borderId="1" xfId="0" applyFont="1" applyFill="1" applyBorder="1" applyAlignment="1">
      <alignment horizontal="justify" vertical="center" wrapText="1"/>
    </xf>
    <xf numFmtId="2" fontId="19" fillId="8" borderId="1" xfId="0" applyNumberFormat="1" applyFont="1" applyFill="1" applyBorder="1" applyAlignment="1">
      <alignment horizontal="center" vertical="center" wrapText="1"/>
    </xf>
    <xf numFmtId="44" fontId="19" fillId="8" borderId="1" xfId="5" applyFont="1" applyFill="1" applyBorder="1" applyAlignment="1">
      <alignment horizontal="center" vertical="center" wrapText="1"/>
    </xf>
    <xf numFmtId="44" fontId="19" fillId="8" borderId="1" xfId="5" applyFont="1" applyFill="1" applyBorder="1" applyAlignment="1">
      <alignment horizontal="center" vertical="center"/>
    </xf>
    <xf numFmtId="2" fontId="19" fillId="2" borderId="1" xfId="0" applyNumberFormat="1" applyFont="1" applyFill="1" applyBorder="1" applyAlignment="1">
      <alignment horizontal="right" vertical="center"/>
    </xf>
    <xf numFmtId="9" fontId="19" fillId="2" borderId="1" xfId="4" applyFont="1" applyFill="1" applyBorder="1" applyAlignment="1">
      <alignment horizontal="right" vertical="center"/>
    </xf>
    <xf numFmtId="9" fontId="19" fillId="9" borderId="1" xfId="4" applyFont="1" applyFill="1" applyBorder="1" applyAlignment="1">
      <alignment horizontal="right" vertical="center"/>
    </xf>
    <xf numFmtId="0" fontId="19" fillId="2" borderId="0" xfId="0" applyFont="1" applyFill="1" applyAlignment="1">
      <alignment horizontal="center" vertical="center" wrapText="1"/>
    </xf>
    <xf numFmtId="0" fontId="20" fillId="2" borderId="0" xfId="0" applyFont="1" applyFill="1" applyAlignment="1">
      <alignment horizontal="justify" vertical="center" wrapText="1"/>
    </xf>
    <xf numFmtId="0" fontId="20" fillId="2" borderId="0" xfId="0" applyFont="1" applyFill="1" applyAlignment="1">
      <alignment horizontal="center" vertical="center" wrapText="1"/>
    </xf>
    <xf numFmtId="2" fontId="20" fillId="2" borderId="0" xfId="0" applyNumberFormat="1" applyFont="1" applyFill="1" applyAlignment="1">
      <alignment horizontal="center" vertical="center" wrapText="1"/>
    </xf>
    <xf numFmtId="44" fontId="19" fillId="2" borderId="0" xfId="5" applyFont="1" applyFill="1" applyBorder="1" applyAlignment="1">
      <alignment horizontal="right" vertical="center"/>
    </xf>
    <xf numFmtId="44" fontId="19" fillId="7" borderId="0" xfId="5" applyFont="1" applyFill="1" applyBorder="1" applyAlignment="1">
      <alignment horizontal="right" vertical="center"/>
    </xf>
    <xf numFmtId="165" fontId="20" fillId="2" borderId="1" xfId="5" applyNumberFormat="1" applyFont="1" applyFill="1" applyBorder="1" applyAlignment="1">
      <alignment horizontal="center" vertical="center" wrapText="1"/>
    </xf>
    <xf numFmtId="165" fontId="20" fillId="5" borderId="1" xfId="0" applyNumberFormat="1" applyFont="1" applyFill="1" applyBorder="1" applyAlignment="1">
      <alignment horizontal="right" vertical="center" wrapText="1"/>
    </xf>
    <xf numFmtId="165" fontId="20" fillId="2" borderId="1" xfId="5" applyNumberFormat="1" applyFont="1" applyFill="1" applyBorder="1" applyAlignment="1">
      <alignment horizontal="right" vertical="center" wrapText="1"/>
    </xf>
    <xf numFmtId="165" fontId="19" fillId="2" borderId="1" xfId="5" applyNumberFormat="1" applyFont="1" applyFill="1" applyBorder="1" applyAlignment="1">
      <alignment horizontal="right" vertical="center"/>
    </xf>
    <xf numFmtId="164" fontId="20" fillId="2" borderId="0" xfId="1" applyFont="1" applyFill="1" applyAlignment="1">
      <alignment vertical="center" wrapText="1"/>
    </xf>
    <xf numFmtId="164" fontId="20" fillId="10" borderId="0" xfId="1" applyFont="1" applyFill="1" applyAlignment="1">
      <alignment vertical="center" wrapText="1"/>
    </xf>
    <xf numFmtId="164" fontId="19" fillId="6" borderId="0" xfId="1" applyFont="1" applyFill="1" applyAlignment="1">
      <alignment horizontal="center" vertical="center" wrapText="1"/>
    </xf>
    <xf numFmtId="164" fontId="20" fillId="13" borderId="0" xfId="1" applyFont="1" applyFill="1" applyAlignment="1">
      <alignment vertical="center" wrapText="1"/>
    </xf>
    <xf numFmtId="164" fontId="19" fillId="5" borderId="0" xfId="1" applyFont="1" applyFill="1" applyAlignment="1">
      <alignment vertical="center" wrapText="1"/>
    </xf>
    <xf numFmtId="164" fontId="20" fillId="2" borderId="0" xfId="1" applyFont="1" applyFill="1" applyAlignment="1">
      <alignment wrapText="1"/>
    </xf>
    <xf numFmtId="164" fontId="19" fillId="2" borderId="0" xfId="1" applyFont="1" applyFill="1" applyAlignment="1">
      <alignment vertical="center" wrapText="1"/>
    </xf>
    <xf numFmtId="164" fontId="20" fillId="2" borderId="0" xfId="1" applyFont="1" applyFill="1"/>
    <xf numFmtId="164" fontId="20" fillId="0" borderId="0" xfId="1" applyFont="1"/>
    <xf numFmtId="165" fontId="19" fillId="7" borderId="1" xfId="5" applyNumberFormat="1" applyFont="1" applyFill="1" applyBorder="1" applyAlignment="1">
      <alignment vertical="center" wrapText="1"/>
    </xf>
    <xf numFmtId="44" fontId="20" fillId="2" borderId="0" xfId="0" applyNumberFormat="1" applyFont="1" applyFill="1" applyAlignment="1">
      <alignment vertical="center" wrapText="1"/>
    </xf>
    <xf numFmtId="166" fontId="19" fillId="12" borderId="1" xfId="0" applyNumberFormat="1" applyFont="1" applyFill="1" applyBorder="1" applyAlignment="1">
      <alignment horizontal="right" vertical="center"/>
    </xf>
    <xf numFmtId="165" fontId="18" fillId="11" borderId="8" xfId="0" applyNumberFormat="1" applyFont="1" applyFill="1" applyBorder="1" applyAlignment="1">
      <alignment horizontal="center" vertical="center" wrapText="1"/>
    </xf>
    <xf numFmtId="2" fontId="19" fillId="2" borderId="18" xfId="0" applyNumberFormat="1" applyFont="1" applyFill="1" applyBorder="1" applyAlignment="1">
      <alignment horizontal="center" vertical="center"/>
    </xf>
    <xf numFmtId="44" fontId="20" fillId="13" borderId="8" xfId="5" applyFont="1" applyFill="1" applyBorder="1" applyAlignment="1">
      <alignment horizontal="center" vertical="center" wrapText="1"/>
    </xf>
    <xf numFmtId="165" fontId="20" fillId="2" borderId="8" xfId="5" applyNumberFormat="1" applyFont="1" applyFill="1" applyBorder="1" applyAlignment="1">
      <alignment horizontal="right" vertical="center" wrapText="1"/>
    </xf>
    <xf numFmtId="165" fontId="20" fillId="5" borderId="8" xfId="0" applyNumberFormat="1" applyFont="1" applyFill="1" applyBorder="1" applyAlignment="1">
      <alignment horizontal="right" vertical="center" wrapText="1"/>
    </xf>
    <xf numFmtId="10" fontId="19" fillId="9" borderId="8" xfId="4" applyNumberFormat="1" applyFont="1" applyFill="1" applyBorder="1" applyAlignment="1">
      <alignment horizontal="right" vertical="center"/>
    </xf>
    <xf numFmtId="165" fontId="18" fillId="11" borderId="9" xfId="0" applyNumberFormat="1" applyFont="1" applyFill="1" applyBorder="1" applyAlignment="1">
      <alignment horizontal="center" vertical="center" wrapText="1"/>
    </xf>
    <xf numFmtId="165" fontId="18" fillId="11" borderId="10" xfId="5" applyNumberFormat="1" applyFont="1" applyFill="1" applyBorder="1" applyAlignment="1">
      <alignment horizontal="center" vertical="center" wrapText="1"/>
    </xf>
    <xf numFmtId="44" fontId="20" fillId="13" borderId="9" xfId="5" applyFont="1" applyFill="1" applyBorder="1" applyAlignment="1">
      <alignment horizontal="center" vertical="center" wrapText="1"/>
    </xf>
    <xf numFmtId="44" fontId="20" fillId="13" borderId="10" xfId="5" applyFont="1" applyFill="1" applyBorder="1" applyAlignment="1">
      <alignment horizontal="center" vertical="center" wrapText="1"/>
    </xf>
    <xf numFmtId="165" fontId="20" fillId="5" borderId="9" xfId="5" applyNumberFormat="1" applyFont="1" applyFill="1" applyBorder="1" applyAlignment="1">
      <alignment horizontal="right" vertical="center" wrapText="1"/>
    </xf>
    <xf numFmtId="165" fontId="19" fillId="5" borderId="10" xfId="5" applyNumberFormat="1" applyFont="1" applyFill="1" applyBorder="1" applyAlignment="1">
      <alignment horizontal="right" vertical="center" wrapText="1"/>
    </xf>
    <xf numFmtId="165" fontId="20" fillId="2" borderId="9" xfId="5" applyNumberFormat="1" applyFont="1" applyFill="1" applyBorder="1" applyAlignment="1">
      <alignment horizontal="right" vertical="center" wrapText="1"/>
    </xf>
    <xf numFmtId="165" fontId="20" fillId="2" borderId="10" xfId="5" applyNumberFormat="1" applyFont="1" applyFill="1" applyBorder="1" applyAlignment="1">
      <alignment horizontal="right" vertical="center" wrapText="1"/>
    </xf>
    <xf numFmtId="10" fontId="19" fillId="9" borderId="9" xfId="4" applyNumberFormat="1" applyFont="1" applyFill="1" applyBorder="1" applyAlignment="1">
      <alignment horizontal="right" vertical="center"/>
    </xf>
    <xf numFmtId="165" fontId="19" fillId="2" borderId="10" xfId="5" applyNumberFormat="1" applyFont="1" applyFill="1" applyBorder="1" applyAlignment="1">
      <alignment horizontal="right" vertical="center"/>
    </xf>
    <xf numFmtId="0" fontId="21" fillId="2" borderId="1" xfId="0" applyFont="1" applyFill="1" applyBorder="1" applyAlignment="1">
      <alignment horizontal="justify" vertical="center" wrapText="1"/>
    </xf>
    <xf numFmtId="0" fontId="21" fillId="2" borderId="1" xfId="0" applyFont="1" applyFill="1" applyBorder="1" applyAlignment="1">
      <alignment horizontal="center" vertical="center" wrapText="1"/>
    </xf>
    <xf numFmtId="2" fontId="21" fillId="2" borderId="1" xfId="0" applyNumberFormat="1" applyFont="1" applyFill="1" applyBorder="1" applyAlignment="1">
      <alignment horizontal="center" vertical="center" wrapText="1"/>
    </xf>
    <xf numFmtId="167" fontId="19" fillId="2" borderId="10" xfId="5" applyNumberFormat="1" applyFont="1" applyFill="1" applyBorder="1" applyAlignment="1">
      <alignment horizontal="right" vertical="center"/>
    </xf>
    <xf numFmtId="167" fontId="19" fillId="2" borderId="1" xfId="4" applyNumberFormat="1" applyFont="1" applyFill="1" applyBorder="1" applyAlignment="1">
      <alignment horizontal="right" vertical="center"/>
    </xf>
    <xf numFmtId="167" fontId="19" fillId="2" borderId="1" xfId="5" applyNumberFormat="1" applyFont="1" applyFill="1" applyBorder="1" applyAlignment="1">
      <alignment horizontal="right" vertical="center"/>
    </xf>
    <xf numFmtId="0" fontId="21" fillId="2" borderId="1" xfId="0" applyFont="1" applyFill="1" applyBorder="1" applyAlignment="1">
      <alignment horizontal="justify" vertical="top" wrapText="1"/>
    </xf>
    <xf numFmtId="0" fontId="21"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2" fillId="2" borderId="1" xfId="0" applyFont="1" applyFill="1" applyBorder="1" applyAlignment="1">
      <alignment horizontal="center" vertical="center"/>
    </xf>
    <xf numFmtId="0" fontId="21" fillId="0" borderId="1" xfId="0" applyFont="1" applyBorder="1" applyAlignment="1">
      <alignment vertical="center" wrapText="1"/>
    </xf>
    <xf numFmtId="167" fontId="20" fillId="2" borderId="0" xfId="0" applyNumberFormat="1" applyFont="1" applyFill="1" applyAlignment="1">
      <alignment vertical="center" wrapText="1"/>
    </xf>
    <xf numFmtId="168" fontId="20" fillId="2" borderId="9" xfId="5" applyNumberFormat="1" applyFont="1" applyFill="1" applyBorder="1" applyAlignment="1">
      <alignment horizontal="right" vertical="center" wrapText="1"/>
    </xf>
    <xf numFmtId="2" fontId="19" fillId="8" borderId="18" xfId="0" applyNumberFormat="1" applyFont="1" applyFill="1" applyBorder="1" applyAlignment="1">
      <alignment horizontal="center" vertical="center" wrapText="1"/>
    </xf>
    <xf numFmtId="2" fontId="21" fillId="2" borderId="18" xfId="0" applyNumberFormat="1" applyFont="1" applyFill="1" applyBorder="1" applyAlignment="1">
      <alignment horizontal="center" vertical="center" wrapText="1"/>
    </xf>
    <xf numFmtId="2" fontId="19" fillId="2" borderId="18" xfId="0" applyNumberFormat="1" applyFont="1" applyFill="1" applyBorder="1" applyAlignment="1">
      <alignment horizontal="right" vertical="center"/>
    </xf>
    <xf numFmtId="44" fontId="19" fillId="8" borderId="8" xfId="5" applyFont="1" applyFill="1" applyBorder="1" applyAlignment="1">
      <alignment horizontal="center" vertical="center" wrapText="1"/>
    </xf>
    <xf numFmtId="0" fontId="20" fillId="5" borderId="8" xfId="0" applyFont="1" applyFill="1" applyBorder="1" applyAlignment="1">
      <alignment horizontal="center" vertical="center" wrapText="1"/>
    </xf>
    <xf numFmtId="165" fontId="20" fillId="2" borderId="8" xfId="5" applyNumberFormat="1" applyFont="1" applyFill="1" applyBorder="1" applyAlignment="1">
      <alignment horizontal="center" vertical="center" wrapText="1"/>
    </xf>
    <xf numFmtId="44" fontId="19" fillId="8" borderId="28" xfId="5" applyFont="1" applyFill="1" applyBorder="1" applyAlignment="1">
      <alignment horizontal="center" vertical="center" wrapText="1"/>
    </xf>
    <xf numFmtId="44" fontId="19" fillId="8" borderId="29" xfId="5" applyFont="1" applyFill="1" applyBorder="1" applyAlignment="1">
      <alignment horizontal="center" vertical="center"/>
    </xf>
    <xf numFmtId="0" fontId="20" fillId="5" borderId="9" xfId="0" applyFont="1" applyFill="1" applyBorder="1" applyAlignment="1">
      <alignment horizontal="center" vertical="center" wrapText="1"/>
    </xf>
    <xf numFmtId="0" fontId="20" fillId="5" borderId="10" xfId="0" applyFont="1" applyFill="1" applyBorder="1" applyAlignment="1">
      <alignment horizontal="center" vertical="center" wrapText="1"/>
    </xf>
    <xf numFmtId="165" fontId="20" fillId="2" borderId="9" xfId="5" applyNumberFormat="1" applyFont="1" applyFill="1" applyBorder="1" applyAlignment="1">
      <alignment horizontal="center" vertical="center" wrapText="1"/>
    </xf>
    <xf numFmtId="165" fontId="20" fillId="12" borderId="10" xfId="0" applyNumberFormat="1" applyFont="1" applyFill="1" applyBorder="1" applyAlignment="1">
      <alignment horizontal="right" vertical="center"/>
    </xf>
    <xf numFmtId="9" fontId="19" fillId="2" borderId="9" xfId="4" applyFont="1" applyFill="1" applyBorder="1" applyAlignment="1">
      <alignment horizontal="right" vertical="center"/>
    </xf>
    <xf numFmtId="9" fontId="19" fillId="9" borderId="8" xfId="4" applyFont="1" applyFill="1" applyBorder="1" applyAlignment="1">
      <alignment horizontal="right" vertical="center"/>
    </xf>
    <xf numFmtId="165" fontId="20" fillId="2" borderId="0" xfId="0" applyNumberFormat="1" applyFont="1" applyFill="1" applyAlignment="1">
      <alignment vertical="center" wrapText="1"/>
    </xf>
    <xf numFmtId="4" fontId="20" fillId="2" borderId="0" xfId="0" applyNumberFormat="1" applyFont="1" applyFill="1" applyAlignment="1">
      <alignment vertical="center" wrapText="1"/>
    </xf>
    <xf numFmtId="0" fontId="18" fillId="11" borderId="1" xfId="0" applyFont="1" applyFill="1" applyBorder="1" applyAlignment="1">
      <alignment horizontal="center" vertical="center" wrapText="1"/>
    </xf>
    <xf numFmtId="0" fontId="22" fillId="15" borderId="27" xfId="0" applyFont="1" applyFill="1" applyBorder="1" applyAlignment="1">
      <alignment horizontal="center" vertical="center"/>
    </xf>
    <xf numFmtId="0" fontId="22" fillId="15" borderId="27" xfId="0" applyFont="1" applyFill="1" applyBorder="1" applyAlignment="1">
      <alignment horizontal="justify" vertical="center" wrapText="1"/>
    </xf>
    <xf numFmtId="0" fontId="21" fillId="15" borderId="27" xfId="0" applyFont="1" applyFill="1" applyBorder="1" applyAlignment="1">
      <alignment horizontal="center" vertical="center" wrapText="1"/>
    </xf>
    <xf numFmtId="2" fontId="21" fillId="15" borderId="27" xfId="0" applyNumberFormat="1" applyFont="1" applyFill="1" applyBorder="1" applyAlignment="1">
      <alignment horizontal="center" vertical="center" wrapText="1"/>
    </xf>
    <xf numFmtId="0" fontId="22" fillId="5" borderId="27" xfId="0" applyFont="1" applyFill="1" applyBorder="1" applyAlignment="1">
      <alignment horizontal="center" vertical="center"/>
    </xf>
    <xf numFmtId="0" fontId="22" fillId="5" borderId="27" xfId="0" applyFont="1" applyFill="1" applyBorder="1" applyAlignment="1">
      <alignment horizontal="justify" vertical="center" wrapText="1"/>
    </xf>
    <xf numFmtId="0" fontId="21" fillId="5" borderId="27" xfId="0" applyFont="1" applyFill="1" applyBorder="1" applyAlignment="1">
      <alignment horizontal="center" vertical="center" wrapText="1"/>
    </xf>
    <xf numFmtId="2" fontId="21" fillId="5" borderId="27" xfId="0" applyNumberFormat="1"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5" borderId="1" xfId="0" applyFont="1" applyFill="1" applyBorder="1" applyAlignment="1">
      <alignment horizontal="center" vertical="center"/>
    </xf>
    <xf numFmtId="0" fontId="22" fillId="5" borderId="1" xfId="0" applyFont="1" applyFill="1" applyBorder="1" applyAlignment="1">
      <alignment horizontal="justify" vertical="center" wrapText="1"/>
    </xf>
    <xf numFmtId="0" fontId="21" fillId="5" borderId="1" xfId="0" applyFont="1" applyFill="1" applyBorder="1" applyAlignment="1">
      <alignment horizontal="center" vertical="center" wrapText="1"/>
    </xf>
    <xf numFmtId="2" fontId="21" fillId="5" borderId="1" xfId="0" applyNumberFormat="1" applyFont="1" applyFill="1" applyBorder="1" applyAlignment="1">
      <alignment horizontal="center" vertical="center" wrapText="1"/>
    </xf>
    <xf numFmtId="0" fontId="22" fillId="15" borderId="1" xfId="0" applyFont="1" applyFill="1" applyBorder="1" applyAlignment="1">
      <alignment horizontal="center" vertical="center"/>
    </xf>
    <xf numFmtId="0" fontId="22" fillId="15" borderId="1" xfId="0" applyFont="1" applyFill="1" applyBorder="1" applyAlignment="1">
      <alignment horizontal="justify" vertical="center" wrapText="1"/>
    </xf>
    <xf numFmtId="0" fontId="21" fillId="15" borderId="1" xfId="0" applyFont="1" applyFill="1" applyBorder="1" applyAlignment="1">
      <alignment horizontal="center" vertical="center" wrapText="1"/>
    </xf>
    <xf numFmtId="2" fontId="21" fillId="15" borderId="1" xfId="0" applyNumberFormat="1" applyFont="1" applyFill="1" applyBorder="1" applyAlignment="1">
      <alignment horizontal="center" vertical="center" wrapText="1"/>
    </xf>
    <xf numFmtId="0" fontId="21" fillId="12" borderId="1" xfId="0" applyFont="1" applyFill="1" applyBorder="1" applyAlignment="1">
      <alignment horizontal="justify" vertical="center" wrapText="1"/>
    </xf>
    <xf numFmtId="0" fontId="23" fillId="2" borderId="1" xfId="0" applyFont="1" applyFill="1" applyBorder="1" applyAlignment="1">
      <alignment horizontal="center" vertical="center" wrapText="1"/>
    </xf>
    <xf numFmtId="2" fontId="23" fillId="2" borderId="1" xfId="0" applyNumberFormat="1" applyFont="1" applyFill="1" applyBorder="1" applyAlignment="1">
      <alignment horizontal="center" vertical="center" wrapText="1"/>
    </xf>
    <xf numFmtId="0" fontId="23" fillId="2" borderId="7" xfId="0" applyFont="1" applyFill="1" applyBorder="1" applyAlignment="1">
      <alignment horizontal="center" vertical="center" wrapText="1"/>
    </xf>
    <xf numFmtId="2" fontId="23" fillId="2" borderId="7" xfId="0" applyNumberFormat="1" applyFont="1" applyFill="1" applyBorder="1" applyAlignment="1">
      <alignment horizontal="center" vertical="center" wrapText="1"/>
    </xf>
    <xf numFmtId="0" fontId="23" fillId="12" borderId="7" xfId="0" applyFont="1" applyFill="1" applyBorder="1" applyAlignment="1">
      <alignment horizontal="justify" vertical="center" wrapText="1"/>
    </xf>
    <xf numFmtId="0" fontId="23" fillId="12" borderId="1" xfId="0" applyFont="1" applyFill="1" applyBorder="1" applyAlignment="1">
      <alignment horizontal="justify" vertical="center" wrapText="1"/>
    </xf>
    <xf numFmtId="0" fontId="23" fillId="5" borderId="1" xfId="0" applyFont="1" applyFill="1" applyBorder="1" applyAlignment="1">
      <alignment horizontal="center" vertical="center" wrapText="1"/>
    </xf>
    <xf numFmtId="2" fontId="23" fillId="5" borderId="1" xfId="0" applyNumberFormat="1" applyFont="1" applyFill="1" applyBorder="1" applyAlignment="1">
      <alignment horizontal="center" vertical="center" wrapText="1"/>
    </xf>
    <xf numFmtId="0" fontId="21" fillId="16" borderId="31" xfId="0" applyFont="1" applyFill="1" applyBorder="1" applyAlignment="1">
      <alignment horizontal="justify" vertical="center" wrapText="1"/>
    </xf>
    <xf numFmtId="169" fontId="23" fillId="16" borderId="8" xfId="0" applyNumberFormat="1" applyFont="1" applyFill="1" applyBorder="1" applyAlignment="1">
      <alignment horizontal="center" vertical="center" wrapText="1"/>
    </xf>
    <xf numFmtId="0" fontId="21" fillId="16" borderId="1" xfId="0" applyFont="1" applyFill="1" applyBorder="1" applyAlignment="1">
      <alignment horizontal="justify" vertical="center" wrapText="1"/>
    </xf>
    <xf numFmtId="0" fontId="23" fillId="12" borderId="1" xfId="0" applyFont="1" applyFill="1" applyBorder="1" applyAlignment="1">
      <alignment horizontal="center" vertical="center" wrapText="1"/>
    </xf>
    <xf numFmtId="0" fontId="23" fillId="2" borderId="1" xfId="0" applyFont="1" applyFill="1" applyBorder="1" applyAlignment="1">
      <alignment horizontal="justify" vertical="center" wrapText="1"/>
    </xf>
    <xf numFmtId="0" fontId="22" fillId="10" borderId="1" xfId="0" applyFont="1" applyFill="1" applyBorder="1" applyAlignment="1">
      <alignment horizontal="center" vertical="center"/>
    </xf>
    <xf numFmtId="0" fontId="22" fillId="10" borderId="1" xfId="0" applyFont="1" applyFill="1" applyBorder="1" applyAlignment="1">
      <alignment horizontal="justify" vertical="center" wrapText="1"/>
    </xf>
    <xf numFmtId="0" fontId="22" fillId="10" borderId="1" xfId="0" applyFont="1" applyFill="1" applyBorder="1" applyAlignment="1">
      <alignment horizontal="center" vertical="center" wrapText="1"/>
    </xf>
    <xf numFmtId="2" fontId="22" fillId="10" borderId="1" xfId="0" applyNumberFormat="1" applyFont="1" applyFill="1" applyBorder="1" applyAlignment="1">
      <alignment horizontal="center" vertical="center" wrapText="1"/>
    </xf>
    <xf numFmtId="0" fontId="22" fillId="15" borderId="9" xfId="0" applyFont="1" applyFill="1" applyBorder="1" applyAlignment="1">
      <alignment horizontal="center" vertical="center"/>
    </xf>
    <xf numFmtId="0" fontId="22" fillId="7" borderId="9" xfId="0" applyFont="1" applyFill="1" applyBorder="1" applyAlignment="1">
      <alignment horizontal="center" vertical="center"/>
    </xf>
    <xf numFmtId="0" fontId="22" fillId="7" borderId="1" xfId="0" applyFont="1" applyFill="1" applyBorder="1" applyAlignment="1">
      <alignment horizontal="justify" vertical="center" wrapText="1"/>
    </xf>
    <xf numFmtId="0" fontId="21" fillId="7" borderId="1" xfId="0" applyFont="1" applyFill="1" applyBorder="1" applyAlignment="1">
      <alignment horizontal="center" vertical="center" wrapText="1"/>
    </xf>
    <xf numFmtId="2" fontId="21" fillId="7" borderId="1" xfId="0" applyNumberFormat="1" applyFont="1" applyFill="1" applyBorder="1" applyAlignment="1">
      <alignment horizontal="center" vertical="center" wrapText="1"/>
    </xf>
    <xf numFmtId="0" fontId="22" fillId="7" borderId="1" xfId="0" applyFont="1" applyFill="1" applyBorder="1" applyAlignment="1">
      <alignment horizontal="center" vertical="center"/>
    </xf>
    <xf numFmtId="0" fontId="24" fillId="2" borderId="1" xfId="0" applyFont="1" applyFill="1" applyBorder="1" applyAlignment="1">
      <alignment horizontal="justify" vertical="center" wrapText="1"/>
    </xf>
    <xf numFmtId="0" fontId="24" fillId="2" borderId="7" xfId="0" applyFont="1" applyFill="1" applyBorder="1" applyAlignment="1">
      <alignment horizontal="justify" vertical="center" wrapText="1"/>
    </xf>
    <xf numFmtId="0" fontId="25" fillId="7" borderId="1" xfId="0" applyFont="1" applyFill="1" applyBorder="1" applyAlignment="1">
      <alignment horizontal="justify" vertical="center" wrapText="1"/>
    </xf>
    <xf numFmtId="0" fontId="0" fillId="7" borderId="1" xfId="0" applyFill="1" applyBorder="1"/>
    <xf numFmtId="0" fontId="0" fillId="0" borderId="1" xfId="0" applyBorder="1" applyAlignment="1">
      <alignment horizontal="center" vertical="center"/>
    </xf>
    <xf numFmtId="0" fontId="23" fillId="2" borderId="7" xfId="0" applyFont="1" applyFill="1" applyBorder="1" applyAlignment="1">
      <alignment horizontal="justify" vertical="center" wrapText="1"/>
    </xf>
    <xf numFmtId="0" fontId="23" fillId="2" borderId="1" xfId="0" applyFont="1" applyFill="1" applyBorder="1" applyAlignment="1">
      <alignment horizontal="left" vertical="center" wrapText="1"/>
    </xf>
    <xf numFmtId="165" fontId="20" fillId="0" borderId="9" xfId="5" applyNumberFormat="1" applyFont="1" applyFill="1" applyBorder="1" applyAlignment="1">
      <alignment horizontal="right" vertical="center" wrapText="1"/>
    </xf>
    <xf numFmtId="165" fontId="20" fillId="0" borderId="10" xfId="0" applyNumberFormat="1" applyFont="1" applyBorder="1" applyAlignment="1">
      <alignment horizontal="right" vertical="center" wrapText="1"/>
    </xf>
    <xf numFmtId="165" fontId="20" fillId="0" borderId="8" xfId="0" applyNumberFormat="1" applyFont="1" applyBorder="1" applyAlignment="1">
      <alignment horizontal="right" vertical="center" wrapText="1"/>
    </xf>
    <xf numFmtId="165" fontId="20" fillId="0" borderId="1" xfId="0" applyNumberFormat="1" applyFont="1" applyBorder="1" applyAlignment="1">
      <alignment horizontal="right" vertical="center" wrapText="1"/>
    </xf>
    <xf numFmtId="0" fontId="21" fillId="2" borderId="7" xfId="0" applyFont="1" applyFill="1" applyBorder="1" applyAlignment="1">
      <alignment horizontal="justify" vertical="center" wrapText="1"/>
    </xf>
    <xf numFmtId="0" fontId="21" fillId="12" borderId="1" xfId="0" applyFont="1" applyFill="1" applyBorder="1" applyAlignment="1">
      <alignment horizontal="center" vertical="center" wrapText="1"/>
    </xf>
    <xf numFmtId="2" fontId="21" fillId="15" borderId="18" xfId="0" applyNumberFormat="1" applyFont="1" applyFill="1" applyBorder="1" applyAlignment="1">
      <alignment horizontal="center" vertical="center" wrapText="1"/>
    </xf>
    <xf numFmtId="2" fontId="21" fillId="7" borderId="18" xfId="0" applyNumberFormat="1" applyFont="1" applyFill="1" applyBorder="1" applyAlignment="1">
      <alignment horizontal="center" vertical="center" wrapText="1"/>
    </xf>
    <xf numFmtId="2" fontId="21" fillId="0" borderId="18" xfId="0" applyNumberFormat="1" applyFont="1" applyBorder="1" applyAlignment="1">
      <alignment horizontal="center" vertical="center" wrapText="1"/>
    </xf>
    <xf numFmtId="2" fontId="23" fillId="2" borderId="18" xfId="0" applyNumberFormat="1" applyFont="1" applyFill="1" applyBorder="1" applyAlignment="1">
      <alignment horizontal="center" vertical="center" wrapText="1"/>
    </xf>
    <xf numFmtId="2" fontId="23" fillId="7" borderId="18" xfId="0" applyNumberFormat="1" applyFont="1" applyFill="1" applyBorder="1" applyAlignment="1">
      <alignment horizontal="center" vertical="center" wrapText="1"/>
    </xf>
    <xf numFmtId="0" fontId="21" fillId="7" borderId="8" xfId="0" applyFont="1" applyFill="1" applyBorder="1" applyAlignment="1">
      <alignment horizontal="center" vertical="center" wrapText="1"/>
    </xf>
    <xf numFmtId="2" fontId="21" fillId="7" borderId="8" xfId="0" applyNumberFormat="1" applyFont="1" applyFill="1" applyBorder="1" applyAlignment="1">
      <alignment horizontal="center" vertical="center" wrapText="1"/>
    </xf>
    <xf numFmtId="0" fontId="0" fillId="7" borderId="8" xfId="0" applyFill="1" applyBorder="1"/>
    <xf numFmtId="0" fontId="21" fillId="7" borderId="9" xfId="0" applyFont="1" applyFill="1" applyBorder="1" applyAlignment="1">
      <alignment horizontal="center" vertical="center" wrapText="1"/>
    </xf>
    <xf numFmtId="2" fontId="21" fillId="7" borderId="9" xfId="0" applyNumberFormat="1" applyFont="1" applyFill="1" applyBorder="1" applyAlignment="1">
      <alignment horizontal="center" vertical="center" wrapText="1"/>
    </xf>
    <xf numFmtId="2" fontId="21" fillId="7" borderId="10" xfId="0" applyNumberFormat="1" applyFont="1" applyFill="1" applyBorder="1" applyAlignment="1">
      <alignment horizontal="center" vertical="center" wrapText="1"/>
    </xf>
    <xf numFmtId="0" fontId="0" fillId="7" borderId="9" xfId="0" applyFill="1" applyBorder="1"/>
    <xf numFmtId="0" fontId="22" fillId="7" borderId="1" xfId="0" applyFont="1" applyFill="1" applyBorder="1" applyAlignment="1">
      <alignment horizontal="center" vertical="center" wrapText="1"/>
    </xf>
    <xf numFmtId="0" fontId="22" fillId="7" borderId="1" xfId="0" applyFont="1" applyFill="1" applyBorder="1" applyAlignment="1">
      <alignment horizontal="left" vertical="center" wrapText="1"/>
    </xf>
    <xf numFmtId="2" fontId="21" fillId="15" borderId="34" xfId="0" applyNumberFormat="1" applyFont="1" applyFill="1" applyBorder="1" applyAlignment="1">
      <alignment horizontal="center" vertical="center" wrapText="1"/>
    </xf>
    <xf numFmtId="0" fontId="22" fillId="7" borderId="18" xfId="0" applyFont="1" applyFill="1" applyBorder="1" applyAlignment="1">
      <alignment horizontal="center" vertical="center" wrapText="1"/>
    </xf>
    <xf numFmtId="0" fontId="22" fillId="7" borderId="8" xfId="0" applyFont="1" applyFill="1" applyBorder="1" applyAlignment="1">
      <alignment horizontal="center" vertical="center" wrapText="1"/>
    </xf>
    <xf numFmtId="0" fontId="22" fillId="7" borderId="9" xfId="0" applyFont="1" applyFill="1" applyBorder="1" applyAlignment="1">
      <alignment horizontal="center" vertical="center" wrapText="1"/>
    </xf>
    <xf numFmtId="0" fontId="22" fillId="7" borderId="10" xfId="0" applyFont="1" applyFill="1" applyBorder="1" applyAlignment="1">
      <alignment horizontal="center" vertical="center" wrapText="1"/>
    </xf>
    <xf numFmtId="168" fontId="20" fillId="2" borderId="9" xfId="5" applyNumberFormat="1" applyFont="1" applyFill="1" applyBorder="1" applyAlignment="1">
      <alignment horizontal="center" vertical="center" wrapText="1"/>
    </xf>
    <xf numFmtId="165" fontId="20" fillId="2" borderId="23" xfId="5" applyNumberFormat="1" applyFont="1" applyFill="1" applyBorder="1" applyAlignment="1">
      <alignment horizontal="center" vertical="center" wrapText="1"/>
    </xf>
    <xf numFmtId="165" fontId="20" fillId="12" borderId="24" xfId="0" applyNumberFormat="1" applyFont="1" applyFill="1" applyBorder="1" applyAlignment="1">
      <alignment horizontal="right" vertical="center"/>
    </xf>
    <xf numFmtId="168" fontId="20" fillId="2" borderId="23" xfId="5" applyNumberFormat="1" applyFont="1" applyFill="1" applyBorder="1" applyAlignment="1">
      <alignment horizontal="center" vertical="center" wrapText="1"/>
    </xf>
    <xf numFmtId="165" fontId="18" fillId="11" borderId="18" xfId="5" applyNumberFormat="1" applyFont="1" applyFill="1" applyBorder="1" applyAlignment="1">
      <alignment horizontal="center" vertical="center" wrapText="1"/>
    </xf>
    <xf numFmtId="165" fontId="20" fillId="2" borderId="18" xfId="5" applyNumberFormat="1" applyFont="1" applyFill="1" applyBorder="1" applyAlignment="1">
      <alignment horizontal="right" vertical="center" wrapText="1"/>
    </xf>
    <xf numFmtId="167" fontId="19" fillId="2" borderId="18" xfId="5" applyNumberFormat="1" applyFont="1" applyFill="1" applyBorder="1" applyAlignment="1">
      <alignment horizontal="right" vertical="center"/>
    </xf>
    <xf numFmtId="0" fontId="21" fillId="5" borderId="25" xfId="0" applyFont="1" applyFill="1" applyBorder="1" applyAlignment="1">
      <alignment horizontal="center" vertical="center" wrapText="1"/>
    </xf>
    <xf numFmtId="0" fontId="21" fillId="5" borderId="8" xfId="0" applyFont="1" applyFill="1" applyBorder="1" applyAlignment="1">
      <alignment horizontal="center" vertical="center" wrapText="1"/>
    </xf>
    <xf numFmtId="0" fontId="21" fillId="15" borderId="8" xfId="0" applyFont="1" applyFill="1" applyBorder="1" applyAlignment="1">
      <alignment horizontal="center" vertical="center" wrapText="1"/>
    </xf>
    <xf numFmtId="0" fontId="21" fillId="5" borderId="9" xfId="0" applyFont="1" applyFill="1" applyBorder="1" applyAlignment="1">
      <alignment horizontal="center" vertical="center" wrapText="1"/>
    </xf>
    <xf numFmtId="170" fontId="27" fillId="0" borderId="9" xfId="0" applyNumberFormat="1" applyFont="1" applyBorder="1" applyAlignment="1">
      <alignment horizontal="right" vertical="center"/>
    </xf>
    <xf numFmtId="0" fontId="21" fillId="15" borderId="9" xfId="0" applyFont="1" applyFill="1" applyBorder="1" applyAlignment="1">
      <alignment horizontal="center" vertical="center" wrapText="1"/>
    </xf>
    <xf numFmtId="167" fontId="20" fillId="13" borderId="8" xfId="5" applyNumberFormat="1" applyFont="1" applyFill="1" applyBorder="1" applyAlignment="1">
      <alignment horizontal="center" vertical="center" wrapText="1"/>
    </xf>
    <xf numFmtId="0" fontId="21" fillId="7" borderId="30" xfId="0" applyFont="1" applyFill="1" applyBorder="1" applyAlignment="1">
      <alignment horizontal="center" vertical="center" wrapText="1"/>
    </xf>
    <xf numFmtId="165" fontId="20" fillId="2" borderId="29" xfId="5" applyNumberFormat="1" applyFont="1" applyFill="1" applyBorder="1" applyAlignment="1">
      <alignment horizontal="right" vertical="center" wrapText="1"/>
    </xf>
    <xf numFmtId="168" fontId="20" fillId="2" borderId="23" xfId="5" applyNumberFormat="1" applyFont="1" applyFill="1" applyBorder="1" applyAlignment="1">
      <alignment horizontal="right" vertical="center" wrapText="1"/>
    </xf>
    <xf numFmtId="165" fontId="20" fillId="2" borderId="24" xfId="5" applyNumberFormat="1" applyFont="1" applyFill="1" applyBorder="1" applyAlignment="1">
      <alignment horizontal="right" vertical="center" wrapText="1"/>
    </xf>
    <xf numFmtId="44" fontId="19" fillId="8" borderId="18" xfId="5" applyFont="1" applyFill="1" applyBorder="1" applyAlignment="1">
      <alignment horizontal="center" vertical="center"/>
    </xf>
    <xf numFmtId="165" fontId="20" fillId="12" borderId="18" xfId="0" applyNumberFormat="1" applyFont="1" applyFill="1" applyBorder="1" applyAlignment="1">
      <alignment horizontal="right" vertical="center"/>
    </xf>
    <xf numFmtId="170" fontId="21" fillId="0" borderId="28" xfId="0" applyNumberFormat="1" applyFont="1" applyBorder="1" applyAlignment="1">
      <alignment horizontal="right" vertical="center"/>
    </xf>
    <xf numFmtId="170" fontId="21" fillId="0" borderId="9" xfId="0" applyNumberFormat="1" applyFont="1" applyBorder="1" applyAlignment="1">
      <alignment horizontal="right" vertical="center"/>
    </xf>
    <xf numFmtId="165" fontId="22" fillId="15" borderId="10" xfId="0" applyNumberFormat="1" applyFont="1" applyFill="1" applyBorder="1" applyAlignment="1">
      <alignment horizontal="center" vertical="center" wrapText="1"/>
    </xf>
    <xf numFmtId="165" fontId="19" fillId="13" borderId="10" xfId="5" applyNumberFormat="1" applyFont="1" applyFill="1" applyBorder="1" applyAlignment="1">
      <alignment horizontal="center" vertical="center" wrapText="1"/>
    </xf>
    <xf numFmtId="165" fontId="22" fillId="5" borderId="10" xfId="0" applyNumberFormat="1" applyFont="1" applyFill="1" applyBorder="1" applyAlignment="1">
      <alignment horizontal="right" vertical="center" wrapText="1"/>
    </xf>
    <xf numFmtId="164" fontId="22" fillId="7" borderId="10" xfId="1" applyFont="1" applyFill="1" applyBorder="1" applyAlignment="1">
      <alignment horizontal="center" vertical="center" wrapText="1"/>
    </xf>
    <xf numFmtId="165" fontId="26" fillId="7" borderId="10" xfId="0" applyNumberFormat="1" applyFont="1" applyFill="1" applyBorder="1"/>
    <xf numFmtId="164" fontId="22" fillId="7" borderId="1" xfId="1" applyFont="1" applyFill="1" applyBorder="1" applyAlignment="1">
      <alignment horizontal="center" vertical="center" wrapText="1"/>
    </xf>
    <xf numFmtId="165" fontId="22" fillId="7" borderId="10" xfId="0" applyNumberFormat="1" applyFont="1" applyFill="1" applyBorder="1" applyAlignment="1">
      <alignment horizontal="right" vertical="center" wrapText="1"/>
    </xf>
    <xf numFmtId="165" fontId="22" fillId="7" borderId="7" xfId="0" applyNumberFormat="1" applyFont="1" applyFill="1" applyBorder="1" applyAlignment="1">
      <alignment horizontal="right" vertical="center" wrapText="1"/>
    </xf>
    <xf numFmtId="165" fontId="20" fillId="17" borderId="8" xfId="5" applyNumberFormat="1" applyFont="1" applyFill="1" applyBorder="1" applyAlignment="1">
      <alignment horizontal="right" vertical="center" wrapText="1"/>
    </xf>
    <xf numFmtId="165" fontId="20" fillId="17" borderId="9" xfId="5" applyNumberFormat="1" applyFont="1" applyFill="1" applyBorder="1" applyAlignment="1">
      <alignment horizontal="right" vertical="center" wrapText="1"/>
    </xf>
    <xf numFmtId="165" fontId="20" fillId="0" borderId="18" xfId="5" applyNumberFormat="1" applyFont="1" applyFill="1" applyBorder="1" applyAlignment="1">
      <alignment horizontal="right" vertical="center" wrapText="1"/>
    </xf>
    <xf numFmtId="0" fontId="6" fillId="4" borderId="4"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6" fillId="4" borderId="0" xfId="0" applyFont="1" applyFill="1" applyAlignment="1">
      <alignment horizontal="center" vertical="center" wrapText="1"/>
    </xf>
    <xf numFmtId="0" fontId="6" fillId="4" borderId="6" xfId="0" applyFont="1" applyFill="1" applyBorder="1" applyAlignment="1">
      <alignment horizontal="center" vertical="center" wrapText="1"/>
    </xf>
    <xf numFmtId="0" fontId="4" fillId="6" borderId="13" xfId="0" applyFont="1" applyFill="1" applyBorder="1" applyAlignment="1">
      <alignment horizontal="center" vertical="center"/>
    </xf>
    <xf numFmtId="0" fontId="4" fillId="6" borderId="14" xfId="0" applyFont="1" applyFill="1" applyBorder="1" applyAlignment="1">
      <alignment horizontal="center" vertical="center"/>
    </xf>
    <xf numFmtId="164" fontId="6" fillId="6" borderId="16" xfId="1" applyFont="1" applyFill="1" applyBorder="1" applyAlignment="1">
      <alignment horizontal="center" vertical="center" wrapText="1"/>
    </xf>
    <xf numFmtId="164" fontId="6" fillId="6" borderId="17" xfId="1" applyFont="1" applyFill="1" applyBorder="1" applyAlignment="1">
      <alignment horizontal="center" vertical="center" wrapText="1"/>
    </xf>
    <xf numFmtId="165" fontId="18" fillId="14" borderId="1" xfId="5" applyNumberFormat="1" applyFont="1" applyFill="1" applyBorder="1" applyAlignment="1">
      <alignment horizontal="right" vertical="center"/>
    </xf>
    <xf numFmtId="165" fontId="19" fillId="7" borderId="8" xfId="5" applyNumberFormat="1" applyFont="1" applyFill="1" applyBorder="1" applyAlignment="1">
      <alignment horizontal="right" vertical="center" wrapText="1"/>
    </xf>
    <xf numFmtId="165" fontId="19" fillId="7" borderId="1" xfId="5" applyNumberFormat="1" applyFont="1" applyFill="1" applyBorder="1" applyAlignment="1">
      <alignment horizontal="right" vertical="center" wrapText="1"/>
    </xf>
    <xf numFmtId="165" fontId="19" fillId="7" borderId="8" xfId="5" applyNumberFormat="1" applyFont="1" applyFill="1" applyBorder="1" applyAlignment="1">
      <alignment horizontal="right" vertical="center"/>
    </xf>
    <xf numFmtId="165" fontId="19" fillId="7" borderId="1" xfId="5" applyNumberFormat="1" applyFont="1" applyFill="1" applyBorder="1" applyAlignment="1">
      <alignment horizontal="right" vertical="center"/>
    </xf>
    <xf numFmtId="167" fontId="19" fillId="7" borderId="23" xfId="5" applyNumberFormat="1" applyFont="1" applyFill="1" applyBorder="1" applyAlignment="1">
      <alignment horizontal="right" vertical="center"/>
    </xf>
    <xf numFmtId="167" fontId="19" fillId="7" borderId="24" xfId="5" applyNumberFormat="1" applyFont="1" applyFill="1" applyBorder="1" applyAlignment="1">
      <alignment horizontal="right" vertical="center"/>
    </xf>
    <xf numFmtId="167" fontId="18" fillId="14" borderId="27" xfId="5" applyNumberFormat="1" applyFont="1" applyFill="1" applyBorder="1" applyAlignment="1">
      <alignment horizontal="right" vertical="center"/>
    </xf>
    <xf numFmtId="167" fontId="19" fillId="7" borderId="9" xfId="5" applyNumberFormat="1" applyFont="1" applyFill="1" applyBorder="1" applyAlignment="1">
      <alignment horizontal="right" vertical="center"/>
    </xf>
    <xf numFmtId="167" fontId="19" fillId="7" borderId="10" xfId="5" applyNumberFormat="1" applyFont="1" applyFill="1" applyBorder="1" applyAlignment="1">
      <alignment horizontal="right" vertical="center"/>
    </xf>
    <xf numFmtId="167" fontId="19" fillId="7" borderId="9" xfId="5" applyNumberFormat="1" applyFont="1" applyFill="1" applyBorder="1" applyAlignment="1">
      <alignment horizontal="right" vertical="center" wrapText="1"/>
    </xf>
    <xf numFmtId="167" fontId="19" fillId="7" borderId="10" xfId="5" applyNumberFormat="1" applyFont="1" applyFill="1" applyBorder="1" applyAlignment="1">
      <alignment horizontal="right" vertical="center" wrapText="1"/>
    </xf>
    <xf numFmtId="165" fontId="19" fillId="7" borderId="33" xfId="5" applyNumberFormat="1" applyFont="1" applyFill="1" applyBorder="1" applyAlignment="1">
      <alignment horizontal="right" vertical="center"/>
    </xf>
    <xf numFmtId="165" fontId="19" fillId="7" borderId="24" xfId="5" applyNumberFormat="1" applyFont="1" applyFill="1" applyBorder="1" applyAlignment="1">
      <alignment horizontal="right" vertical="center"/>
    </xf>
    <xf numFmtId="165" fontId="19" fillId="7" borderId="9" xfId="5" applyNumberFormat="1" applyFont="1" applyFill="1" applyBorder="1" applyAlignment="1">
      <alignment horizontal="right" vertical="center"/>
    </xf>
    <xf numFmtId="165" fontId="19" fillId="7" borderId="10" xfId="5" applyNumberFormat="1" applyFont="1" applyFill="1" applyBorder="1" applyAlignment="1">
      <alignment horizontal="right" vertical="center"/>
    </xf>
    <xf numFmtId="0" fontId="19" fillId="2" borderId="1" xfId="0" applyFont="1" applyFill="1" applyBorder="1" applyAlignment="1">
      <alignment horizontal="center" vertical="center" wrapText="1"/>
    </xf>
    <xf numFmtId="0" fontId="19" fillId="2" borderId="7" xfId="0" applyFont="1" applyFill="1" applyBorder="1" applyAlignment="1">
      <alignment horizontal="center" vertical="center" wrapText="1"/>
    </xf>
    <xf numFmtId="165" fontId="18" fillId="11" borderId="21" xfId="0" applyNumberFormat="1" applyFont="1" applyFill="1" applyBorder="1" applyAlignment="1">
      <alignment horizontal="center" vertical="center" wrapText="1"/>
    </xf>
    <xf numFmtId="165" fontId="18" fillId="11" borderId="32" xfId="0" applyNumberFormat="1" applyFont="1" applyFill="1" applyBorder="1" applyAlignment="1">
      <alignment horizontal="center" vertical="center" wrapText="1"/>
    </xf>
    <xf numFmtId="165" fontId="18" fillId="11" borderId="28" xfId="0" applyNumberFormat="1" applyFont="1" applyFill="1" applyBorder="1" applyAlignment="1">
      <alignment horizontal="center" vertical="center" wrapText="1"/>
    </xf>
    <xf numFmtId="165" fontId="18" fillId="11" borderId="29" xfId="0" applyNumberFormat="1" applyFont="1" applyFill="1" applyBorder="1" applyAlignment="1">
      <alignment horizontal="center" vertical="center" wrapText="1"/>
    </xf>
    <xf numFmtId="165" fontId="18" fillId="11" borderId="8" xfId="0" applyNumberFormat="1" applyFont="1" applyFill="1" applyBorder="1" applyAlignment="1">
      <alignment horizontal="center" vertical="center" wrapText="1"/>
    </xf>
    <xf numFmtId="165" fontId="18" fillId="11" borderId="1" xfId="0" applyNumberFormat="1" applyFont="1" applyFill="1" applyBorder="1" applyAlignment="1">
      <alignment horizontal="center" vertical="center" wrapText="1"/>
    </xf>
    <xf numFmtId="165" fontId="18" fillId="11" borderId="22" xfId="0" applyNumberFormat="1" applyFont="1" applyFill="1" applyBorder="1" applyAlignment="1">
      <alignment horizontal="center" vertical="center" wrapText="1"/>
    </xf>
    <xf numFmtId="0" fontId="18" fillId="11" borderId="1" xfId="0" applyFont="1" applyFill="1" applyBorder="1" applyAlignment="1">
      <alignment horizontal="center" vertical="center" wrapText="1"/>
    </xf>
    <xf numFmtId="0" fontId="18" fillId="11" borderId="18" xfId="0" applyFont="1" applyFill="1" applyBorder="1" applyAlignment="1">
      <alignment horizontal="center" vertical="center" wrapText="1"/>
    </xf>
    <xf numFmtId="0" fontId="19" fillId="14" borderId="18" xfId="0" applyFont="1" applyFill="1" applyBorder="1" applyAlignment="1">
      <alignment horizontal="center" vertical="center" wrapText="1"/>
    </xf>
    <xf numFmtId="0" fontId="19" fillId="14" borderId="19" xfId="0" applyFont="1" applyFill="1" applyBorder="1" applyAlignment="1">
      <alignment horizontal="center" vertical="center" wrapText="1"/>
    </xf>
    <xf numFmtId="0" fontId="19" fillId="14" borderId="8" xfId="0" applyFont="1" applyFill="1" applyBorder="1" applyAlignment="1">
      <alignment horizontal="center" vertical="center" wrapText="1"/>
    </xf>
    <xf numFmtId="0" fontId="19" fillId="7" borderId="18" xfId="0" applyFont="1" applyFill="1" applyBorder="1" applyAlignment="1">
      <alignment horizontal="right" vertical="center"/>
    </xf>
    <xf numFmtId="0" fontId="19" fillId="7" borderId="19" xfId="0" applyFont="1" applyFill="1" applyBorder="1" applyAlignment="1">
      <alignment horizontal="right" vertical="center"/>
    </xf>
    <xf numFmtId="165" fontId="19" fillId="7" borderId="23" xfId="5" applyNumberFormat="1" applyFont="1" applyFill="1" applyBorder="1" applyAlignment="1">
      <alignment horizontal="right" vertical="center"/>
    </xf>
    <xf numFmtId="165" fontId="19" fillId="7" borderId="36" xfId="5" applyNumberFormat="1" applyFont="1" applyFill="1" applyBorder="1" applyAlignment="1">
      <alignment horizontal="right" vertical="center"/>
    </xf>
    <xf numFmtId="0" fontId="19" fillId="2" borderId="18"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19" fillId="2" borderId="8" xfId="0" applyFont="1" applyFill="1" applyBorder="1" applyAlignment="1">
      <alignment horizontal="center" vertical="center" wrapText="1"/>
    </xf>
    <xf numFmtId="0" fontId="19" fillId="8" borderId="18" xfId="0" applyFont="1" applyFill="1" applyBorder="1" applyAlignment="1">
      <alignment horizontal="center" vertical="center"/>
    </xf>
    <xf numFmtId="0" fontId="19" fillId="8" borderId="19" xfId="0" applyFont="1" applyFill="1" applyBorder="1" applyAlignment="1">
      <alignment horizontal="center" vertical="center"/>
    </xf>
    <xf numFmtId="0" fontId="19" fillId="8" borderId="26" xfId="0" applyFont="1" applyFill="1" applyBorder="1" applyAlignment="1">
      <alignment horizontal="center" vertical="center"/>
    </xf>
    <xf numFmtId="0" fontId="19" fillId="8" borderId="30" xfId="0" applyFont="1" applyFill="1" applyBorder="1" applyAlignment="1">
      <alignment horizontal="center" vertical="center"/>
    </xf>
    <xf numFmtId="0" fontId="19" fillId="2" borderId="18" xfId="0" applyFont="1" applyFill="1" applyBorder="1" applyAlignment="1">
      <alignment horizontal="center" vertical="center"/>
    </xf>
    <xf numFmtId="0" fontId="19" fillId="2" borderId="19" xfId="0" applyFont="1" applyFill="1" applyBorder="1" applyAlignment="1">
      <alignment horizontal="center" vertical="center"/>
    </xf>
    <xf numFmtId="0" fontId="19" fillId="2" borderId="20" xfId="0" applyFont="1" applyFill="1" applyBorder="1" applyAlignment="1">
      <alignment horizontal="center" vertical="center"/>
    </xf>
    <xf numFmtId="0" fontId="19" fillId="2" borderId="25" xfId="0" applyFont="1" applyFill="1" applyBorder="1" applyAlignment="1">
      <alignment horizontal="center" vertical="center"/>
    </xf>
    <xf numFmtId="44" fontId="19" fillId="7" borderId="1" xfId="5" applyFont="1" applyFill="1" applyBorder="1" applyAlignment="1">
      <alignment horizontal="right" vertical="center"/>
    </xf>
    <xf numFmtId="167" fontId="18" fillId="14" borderId="1" xfId="5" applyNumberFormat="1" applyFont="1" applyFill="1" applyBorder="1" applyAlignment="1">
      <alignment horizontal="right" vertical="center"/>
    </xf>
    <xf numFmtId="0" fontId="19" fillId="7" borderId="8" xfId="0" applyFont="1" applyFill="1" applyBorder="1" applyAlignment="1">
      <alignment horizontal="right" vertical="center"/>
    </xf>
    <xf numFmtId="167" fontId="19" fillId="7" borderId="1" xfId="5" applyNumberFormat="1" applyFont="1" applyFill="1" applyBorder="1" applyAlignment="1">
      <alignment horizontal="right" vertical="center"/>
    </xf>
    <xf numFmtId="0" fontId="19" fillId="8" borderId="8" xfId="0" applyFont="1" applyFill="1" applyBorder="1" applyAlignment="1">
      <alignment horizontal="center" vertical="center"/>
    </xf>
    <xf numFmtId="165" fontId="19" fillId="7" borderId="27" xfId="5" applyNumberFormat="1" applyFont="1" applyFill="1" applyBorder="1" applyAlignment="1">
      <alignment horizontal="right" vertical="center"/>
    </xf>
    <xf numFmtId="165" fontId="19" fillId="7" borderId="25" xfId="5" applyNumberFormat="1" applyFont="1" applyFill="1" applyBorder="1" applyAlignment="1">
      <alignment horizontal="right" vertical="center" wrapText="1"/>
    </xf>
    <xf numFmtId="165" fontId="19" fillId="7" borderId="37" xfId="5" applyNumberFormat="1" applyFont="1" applyFill="1" applyBorder="1" applyAlignment="1">
      <alignment horizontal="right" vertical="center" wrapText="1"/>
    </xf>
    <xf numFmtId="167" fontId="19" fillId="7" borderId="27" xfId="5" applyNumberFormat="1" applyFont="1" applyFill="1" applyBorder="1" applyAlignment="1">
      <alignment horizontal="right" vertical="center"/>
    </xf>
    <xf numFmtId="0" fontId="19" fillId="7" borderId="35" xfId="0" applyFont="1" applyFill="1" applyBorder="1" applyAlignment="1">
      <alignment horizontal="right" vertical="center"/>
    </xf>
    <xf numFmtId="165" fontId="19" fillId="7" borderId="9" xfId="5" applyNumberFormat="1" applyFont="1" applyFill="1" applyBorder="1" applyAlignment="1">
      <alignment horizontal="right" vertical="center" wrapText="1"/>
    </xf>
    <xf numFmtId="165" fontId="19" fillId="7" borderId="10" xfId="5" applyNumberFormat="1" applyFont="1" applyFill="1" applyBorder="1" applyAlignment="1">
      <alignment horizontal="right" vertical="center" wrapText="1"/>
    </xf>
  </cellXfs>
  <cellStyles count="7">
    <cellStyle name="Moneda" xfId="1" builtinId="4"/>
    <cellStyle name="Moneda 2" xfId="5" xr:uid="{35E29AA3-217F-4FE2-B9E7-EF765B8F9FEE}"/>
    <cellStyle name="Normal" xfId="0" builtinId="0"/>
    <cellStyle name="Normal 10" xfId="2" xr:uid="{00000000-0005-0000-0000-000003000000}"/>
    <cellStyle name="Normal 2" xfId="3" xr:uid="{00000000-0005-0000-0000-000004000000}"/>
    <cellStyle name="Normal 5" xfId="6" xr:uid="{99BF6DCB-9A9C-4186-9542-333E87BE40B9}"/>
    <cellStyle name="Porcentaje" xfId="4" builtinId="5"/>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8</xdr:col>
      <xdr:colOff>467641</xdr:colOff>
      <xdr:row>29</xdr:row>
      <xdr:rowOff>48323</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0" y="571500"/>
          <a:ext cx="6563641" cy="5001323"/>
        </a:xfrm>
        <a:prstGeom prst="rect">
          <a:avLst/>
        </a:prstGeom>
      </xdr:spPr>
    </xdr:pic>
    <xdr:clientData/>
  </xdr:twoCellAnchor>
  <xdr:twoCellAnchor editAs="oneCell">
    <xdr:from>
      <xdr:col>1</xdr:col>
      <xdr:colOff>0</xdr:colOff>
      <xdr:row>33</xdr:row>
      <xdr:rowOff>0</xdr:rowOff>
    </xdr:from>
    <xdr:to>
      <xdr:col>16</xdr:col>
      <xdr:colOff>115911</xdr:colOff>
      <xdr:row>48</xdr:row>
      <xdr:rowOff>114715</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a:stretch>
          <a:fillRect/>
        </a:stretch>
      </xdr:blipFill>
      <xdr:spPr>
        <a:xfrm>
          <a:off x="762000" y="6286500"/>
          <a:ext cx="11545911" cy="297221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58"/>
  <sheetViews>
    <sheetView view="pageBreakPreview" topLeftCell="A34" zoomScaleNormal="100" zoomScaleSheetLayoutView="100" workbookViewId="0">
      <selection activeCell="B46" sqref="B46"/>
    </sheetView>
  </sheetViews>
  <sheetFormatPr baseColWidth="10" defaultColWidth="11.44140625" defaultRowHeight="10.199999999999999" x14ac:dyDescent="0.3"/>
  <cols>
    <col min="1" max="1" width="9.88671875" style="28" customWidth="1"/>
    <col min="2" max="2" width="57.6640625" style="29" customWidth="1"/>
    <col min="3" max="3" width="8.88671875" style="27" customWidth="1"/>
    <col min="4" max="4" width="8.88671875" style="30" bestFit="1" customWidth="1"/>
    <col min="5" max="5" width="14.44140625" style="40" bestFit="1" customWidth="1"/>
    <col min="6" max="6" width="17.88671875" style="40" customWidth="1"/>
    <col min="7" max="7" width="8.109375" style="40" hidden="1" customWidth="1"/>
    <col min="8" max="8" width="6.88671875" style="40" hidden="1" customWidth="1"/>
    <col min="9" max="9" width="8.109375" style="40" hidden="1" customWidth="1"/>
    <col min="10" max="10" width="14.44140625" style="40" hidden="1" customWidth="1"/>
    <col min="11" max="11" width="12.109375" style="41" hidden="1" customWidth="1"/>
    <col min="12" max="12" width="2" style="20" bestFit="1" customWidth="1"/>
    <col min="13" max="13" width="25.6640625" style="20" customWidth="1"/>
    <col min="14" max="14" width="13.88671875" style="20" customWidth="1"/>
    <col min="15" max="15" width="19.44140625" style="20" customWidth="1"/>
    <col min="16" max="16" width="20.6640625" style="20" customWidth="1"/>
    <col min="17" max="16384" width="11.44140625" style="20"/>
  </cols>
  <sheetData>
    <row r="1" spans="1:16" x14ac:dyDescent="0.3">
      <c r="A1" s="274" t="s">
        <v>0</v>
      </c>
      <c r="B1" s="275"/>
      <c r="C1" s="275"/>
      <c r="D1" s="275"/>
      <c r="E1" s="275"/>
      <c r="F1" s="275"/>
      <c r="G1" s="275"/>
      <c r="H1" s="275"/>
      <c r="I1" s="275"/>
      <c r="J1" s="275"/>
      <c r="K1" s="276"/>
      <c r="L1" s="19"/>
      <c r="M1" s="19"/>
      <c r="N1" s="19"/>
      <c r="O1" s="19"/>
      <c r="P1" s="19"/>
    </row>
    <row r="2" spans="1:16" ht="10.8" thickBot="1" x14ac:dyDescent="0.35">
      <c r="A2" s="277" t="s">
        <v>1</v>
      </c>
      <c r="B2" s="278"/>
      <c r="C2" s="278"/>
      <c r="D2" s="278"/>
      <c r="E2" s="278"/>
      <c r="F2" s="278"/>
      <c r="G2" s="278"/>
      <c r="H2" s="278"/>
      <c r="I2" s="278"/>
      <c r="J2" s="278"/>
      <c r="K2" s="279"/>
      <c r="L2" s="19"/>
      <c r="M2" s="19"/>
      <c r="N2" s="19"/>
      <c r="O2" s="19"/>
      <c r="P2" s="19"/>
    </row>
    <row r="3" spans="1:16" s="28" customFormat="1" ht="21" thickBot="1" x14ac:dyDescent="0.35">
      <c r="A3" s="53" t="s">
        <v>2</v>
      </c>
      <c r="B3" s="54" t="s">
        <v>3</v>
      </c>
      <c r="C3" s="54" t="s">
        <v>4</v>
      </c>
      <c r="D3" s="55" t="s">
        <v>5</v>
      </c>
      <c r="E3" s="56" t="s">
        <v>6</v>
      </c>
      <c r="F3" s="56" t="s">
        <v>7</v>
      </c>
      <c r="G3" s="56" t="s">
        <v>6</v>
      </c>
      <c r="H3" s="56" t="s">
        <v>7</v>
      </c>
      <c r="I3" s="56" t="s">
        <v>6</v>
      </c>
      <c r="J3" s="56" t="s">
        <v>7</v>
      </c>
      <c r="K3" s="57" t="s">
        <v>8</v>
      </c>
      <c r="L3" s="52"/>
      <c r="M3" s="52"/>
      <c r="N3" s="52"/>
      <c r="O3" s="52"/>
      <c r="P3" s="52"/>
    </row>
    <row r="4" spans="1:16" x14ac:dyDescent="0.3">
      <c r="A4" s="13"/>
      <c r="B4" s="5" t="s">
        <v>9</v>
      </c>
      <c r="C4" s="15"/>
      <c r="D4" s="6"/>
      <c r="E4" s="31"/>
      <c r="F4" s="31"/>
      <c r="G4" s="31"/>
      <c r="H4" s="31"/>
      <c r="I4" s="31"/>
      <c r="J4" s="31"/>
      <c r="K4" s="32"/>
      <c r="L4" s="12"/>
      <c r="M4" s="19"/>
      <c r="N4" s="19"/>
      <c r="O4" s="19"/>
      <c r="P4" s="19"/>
    </row>
    <row r="5" spans="1:16" s="25" customFormat="1" x14ac:dyDescent="0.3">
      <c r="A5" s="14">
        <v>1</v>
      </c>
      <c r="B5" s="1" t="s">
        <v>10</v>
      </c>
      <c r="C5" s="16"/>
      <c r="D5" s="7"/>
      <c r="E5" s="36"/>
      <c r="F5" s="36"/>
      <c r="G5" s="36"/>
      <c r="H5" s="43"/>
      <c r="I5" s="36"/>
      <c r="J5" s="36"/>
      <c r="K5" s="44"/>
      <c r="L5" s="24"/>
      <c r="M5" s="24"/>
      <c r="N5" s="24"/>
      <c r="O5" s="24"/>
      <c r="P5" s="24"/>
    </row>
    <row r="6" spans="1:16" s="22" customFormat="1" x14ac:dyDescent="0.2">
      <c r="A6" s="17" t="s">
        <v>11</v>
      </c>
      <c r="B6" s="8" t="s">
        <v>12</v>
      </c>
      <c r="C6" s="3" t="s">
        <v>13</v>
      </c>
      <c r="D6" s="4">
        <v>20</v>
      </c>
      <c r="E6" s="33"/>
      <c r="F6" s="33">
        <f>AVERAGE(D6*E6)</f>
        <v>0</v>
      </c>
      <c r="G6" s="33"/>
      <c r="H6" s="33">
        <f>AVERAGE(F6*G6)</f>
        <v>0</v>
      </c>
      <c r="I6" s="34"/>
      <c r="J6" s="33">
        <f>AVERAGE(H6*I6)</f>
        <v>0</v>
      </c>
      <c r="K6" s="35">
        <f>SUM(F6+J6+H6)/3</f>
        <v>0</v>
      </c>
      <c r="L6" s="21"/>
      <c r="M6" s="21"/>
      <c r="N6" s="21"/>
      <c r="O6" s="21"/>
      <c r="P6" s="21"/>
    </row>
    <row r="7" spans="1:16" s="22" customFormat="1" x14ac:dyDescent="0.2">
      <c r="A7" s="17" t="s">
        <v>14</v>
      </c>
      <c r="B7" s="8" t="s">
        <v>15</v>
      </c>
      <c r="C7" s="3" t="s">
        <v>16</v>
      </c>
      <c r="D7" s="4">
        <f>7.11*6.74+13.23*7.11+20</f>
        <v>161.98670000000001</v>
      </c>
      <c r="E7" s="33"/>
      <c r="F7" s="33">
        <f t="shared" ref="F7:F23" si="0">AVERAGE(D7*E7)</f>
        <v>0</v>
      </c>
      <c r="G7" s="33"/>
      <c r="H7" s="33">
        <f t="shared" ref="H7:H15" si="1">AVERAGE(F7*G7)</f>
        <v>0</v>
      </c>
      <c r="I7" s="34"/>
      <c r="J7" s="33">
        <f t="shared" ref="J7:J15" si="2">AVERAGE(H7*I7)</f>
        <v>0</v>
      </c>
      <c r="K7" s="35">
        <f t="shared" ref="K7:K15" si="3">SUM(F7+J7+H7)/3</f>
        <v>0</v>
      </c>
      <c r="L7" s="21"/>
      <c r="M7" s="21"/>
      <c r="N7" s="21"/>
      <c r="O7" s="21"/>
      <c r="P7" s="21"/>
    </row>
    <row r="8" spans="1:16" s="22" customFormat="1" ht="20.399999999999999" x14ac:dyDescent="0.2">
      <c r="A8" s="17" t="s">
        <v>17</v>
      </c>
      <c r="B8" s="8" t="s">
        <v>18</v>
      </c>
      <c r="C8" s="3" t="s">
        <v>16</v>
      </c>
      <c r="D8" s="4">
        <f>7.11*6.74+13.23*7.11+20</f>
        <v>161.98670000000001</v>
      </c>
      <c r="E8" s="33"/>
      <c r="F8" s="33">
        <f t="shared" si="0"/>
        <v>0</v>
      </c>
      <c r="G8" s="33"/>
      <c r="H8" s="33">
        <f t="shared" si="1"/>
        <v>0</v>
      </c>
      <c r="I8" s="34"/>
      <c r="J8" s="33">
        <f t="shared" si="2"/>
        <v>0</v>
      </c>
      <c r="K8" s="35">
        <f t="shared" si="3"/>
        <v>0</v>
      </c>
      <c r="L8" s="21"/>
      <c r="M8" s="21"/>
      <c r="N8" s="21"/>
      <c r="O8" s="21"/>
      <c r="P8" s="21"/>
    </row>
    <row r="9" spans="1:16" s="22" customFormat="1" ht="81.599999999999994" x14ac:dyDescent="0.2">
      <c r="A9" s="17" t="s">
        <v>19</v>
      </c>
      <c r="B9" s="8" t="s">
        <v>20</v>
      </c>
      <c r="C9" s="3" t="s">
        <v>16</v>
      </c>
      <c r="D9" s="4">
        <f>7.11*6.74+13.23*7.11+20</f>
        <v>161.98670000000001</v>
      </c>
      <c r="E9" s="33"/>
      <c r="F9" s="33">
        <f t="shared" si="0"/>
        <v>0</v>
      </c>
      <c r="G9" s="33"/>
      <c r="H9" s="33">
        <f t="shared" si="1"/>
        <v>0</v>
      </c>
      <c r="I9" s="34"/>
      <c r="J9" s="33">
        <f t="shared" si="2"/>
        <v>0</v>
      </c>
      <c r="K9" s="35">
        <f t="shared" si="3"/>
        <v>0</v>
      </c>
      <c r="L9" s="21"/>
      <c r="M9" s="21"/>
      <c r="N9" s="21"/>
      <c r="O9" s="21"/>
      <c r="P9" s="21"/>
    </row>
    <row r="10" spans="1:16" s="22" customFormat="1" ht="61.2" x14ac:dyDescent="0.2">
      <c r="A10" s="17" t="s">
        <v>21</v>
      </c>
      <c r="B10" s="8" t="s">
        <v>22</v>
      </c>
      <c r="C10" s="3" t="s">
        <v>16</v>
      </c>
      <c r="D10" s="4">
        <f>7.11*6.74+13.23*7.11+20</f>
        <v>161.98670000000001</v>
      </c>
      <c r="E10" s="33"/>
      <c r="F10" s="33">
        <f t="shared" si="0"/>
        <v>0</v>
      </c>
      <c r="G10" s="33"/>
      <c r="H10" s="33">
        <f t="shared" si="1"/>
        <v>0</v>
      </c>
      <c r="I10" s="34"/>
      <c r="J10" s="33">
        <f t="shared" si="2"/>
        <v>0</v>
      </c>
      <c r="K10" s="35">
        <f t="shared" si="3"/>
        <v>0</v>
      </c>
      <c r="L10" s="21"/>
      <c r="M10" s="21"/>
      <c r="N10" s="21"/>
      <c r="O10" s="21"/>
      <c r="P10" s="21"/>
    </row>
    <row r="11" spans="1:16" s="22" customFormat="1" ht="30.6" x14ac:dyDescent="0.2">
      <c r="A11" s="17" t="s">
        <v>23</v>
      </c>
      <c r="B11" s="8" t="s">
        <v>24</v>
      </c>
      <c r="C11" s="3" t="s">
        <v>25</v>
      </c>
      <c r="D11" s="4">
        <f>13+16</f>
        <v>29</v>
      </c>
      <c r="E11" s="33"/>
      <c r="F11" s="33">
        <f t="shared" si="0"/>
        <v>0</v>
      </c>
      <c r="G11" s="33"/>
      <c r="H11" s="33">
        <f t="shared" si="1"/>
        <v>0</v>
      </c>
      <c r="I11" s="34"/>
      <c r="J11" s="33">
        <f t="shared" si="2"/>
        <v>0</v>
      </c>
      <c r="K11" s="35">
        <f t="shared" si="3"/>
        <v>0</v>
      </c>
      <c r="L11" s="21"/>
      <c r="M11" s="21"/>
      <c r="N11" s="21"/>
      <c r="O11" s="21"/>
      <c r="P11" s="21"/>
    </row>
    <row r="12" spans="1:16" s="22" customFormat="1" ht="44.25" customHeight="1" x14ac:dyDescent="0.2">
      <c r="A12" s="17" t="s">
        <v>26</v>
      </c>
      <c r="B12" s="8" t="s">
        <v>27</v>
      </c>
      <c r="C12" s="3" t="s">
        <v>25</v>
      </c>
      <c r="D12" s="4">
        <f>18.71*2+6.19*2</f>
        <v>49.800000000000004</v>
      </c>
      <c r="E12" s="33"/>
      <c r="F12" s="33">
        <f t="shared" si="0"/>
        <v>0</v>
      </c>
      <c r="G12" s="33"/>
      <c r="H12" s="33">
        <f t="shared" si="1"/>
        <v>0</v>
      </c>
      <c r="I12" s="34"/>
      <c r="J12" s="33">
        <f t="shared" si="2"/>
        <v>0</v>
      </c>
      <c r="K12" s="35">
        <f t="shared" si="3"/>
        <v>0</v>
      </c>
      <c r="L12" s="21"/>
      <c r="M12" s="21"/>
      <c r="N12" s="21"/>
      <c r="O12" s="21"/>
      <c r="P12" s="21"/>
    </row>
    <row r="13" spans="1:16" s="22" customFormat="1" ht="44.25" customHeight="1" x14ac:dyDescent="0.2">
      <c r="A13" s="17" t="s">
        <v>28</v>
      </c>
      <c r="B13" s="8" t="s">
        <v>29</v>
      </c>
      <c r="C13" s="3" t="s">
        <v>25</v>
      </c>
      <c r="D13" s="4">
        <f>10*3</f>
        <v>30</v>
      </c>
      <c r="E13" s="33"/>
      <c r="F13" s="33">
        <f t="shared" si="0"/>
        <v>0</v>
      </c>
      <c r="G13" s="33"/>
      <c r="H13" s="33">
        <f t="shared" si="1"/>
        <v>0</v>
      </c>
      <c r="I13" s="34"/>
      <c r="J13" s="33">
        <f t="shared" si="2"/>
        <v>0</v>
      </c>
      <c r="K13" s="35">
        <f t="shared" si="3"/>
        <v>0</v>
      </c>
      <c r="L13" s="21"/>
      <c r="M13" s="21"/>
      <c r="N13" s="21"/>
      <c r="O13" s="21"/>
      <c r="P13" s="21"/>
    </row>
    <row r="14" spans="1:16" s="22" customFormat="1" ht="44.25" customHeight="1" x14ac:dyDescent="0.2">
      <c r="A14" s="17" t="s">
        <v>30</v>
      </c>
      <c r="B14" s="8" t="s">
        <v>31</v>
      </c>
      <c r="C14" s="3" t="s">
        <v>32</v>
      </c>
      <c r="D14" s="4">
        <v>4</v>
      </c>
      <c r="E14" s="33"/>
      <c r="F14" s="33">
        <f t="shared" si="0"/>
        <v>0</v>
      </c>
      <c r="G14" s="33"/>
      <c r="H14" s="33">
        <f t="shared" si="1"/>
        <v>0</v>
      </c>
      <c r="I14" s="34"/>
      <c r="J14" s="33">
        <f t="shared" si="2"/>
        <v>0</v>
      </c>
      <c r="K14" s="35">
        <f t="shared" si="3"/>
        <v>0</v>
      </c>
      <c r="L14" s="21"/>
      <c r="M14" s="21"/>
      <c r="N14" s="21"/>
      <c r="O14" s="21"/>
      <c r="P14" s="21"/>
    </row>
    <row r="15" spans="1:16" s="22" customFormat="1" ht="44.25" customHeight="1" x14ac:dyDescent="0.2">
      <c r="A15" s="17" t="s">
        <v>33</v>
      </c>
      <c r="B15" s="8" t="s">
        <v>34</v>
      </c>
      <c r="C15" s="3" t="s">
        <v>32</v>
      </c>
      <c r="D15" s="4">
        <f>18+18+7+7</f>
        <v>50</v>
      </c>
      <c r="E15" s="33"/>
      <c r="F15" s="33">
        <f t="shared" si="0"/>
        <v>0</v>
      </c>
      <c r="G15" s="33"/>
      <c r="H15" s="33">
        <f t="shared" si="1"/>
        <v>0</v>
      </c>
      <c r="I15" s="34"/>
      <c r="J15" s="33">
        <f t="shared" si="2"/>
        <v>0</v>
      </c>
      <c r="K15" s="35">
        <f t="shared" si="3"/>
        <v>0</v>
      </c>
      <c r="L15" s="21"/>
      <c r="M15" s="21"/>
      <c r="N15" s="21"/>
      <c r="O15" s="21"/>
      <c r="P15" s="21"/>
    </row>
    <row r="16" spans="1:16" s="25" customFormat="1" x14ac:dyDescent="0.3">
      <c r="A16" s="14">
        <v>2</v>
      </c>
      <c r="B16" s="1" t="s">
        <v>35</v>
      </c>
      <c r="C16" s="16"/>
      <c r="D16" s="7"/>
      <c r="E16" s="36"/>
      <c r="F16" s="36"/>
      <c r="G16" s="36"/>
      <c r="H16" s="43"/>
      <c r="I16" s="36"/>
      <c r="J16" s="36"/>
      <c r="K16" s="44"/>
      <c r="L16" s="24"/>
      <c r="M16" s="24"/>
      <c r="N16" s="24"/>
      <c r="O16" s="24"/>
      <c r="P16" s="24"/>
    </row>
    <row r="17" spans="1:16" ht="40.799999999999997" x14ac:dyDescent="0.2">
      <c r="A17" s="17" t="s">
        <v>36</v>
      </c>
      <c r="B17" s="2" t="s">
        <v>37</v>
      </c>
      <c r="C17" s="3" t="s">
        <v>38</v>
      </c>
      <c r="D17" s="4">
        <f>0.4*0.4*3*10*2</f>
        <v>9.6000000000000014</v>
      </c>
      <c r="E17" s="33"/>
      <c r="F17" s="33">
        <f t="shared" si="0"/>
        <v>0</v>
      </c>
      <c r="G17" s="33">
        <v>737911</v>
      </c>
      <c r="H17" s="33">
        <f t="shared" ref="H17" si="4">ROUND((G17*F17),0)</f>
        <v>0</v>
      </c>
      <c r="I17" s="34">
        <f t="shared" ref="I17" si="5">+K17+M17+Q17+O17</f>
        <v>0</v>
      </c>
      <c r="J17" s="33"/>
      <c r="K17" s="35"/>
      <c r="L17" s="23"/>
      <c r="M17" s="23"/>
      <c r="N17" s="23"/>
      <c r="O17" s="23"/>
      <c r="P17" s="23"/>
    </row>
    <row r="18" spans="1:16" ht="51" x14ac:dyDescent="0.2">
      <c r="A18" s="17" t="s">
        <v>39</v>
      </c>
      <c r="B18" s="2" t="s">
        <v>40</v>
      </c>
      <c r="C18" s="3" t="s">
        <v>38</v>
      </c>
      <c r="D18" s="4">
        <f>+D17/2</f>
        <v>4.8000000000000007</v>
      </c>
      <c r="E18" s="33"/>
      <c r="F18" s="33">
        <f t="shared" si="0"/>
        <v>0</v>
      </c>
      <c r="G18" s="33"/>
      <c r="H18" s="33"/>
      <c r="I18" s="34"/>
      <c r="J18" s="33"/>
      <c r="K18" s="35"/>
      <c r="L18" s="23"/>
      <c r="M18" s="23"/>
      <c r="N18" s="23"/>
      <c r="O18" s="23"/>
      <c r="P18" s="23"/>
    </row>
    <row r="19" spans="1:16" ht="51" x14ac:dyDescent="0.2">
      <c r="A19" s="17" t="s">
        <v>41</v>
      </c>
      <c r="B19" s="2" t="s">
        <v>42</v>
      </c>
      <c r="C19" s="3" t="s">
        <v>38</v>
      </c>
      <c r="D19" s="4">
        <f>0.4*0.5*60</f>
        <v>12</v>
      </c>
      <c r="E19" s="33"/>
      <c r="F19" s="33">
        <f t="shared" si="0"/>
        <v>0</v>
      </c>
      <c r="G19" s="33"/>
      <c r="H19" s="33"/>
      <c r="I19" s="34"/>
      <c r="J19" s="33"/>
      <c r="K19" s="35"/>
      <c r="L19" s="23"/>
      <c r="M19" s="23"/>
      <c r="N19" s="23"/>
      <c r="O19" s="23"/>
      <c r="P19" s="23"/>
    </row>
    <row r="20" spans="1:16" ht="30.6" x14ac:dyDescent="0.2">
      <c r="A20" s="17" t="s">
        <v>43</v>
      </c>
      <c r="B20" s="2" t="s">
        <v>44</v>
      </c>
      <c r="C20" s="3" t="s">
        <v>32</v>
      </c>
      <c r="D20" s="4">
        <v>150</v>
      </c>
      <c r="E20" s="33"/>
      <c r="F20" s="33">
        <f t="shared" si="0"/>
        <v>0</v>
      </c>
      <c r="G20" s="33"/>
      <c r="H20" s="33"/>
      <c r="I20" s="34"/>
      <c r="J20" s="33"/>
      <c r="K20" s="35"/>
      <c r="L20" s="23"/>
      <c r="M20" s="23"/>
      <c r="N20" s="23"/>
      <c r="O20" s="23"/>
      <c r="P20" s="23"/>
    </row>
    <row r="21" spans="1:16" ht="30.6" x14ac:dyDescent="0.2">
      <c r="A21" s="17" t="s">
        <v>45</v>
      </c>
      <c r="B21" s="2" t="s">
        <v>46</v>
      </c>
      <c r="C21" s="3" t="s">
        <v>16</v>
      </c>
      <c r="D21" s="4">
        <f>((18.71+6.19+6.19+18.71)*2.5)-((1.82+1.78+1.64+1.79+1.71+2.95+1.71+1.79+1.64+1.79+1.54)*1.2)</f>
        <v>100.30800000000002</v>
      </c>
      <c r="E21" s="33"/>
      <c r="F21" s="33">
        <f t="shared" si="0"/>
        <v>0</v>
      </c>
      <c r="G21" s="33"/>
      <c r="H21" s="33">
        <f t="shared" ref="H21:H23" si="6">AVERAGE(F21*G21)</f>
        <v>0</v>
      </c>
      <c r="I21" s="34"/>
      <c r="J21" s="33">
        <f t="shared" ref="J21:J23" si="7">AVERAGE(H21*I21)</f>
        <v>0</v>
      </c>
      <c r="K21" s="35">
        <f t="shared" ref="K21:K23" si="8">SUM(F21+J21+H21)/3</f>
        <v>0</v>
      </c>
      <c r="L21" s="23"/>
      <c r="M21" s="23"/>
      <c r="N21" s="23"/>
      <c r="O21" s="23"/>
      <c r="P21" s="23"/>
    </row>
    <row r="22" spans="1:16" ht="20.399999999999999" x14ac:dyDescent="0.2">
      <c r="A22" s="17" t="s">
        <v>47</v>
      </c>
      <c r="B22" s="2" t="s">
        <v>48</v>
      </c>
      <c r="C22" s="3" t="s">
        <v>16</v>
      </c>
      <c r="D22" s="4">
        <f>+D23</f>
        <v>131.30800000000002</v>
      </c>
      <c r="E22" s="33"/>
      <c r="F22" s="33">
        <f t="shared" si="0"/>
        <v>0</v>
      </c>
      <c r="G22" s="33"/>
      <c r="H22" s="33"/>
      <c r="I22" s="34"/>
      <c r="J22" s="33"/>
      <c r="K22" s="35"/>
      <c r="L22" s="23"/>
      <c r="M22" s="23"/>
      <c r="N22" s="23"/>
      <c r="O22" s="23"/>
      <c r="P22" s="23"/>
    </row>
    <row r="23" spans="1:16" ht="20.399999999999999" x14ac:dyDescent="0.2">
      <c r="A23" s="17" t="s">
        <v>49</v>
      </c>
      <c r="B23" s="2" t="s">
        <v>50</v>
      </c>
      <c r="C23" s="3" t="s">
        <v>16</v>
      </c>
      <c r="D23" s="4">
        <f>((18.71+6.19+6.19+18.71+6.2+6.2)*2.5)-((1.82+1.78+1.64+1.79+1.71+2.95+1.71+1.79+1.64+1.79+1.54)*1.2)</f>
        <v>131.30800000000002</v>
      </c>
      <c r="E23" s="33"/>
      <c r="F23" s="33">
        <f t="shared" si="0"/>
        <v>0</v>
      </c>
      <c r="G23" s="33"/>
      <c r="H23" s="33">
        <f t="shared" si="6"/>
        <v>0</v>
      </c>
      <c r="I23" s="34"/>
      <c r="J23" s="33">
        <f t="shared" si="7"/>
        <v>0</v>
      </c>
      <c r="K23" s="35">
        <f t="shared" si="8"/>
        <v>0</v>
      </c>
      <c r="L23" s="23"/>
      <c r="M23" s="23"/>
      <c r="N23" s="23"/>
      <c r="O23" s="23"/>
      <c r="P23" s="23"/>
    </row>
    <row r="24" spans="1:16" s="25" customFormat="1" x14ac:dyDescent="0.3">
      <c r="A24" s="14">
        <v>3</v>
      </c>
      <c r="B24" s="1" t="s">
        <v>51</v>
      </c>
      <c r="C24" s="16"/>
      <c r="D24" s="7"/>
      <c r="E24" s="36"/>
      <c r="F24" s="36"/>
      <c r="G24" s="36"/>
      <c r="H24" s="43"/>
      <c r="I24" s="36"/>
      <c r="J24" s="36"/>
      <c r="K24" s="44"/>
      <c r="L24" s="24"/>
      <c r="M24" s="24"/>
      <c r="N24" s="24"/>
      <c r="O24" s="24"/>
      <c r="P24" s="24"/>
    </row>
    <row r="25" spans="1:16" ht="30.6" x14ac:dyDescent="0.2">
      <c r="A25" s="17" t="s">
        <v>52</v>
      </c>
      <c r="B25" s="2" t="s">
        <v>53</v>
      </c>
      <c r="C25" s="3" t="s">
        <v>16</v>
      </c>
      <c r="D25" s="4">
        <f>6.19*18.71</f>
        <v>115.81490000000001</v>
      </c>
      <c r="E25" s="33"/>
      <c r="F25" s="33">
        <f>AVERAGE(D25*E25)</f>
        <v>0</v>
      </c>
      <c r="G25" s="33"/>
      <c r="H25" s="33">
        <f>AVERAGE(F25*G25)</f>
        <v>0</v>
      </c>
      <c r="I25" s="34"/>
      <c r="J25" s="33">
        <f>AVERAGE(H25*I25)</f>
        <v>0</v>
      </c>
      <c r="K25" s="35">
        <f>SUM(F25+J25+H25)/3</f>
        <v>0</v>
      </c>
      <c r="L25" s="23"/>
      <c r="M25" s="23"/>
      <c r="N25" s="23"/>
      <c r="O25" s="23"/>
      <c r="P25" s="23"/>
    </row>
    <row r="26" spans="1:16" s="25" customFormat="1" x14ac:dyDescent="0.3">
      <c r="A26" s="14">
        <v>4</v>
      </c>
      <c r="B26" s="1" t="s">
        <v>54</v>
      </c>
      <c r="C26" s="16"/>
      <c r="D26" s="7"/>
      <c r="E26" s="36"/>
      <c r="F26" s="36"/>
      <c r="G26" s="36"/>
      <c r="H26" s="43"/>
      <c r="I26" s="36"/>
      <c r="J26" s="36"/>
      <c r="K26" s="44"/>
      <c r="L26" s="24"/>
      <c r="M26" s="24"/>
      <c r="N26" s="24"/>
      <c r="O26" s="24"/>
      <c r="P26" s="24"/>
    </row>
    <row r="27" spans="1:16" x14ac:dyDescent="0.2">
      <c r="A27" s="17" t="s">
        <v>55</v>
      </c>
      <c r="B27" s="2" t="s">
        <v>56</v>
      </c>
      <c r="C27" s="3" t="s">
        <v>32</v>
      </c>
      <c r="D27" s="4">
        <v>1</v>
      </c>
      <c r="E27" s="33"/>
      <c r="F27" s="33">
        <f t="shared" ref="F27:F31" si="9">AVERAGE(D27*E27)</f>
        <v>0</v>
      </c>
      <c r="G27" s="33"/>
      <c r="H27" s="33">
        <f t="shared" ref="H27:H31" si="10">AVERAGE(F27*G27)</f>
        <v>0</v>
      </c>
      <c r="I27" s="34"/>
      <c r="J27" s="33">
        <f t="shared" ref="J27:J31" si="11">AVERAGE(H27*I27)</f>
        <v>0</v>
      </c>
      <c r="K27" s="35">
        <f t="shared" ref="K27:K31" si="12">SUM(F27+J27+H27)/3</f>
        <v>0</v>
      </c>
      <c r="L27" s="23"/>
      <c r="M27" s="23"/>
      <c r="N27" s="23"/>
      <c r="O27" s="23"/>
      <c r="P27" s="23"/>
    </row>
    <row r="28" spans="1:16" ht="20.399999999999999" x14ac:dyDescent="0.2">
      <c r="A28" s="17" t="s">
        <v>57</v>
      </c>
      <c r="B28" s="2" t="s">
        <v>58</v>
      </c>
      <c r="C28" s="3" t="s">
        <v>32</v>
      </c>
      <c r="D28" s="4">
        <v>2</v>
      </c>
      <c r="E28" s="33"/>
      <c r="F28" s="33">
        <f t="shared" si="9"/>
        <v>0</v>
      </c>
      <c r="G28" s="33"/>
      <c r="H28" s="33">
        <f t="shared" si="10"/>
        <v>0</v>
      </c>
      <c r="I28" s="34"/>
      <c r="J28" s="33">
        <f t="shared" si="11"/>
        <v>0</v>
      </c>
      <c r="K28" s="35">
        <f t="shared" si="12"/>
        <v>0</v>
      </c>
      <c r="L28" s="23"/>
      <c r="M28" s="23"/>
      <c r="N28" s="23"/>
      <c r="O28" s="23"/>
      <c r="P28" s="23"/>
    </row>
    <row r="29" spans="1:16" x14ac:dyDescent="0.2">
      <c r="A29" s="17" t="s">
        <v>59</v>
      </c>
      <c r="B29" s="2" t="s">
        <v>60</v>
      </c>
      <c r="C29" s="3" t="s">
        <v>16</v>
      </c>
      <c r="D29" s="4">
        <f>(1.82+1.78+1.64+1.79+1.71+2.95+1.71+1.79+1.64+1.79+1.54)*0.91</f>
        <v>18.345600000000001</v>
      </c>
      <c r="E29" s="33"/>
      <c r="F29" s="33">
        <f t="shared" si="9"/>
        <v>0</v>
      </c>
      <c r="G29" s="33"/>
      <c r="H29" s="33">
        <f t="shared" si="10"/>
        <v>0</v>
      </c>
      <c r="I29" s="34"/>
      <c r="J29" s="33">
        <f t="shared" si="11"/>
        <v>0</v>
      </c>
      <c r="K29" s="35">
        <f t="shared" si="12"/>
        <v>0</v>
      </c>
      <c r="L29" s="23"/>
      <c r="M29" s="23"/>
      <c r="N29" s="23"/>
      <c r="O29" s="23"/>
      <c r="P29" s="23"/>
    </row>
    <row r="30" spans="1:16" ht="40.799999999999997" x14ac:dyDescent="0.2">
      <c r="A30" s="17" t="s">
        <v>61</v>
      </c>
      <c r="B30" s="2" t="s">
        <v>62</v>
      </c>
      <c r="C30" s="3" t="s">
        <v>16</v>
      </c>
      <c r="D30" s="4">
        <f>(1.82+1.78+1.64+1.79+1.71+2.95+1.71+1.79+1.64+1.79+1.54)*0.91</f>
        <v>18.345600000000001</v>
      </c>
      <c r="E30" s="33"/>
      <c r="F30" s="33">
        <f t="shared" si="9"/>
        <v>0</v>
      </c>
      <c r="G30" s="33"/>
      <c r="H30" s="33">
        <f t="shared" si="10"/>
        <v>0</v>
      </c>
      <c r="I30" s="34"/>
      <c r="J30" s="33">
        <f t="shared" si="11"/>
        <v>0</v>
      </c>
      <c r="K30" s="35">
        <f t="shared" si="12"/>
        <v>0</v>
      </c>
      <c r="L30" s="23"/>
      <c r="M30" s="23"/>
      <c r="N30" s="23"/>
      <c r="O30" s="23"/>
      <c r="P30" s="23"/>
    </row>
    <row r="31" spans="1:16" x14ac:dyDescent="0.2">
      <c r="A31" s="17" t="s">
        <v>63</v>
      </c>
      <c r="B31" s="2" t="s">
        <v>64</v>
      </c>
      <c r="C31" s="3" t="s">
        <v>25</v>
      </c>
      <c r="D31" s="4">
        <f>1.82+1.78+1.64+1.79+1.71+2.95+1.71+1.79+1.64+1.79+1.54</f>
        <v>20.16</v>
      </c>
      <c r="E31" s="33"/>
      <c r="F31" s="33">
        <f t="shared" si="9"/>
        <v>0</v>
      </c>
      <c r="G31" s="33"/>
      <c r="H31" s="33">
        <f t="shared" si="10"/>
        <v>0</v>
      </c>
      <c r="I31" s="34"/>
      <c r="J31" s="33">
        <f t="shared" si="11"/>
        <v>0</v>
      </c>
      <c r="K31" s="35">
        <f t="shared" si="12"/>
        <v>0</v>
      </c>
      <c r="L31" s="23"/>
      <c r="M31" s="23"/>
      <c r="N31" s="23"/>
      <c r="O31" s="23"/>
      <c r="P31" s="23"/>
    </row>
    <row r="32" spans="1:16" s="25" customFormat="1" x14ac:dyDescent="0.3">
      <c r="A32" s="14">
        <v>5</v>
      </c>
      <c r="B32" s="1" t="s">
        <v>65</v>
      </c>
      <c r="C32" s="16"/>
      <c r="D32" s="7"/>
      <c r="E32" s="36"/>
      <c r="F32" s="36"/>
      <c r="G32" s="36"/>
      <c r="H32" s="43"/>
      <c r="I32" s="36"/>
      <c r="J32" s="36"/>
      <c r="K32" s="44"/>
      <c r="L32" s="24"/>
      <c r="M32" s="24"/>
      <c r="N32" s="24"/>
      <c r="O32" s="24"/>
      <c r="P32" s="24"/>
    </row>
    <row r="33" spans="1:16" ht="13.5" customHeight="1" x14ac:dyDescent="0.2">
      <c r="A33" s="17" t="s">
        <v>66</v>
      </c>
      <c r="B33" s="2" t="s">
        <v>67</v>
      </c>
      <c r="C33" s="3" t="s">
        <v>16</v>
      </c>
      <c r="D33" s="4">
        <v>122</v>
      </c>
      <c r="E33" s="33"/>
      <c r="F33" s="33">
        <f t="shared" ref="F33:F35" si="13">AVERAGE(D33*E33)</f>
        <v>0</v>
      </c>
      <c r="G33" s="33"/>
      <c r="H33" s="33">
        <f t="shared" ref="H33" si="14">AVERAGE(F33*G33)</f>
        <v>0</v>
      </c>
      <c r="I33" s="34"/>
      <c r="J33" s="33">
        <f t="shared" ref="J33" si="15">AVERAGE(H33*I33)</f>
        <v>0</v>
      </c>
      <c r="K33" s="35">
        <f t="shared" ref="K33" si="16">SUM(F33+J33+H33)/3</f>
        <v>0</v>
      </c>
      <c r="L33" s="23"/>
      <c r="M33" s="23"/>
      <c r="N33" s="23"/>
      <c r="O33" s="23"/>
      <c r="P33" s="23"/>
    </row>
    <row r="34" spans="1:16" ht="74.25" customHeight="1" x14ac:dyDescent="0.2">
      <c r="A34" s="17" t="s">
        <v>68</v>
      </c>
      <c r="B34" s="2" t="s">
        <v>69</v>
      </c>
      <c r="C34" s="3" t="s">
        <v>16</v>
      </c>
      <c r="D34" s="4">
        <f>+D33</f>
        <v>122</v>
      </c>
      <c r="E34" s="33"/>
      <c r="F34" s="33">
        <f t="shared" si="13"/>
        <v>0</v>
      </c>
      <c r="G34" s="33"/>
      <c r="H34" s="33"/>
      <c r="I34" s="34"/>
      <c r="J34" s="33"/>
      <c r="K34" s="35"/>
      <c r="L34" s="23"/>
      <c r="M34" s="23"/>
      <c r="N34" s="23"/>
      <c r="O34" s="23"/>
      <c r="P34" s="23"/>
    </row>
    <row r="35" spans="1:16" ht="33" customHeight="1" x14ac:dyDescent="0.2">
      <c r="A35" s="17" t="s">
        <v>70</v>
      </c>
      <c r="B35" s="2" t="s">
        <v>71</v>
      </c>
      <c r="C35" s="3" t="s">
        <v>25</v>
      </c>
      <c r="D35" s="4">
        <f>18.71+6.19+6.19+18.71</f>
        <v>49.800000000000004</v>
      </c>
      <c r="E35" s="33"/>
      <c r="F35" s="33">
        <f t="shared" si="13"/>
        <v>0</v>
      </c>
      <c r="G35" s="33"/>
      <c r="H35" s="33"/>
      <c r="I35" s="34"/>
      <c r="J35" s="33"/>
      <c r="K35" s="35"/>
      <c r="L35" s="23"/>
      <c r="M35" s="23"/>
      <c r="N35" s="23"/>
      <c r="O35" s="23"/>
      <c r="P35" s="23"/>
    </row>
    <row r="36" spans="1:16" s="25" customFormat="1" x14ac:dyDescent="0.3">
      <c r="A36" s="14">
        <v>6</v>
      </c>
      <c r="B36" s="1" t="s">
        <v>72</v>
      </c>
      <c r="C36" s="16"/>
      <c r="D36" s="7"/>
      <c r="E36" s="36"/>
      <c r="F36" s="36"/>
      <c r="G36" s="36"/>
      <c r="H36" s="43"/>
      <c r="I36" s="36"/>
      <c r="J36" s="36"/>
      <c r="K36" s="44"/>
      <c r="L36" s="24"/>
      <c r="M36" s="24"/>
      <c r="N36" s="24"/>
      <c r="O36" s="24"/>
      <c r="P36" s="24"/>
    </row>
    <row r="37" spans="1:16" ht="91.8" x14ac:dyDescent="0.2">
      <c r="A37" s="17" t="s">
        <v>73</v>
      </c>
      <c r="B37" s="18" t="s">
        <v>74</v>
      </c>
      <c r="C37" s="3" t="s">
        <v>32</v>
      </c>
      <c r="D37" s="4">
        <v>1</v>
      </c>
      <c r="E37" s="33"/>
      <c r="F37" s="33">
        <f t="shared" ref="F37:F38" si="17">AVERAGE(D37*E37)</f>
        <v>0</v>
      </c>
      <c r="G37" s="33"/>
      <c r="H37" s="33">
        <f t="shared" ref="H37:H38" si="18">AVERAGE(F37*G37)</f>
        <v>0</v>
      </c>
      <c r="I37" s="34"/>
      <c r="J37" s="33">
        <f t="shared" ref="J37:J38" si="19">AVERAGE(H37*I37)</f>
        <v>0</v>
      </c>
      <c r="K37" s="35">
        <f t="shared" ref="K37:K38" si="20">SUM(F37+J37+H37)/3</f>
        <v>0</v>
      </c>
      <c r="L37" s="23"/>
      <c r="M37" s="23"/>
      <c r="N37" s="23"/>
      <c r="O37" s="23"/>
      <c r="P37" s="23"/>
    </row>
    <row r="38" spans="1:16" ht="91.8" x14ac:dyDescent="0.2">
      <c r="A38" s="17" t="s">
        <v>75</v>
      </c>
      <c r="B38" s="18" t="s">
        <v>76</v>
      </c>
      <c r="C38" s="3" t="s">
        <v>32</v>
      </c>
      <c r="D38" s="4">
        <v>2</v>
      </c>
      <c r="E38" s="33"/>
      <c r="F38" s="33">
        <f t="shared" si="17"/>
        <v>0</v>
      </c>
      <c r="G38" s="33"/>
      <c r="H38" s="33">
        <f t="shared" si="18"/>
        <v>0</v>
      </c>
      <c r="I38" s="34"/>
      <c r="J38" s="33">
        <f t="shared" si="19"/>
        <v>0</v>
      </c>
      <c r="K38" s="35">
        <f t="shared" si="20"/>
        <v>0</v>
      </c>
      <c r="L38" s="23"/>
      <c r="M38" s="23"/>
      <c r="N38" s="23"/>
      <c r="O38" s="23"/>
      <c r="P38" s="23"/>
    </row>
    <row r="39" spans="1:16" s="25" customFormat="1" x14ac:dyDescent="0.3">
      <c r="A39" s="14">
        <v>7</v>
      </c>
      <c r="B39" s="1" t="s">
        <v>77</v>
      </c>
      <c r="C39" s="16"/>
      <c r="D39" s="7"/>
      <c r="E39" s="36"/>
      <c r="F39" s="36"/>
      <c r="G39" s="36"/>
      <c r="H39" s="43"/>
      <c r="I39" s="36"/>
      <c r="J39" s="36"/>
      <c r="K39" s="44"/>
      <c r="L39" s="24"/>
      <c r="M39" s="24"/>
      <c r="N39" s="24"/>
      <c r="O39" s="24"/>
      <c r="P39" s="24"/>
    </row>
    <row r="40" spans="1:16" s="51" customFormat="1" x14ac:dyDescent="0.3">
      <c r="A40" s="17" t="s">
        <v>78</v>
      </c>
      <c r="B40" s="46" t="s">
        <v>79</v>
      </c>
      <c r="C40" s="3"/>
      <c r="D40" s="4"/>
      <c r="E40" s="47"/>
      <c r="F40" s="47"/>
      <c r="G40" s="47"/>
      <c r="H40" s="48"/>
      <c r="I40" s="47"/>
      <c r="J40" s="47"/>
      <c r="K40" s="49"/>
      <c r="L40" s="50"/>
      <c r="M40" s="50"/>
      <c r="N40" s="50"/>
      <c r="O40" s="50"/>
      <c r="P40" s="50"/>
    </row>
    <row r="41" spans="1:16" ht="51" x14ac:dyDescent="0.2">
      <c r="A41" s="42" t="s">
        <v>80</v>
      </c>
      <c r="B41" s="10" t="s">
        <v>81</v>
      </c>
      <c r="C41" s="11" t="s">
        <v>32</v>
      </c>
      <c r="D41" s="9">
        <v>12</v>
      </c>
      <c r="E41" s="37"/>
      <c r="F41" s="37">
        <f t="shared" ref="F41" si="21">AVERAGE(D41*E41)</f>
        <v>0</v>
      </c>
      <c r="G41" s="37"/>
      <c r="H41" s="37">
        <f t="shared" ref="H41" si="22">AVERAGE(F41*G41)</f>
        <v>0</v>
      </c>
      <c r="I41" s="38"/>
      <c r="J41" s="37">
        <f t="shared" ref="J41" si="23">AVERAGE(H41*I41)</f>
        <v>0</v>
      </c>
      <c r="K41" s="39">
        <f t="shared" ref="K41" si="24">SUM(F41+J41+H41)/3</f>
        <v>0</v>
      </c>
      <c r="L41" s="23"/>
      <c r="M41" s="23"/>
      <c r="N41" s="23"/>
      <c r="O41" s="23"/>
      <c r="P41" s="23"/>
    </row>
    <row r="42" spans="1:16" s="51" customFormat="1" x14ac:dyDescent="0.3">
      <c r="A42" s="17" t="s">
        <v>82</v>
      </c>
      <c r="B42" s="46" t="s">
        <v>83</v>
      </c>
      <c r="C42" s="3"/>
      <c r="D42" s="4"/>
      <c r="E42" s="47"/>
      <c r="F42" s="47"/>
      <c r="G42" s="47"/>
      <c r="H42" s="48"/>
      <c r="I42" s="47"/>
      <c r="J42" s="47"/>
      <c r="K42" s="49"/>
      <c r="L42" s="50"/>
      <c r="M42" s="50"/>
      <c r="N42" s="50"/>
      <c r="O42" s="50"/>
      <c r="P42" s="50"/>
    </row>
    <row r="43" spans="1:16" s="26" customFormat="1" ht="51" x14ac:dyDescent="0.2">
      <c r="A43" s="17" t="s">
        <v>84</v>
      </c>
      <c r="B43" s="2" t="s">
        <v>85</v>
      </c>
      <c r="C43" s="3" t="s">
        <v>32</v>
      </c>
      <c r="D43" s="4">
        <v>3</v>
      </c>
      <c r="E43" s="33"/>
      <c r="F43" s="33">
        <f t="shared" ref="F43" si="25">AVERAGE(D43*E43)</f>
        <v>0</v>
      </c>
      <c r="G43" s="33"/>
      <c r="H43" s="33">
        <f t="shared" ref="H43" si="26">AVERAGE(F43*G43)</f>
        <v>0</v>
      </c>
      <c r="I43" s="34"/>
      <c r="J43" s="33">
        <f t="shared" ref="J43" si="27">AVERAGE(H43*I43)</f>
        <v>0</v>
      </c>
      <c r="K43" s="35">
        <f t="shared" ref="K43" si="28">SUM(F43+J43+H43)/3</f>
        <v>0</v>
      </c>
    </row>
    <row r="44" spans="1:16" s="51" customFormat="1" x14ac:dyDescent="0.3">
      <c r="A44" s="17" t="s">
        <v>86</v>
      </c>
      <c r="B44" s="46" t="s">
        <v>87</v>
      </c>
      <c r="C44" s="3"/>
      <c r="D44" s="4"/>
      <c r="E44" s="47"/>
      <c r="F44" s="47"/>
      <c r="G44" s="47"/>
      <c r="H44" s="48"/>
      <c r="I44" s="47"/>
      <c r="J44" s="47"/>
      <c r="K44" s="49"/>
      <c r="L44" s="50"/>
      <c r="M44" s="50"/>
      <c r="N44" s="50"/>
      <c r="O44" s="50"/>
      <c r="P44" s="50"/>
    </row>
    <row r="45" spans="1:16" s="26" customFormat="1" ht="15" customHeight="1" x14ac:dyDescent="0.2">
      <c r="A45" s="17" t="s">
        <v>88</v>
      </c>
      <c r="B45" s="2" t="s">
        <v>89</v>
      </c>
      <c r="C45" s="3" t="s">
        <v>25</v>
      </c>
      <c r="D45" s="4">
        <v>240</v>
      </c>
      <c r="E45" s="33"/>
      <c r="F45" s="33">
        <f t="shared" ref="F45:F54" si="29">AVERAGE(D45*E45)</f>
        <v>0</v>
      </c>
      <c r="G45" s="33"/>
      <c r="H45" s="33">
        <f t="shared" ref="H45:H49" si="30">AVERAGE(F45*G45)</f>
        <v>0</v>
      </c>
      <c r="I45" s="34"/>
      <c r="J45" s="33">
        <f t="shared" ref="J45:J49" si="31">AVERAGE(H45*I45)</f>
        <v>0</v>
      </c>
      <c r="K45" s="35">
        <f t="shared" ref="K45:K49" si="32">SUM(F45+J45+H45)/3</f>
        <v>0</v>
      </c>
    </row>
    <row r="46" spans="1:16" s="26" customFormat="1" ht="48.75" customHeight="1" x14ac:dyDescent="0.2">
      <c r="A46" s="17" t="s">
        <v>90</v>
      </c>
      <c r="B46" s="2" t="s">
        <v>91</v>
      </c>
      <c r="C46" s="3" t="s">
        <v>25</v>
      </c>
      <c r="D46" s="4">
        <v>120</v>
      </c>
      <c r="E46" s="33"/>
      <c r="F46" s="33">
        <f t="shared" si="29"/>
        <v>0</v>
      </c>
      <c r="G46" s="33"/>
      <c r="H46" s="33">
        <f t="shared" si="30"/>
        <v>0</v>
      </c>
      <c r="I46" s="34"/>
      <c r="J46" s="33">
        <f t="shared" si="31"/>
        <v>0</v>
      </c>
      <c r="K46" s="35">
        <f t="shared" si="32"/>
        <v>0</v>
      </c>
    </row>
    <row r="47" spans="1:16" s="26" customFormat="1" ht="48" customHeight="1" x14ac:dyDescent="0.2">
      <c r="A47" s="17" t="s">
        <v>92</v>
      </c>
      <c r="B47" s="2" t="s">
        <v>93</v>
      </c>
      <c r="C47" s="3" t="s">
        <v>25</v>
      </c>
      <c r="D47" s="4">
        <v>120</v>
      </c>
      <c r="E47" s="33"/>
      <c r="F47" s="33">
        <f t="shared" si="29"/>
        <v>0</v>
      </c>
      <c r="G47" s="33"/>
      <c r="H47" s="33">
        <f t="shared" si="30"/>
        <v>0</v>
      </c>
      <c r="I47" s="34"/>
      <c r="J47" s="33">
        <f t="shared" si="31"/>
        <v>0</v>
      </c>
      <c r="K47" s="35">
        <f t="shared" si="32"/>
        <v>0</v>
      </c>
    </row>
    <row r="48" spans="1:16" s="26" customFormat="1" ht="15.75" customHeight="1" x14ac:dyDescent="0.2">
      <c r="A48" s="17" t="s">
        <v>94</v>
      </c>
      <c r="B48" s="2" t="s">
        <v>95</v>
      </c>
      <c r="C48" s="3" t="s">
        <v>32</v>
      </c>
      <c r="D48" s="4">
        <v>1</v>
      </c>
      <c r="E48" s="33"/>
      <c r="F48" s="33">
        <f t="shared" si="29"/>
        <v>0</v>
      </c>
      <c r="G48" s="33"/>
      <c r="H48" s="33">
        <f t="shared" si="30"/>
        <v>0</v>
      </c>
      <c r="I48" s="34"/>
      <c r="J48" s="33">
        <f t="shared" si="31"/>
        <v>0</v>
      </c>
      <c r="K48" s="35">
        <f t="shared" si="32"/>
        <v>0</v>
      </c>
    </row>
    <row r="49" spans="1:16" s="26" customFormat="1" ht="42" customHeight="1" x14ac:dyDescent="0.2">
      <c r="A49" s="17" t="s">
        <v>96</v>
      </c>
      <c r="B49" s="2" t="s">
        <v>97</v>
      </c>
      <c r="C49" s="3" t="s">
        <v>32</v>
      </c>
      <c r="D49" s="4">
        <v>1</v>
      </c>
      <c r="E49" s="33"/>
      <c r="F49" s="33">
        <f t="shared" si="29"/>
        <v>0</v>
      </c>
      <c r="G49" s="33"/>
      <c r="H49" s="33">
        <f t="shared" si="30"/>
        <v>0</v>
      </c>
      <c r="I49" s="34"/>
      <c r="J49" s="33">
        <f t="shared" si="31"/>
        <v>0</v>
      </c>
      <c r="K49" s="35">
        <f t="shared" si="32"/>
        <v>0</v>
      </c>
    </row>
    <row r="50" spans="1:16" s="26" customFormat="1" ht="61.2" x14ac:dyDescent="0.2">
      <c r="A50" s="17" t="s">
        <v>98</v>
      </c>
      <c r="B50" s="2" t="s">
        <v>99</v>
      </c>
      <c r="C50" s="3" t="s">
        <v>32</v>
      </c>
      <c r="D50" s="4">
        <v>23</v>
      </c>
      <c r="E50" s="33"/>
      <c r="F50" s="33">
        <f t="shared" ref="F50" si="33">AVERAGE(D50*E50)</f>
        <v>0</v>
      </c>
      <c r="G50" s="33"/>
      <c r="H50" s="33"/>
      <c r="I50" s="34"/>
      <c r="J50" s="33"/>
      <c r="K50" s="35"/>
    </row>
    <row r="51" spans="1:16" s="26" customFormat="1" ht="61.2" x14ac:dyDescent="0.2">
      <c r="A51" s="17" t="s">
        <v>100</v>
      </c>
      <c r="B51" s="2" t="s">
        <v>101</v>
      </c>
      <c r="C51" s="3" t="s">
        <v>32</v>
      </c>
      <c r="D51" s="4">
        <v>12</v>
      </c>
      <c r="E51" s="33"/>
      <c r="F51" s="33"/>
      <c r="G51" s="33"/>
      <c r="H51" s="33"/>
      <c r="I51" s="34"/>
      <c r="J51" s="33"/>
      <c r="K51" s="35"/>
    </row>
    <row r="52" spans="1:16" s="25" customFormat="1" x14ac:dyDescent="0.3">
      <c r="A52" s="14">
        <v>8</v>
      </c>
      <c r="B52" s="1" t="s">
        <v>102</v>
      </c>
      <c r="C52" s="16"/>
      <c r="D52" s="7"/>
      <c r="E52" s="36"/>
      <c r="F52" s="36"/>
      <c r="G52" s="36"/>
      <c r="H52" s="43"/>
      <c r="I52" s="36"/>
      <c r="J52" s="36"/>
      <c r="K52" s="44"/>
      <c r="L52" s="24"/>
      <c r="M52" s="24"/>
      <c r="N52" s="24"/>
      <c r="O52" s="24"/>
      <c r="P52" s="24"/>
    </row>
    <row r="53" spans="1:16" s="26" customFormat="1" ht="15.75" customHeight="1" x14ac:dyDescent="0.2">
      <c r="A53" s="17" t="s">
        <v>103</v>
      </c>
      <c r="B53" s="2" t="s">
        <v>104</v>
      </c>
      <c r="C53" s="3" t="s">
        <v>38</v>
      </c>
      <c r="D53" s="4">
        <v>20</v>
      </c>
      <c r="E53" s="33"/>
      <c r="F53" s="33"/>
      <c r="G53" s="33"/>
      <c r="H53" s="33"/>
      <c r="I53" s="34"/>
      <c r="J53" s="33"/>
      <c r="K53" s="35"/>
    </row>
    <row r="54" spans="1:16" s="26" customFormat="1" ht="15.75" customHeight="1" thickBot="1" x14ac:dyDescent="0.25">
      <c r="A54" s="17" t="s">
        <v>105</v>
      </c>
      <c r="B54" s="2" t="s">
        <v>106</v>
      </c>
      <c r="C54" s="3" t="s">
        <v>32</v>
      </c>
      <c r="D54" s="4">
        <v>1</v>
      </c>
      <c r="E54" s="33"/>
      <c r="F54" s="33">
        <f t="shared" si="29"/>
        <v>0</v>
      </c>
      <c r="G54" s="33"/>
      <c r="H54" s="33"/>
      <c r="I54" s="34"/>
      <c r="J54" s="33"/>
      <c r="K54" s="35"/>
    </row>
    <row r="55" spans="1:16" ht="10.8" thickBot="1" x14ac:dyDescent="0.35">
      <c r="A55" s="280"/>
      <c r="B55" s="281"/>
      <c r="C55" s="281"/>
      <c r="D55" s="281"/>
      <c r="E55" s="282">
        <f>+SUM(F4:F49)</f>
        <v>0</v>
      </c>
      <c r="F55" s="283"/>
      <c r="G55" s="282">
        <f>+SUM(H4:H49)</f>
        <v>0</v>
      </c>
      <c r="H55" s="283"/>
      <c r="I55" s="282">
        <f>+SUM(J4:J49)</f>
        <v>0</v>
      </c>
      <c r="J55" s="283"/>
      <c r="K55" s="45">
        <f>+SUM(K4:K49)</f>
        <v>0</v>
      </c>
      <c r="L55" s="19"/>
      <c r="M55" s="19"/>
      <c r="N55" s="19"/>
      <c r="O55" s="19"/>
      <c r="P55" s="19"/>
    </row>
    <row r="56" spans="1:16" x14ac:dyDescent="0.3">
      <c r="L56" s="19"/>
      <c r="M56" s="19"/>
      <c r="N56" s="19"/>
      <c r="O56" s="19"/>
      <c r="P56" s="19"/>
    </row>
    <row r="57" spans="1:16" x14ac:dyDescent="0.3">
      <c r="L57" s="19"/>
      <c r="M57" s="19"/>
      <c r="N57" s="19"/>
      <c r="O57" s="19"/>
      <c r="P57" s="19"/>
    </row>
    <row r="58" spans="1:16" x14ac:dyDescent="0.3">
      <c r="L58" s="19"/>
      <c r="M58" s="19"/>
      <c r="N58" s="19"/>
      <c r="O58" s="19"/>
      <c r="P58" s="19"/>
    </row>
  </sheetData>
  <mergeCells count="6">
    <mergeCell ref="A1:K1"/>
    <mergeCell ref="A2:K2"/>
    <mergeCell ref="A55:D55"/>
    <mergeCell ref="E55:F55"/>
    <mergeCell ref="G55:H55"/>
    <mergeCell ref="I55:J55"/>
  </mergeCells>
  <printOptions horizontalCentered="1"/>
  <pageMargins left="0.70866141732283472" right="0.70866141732283472" top="0.74803149606299213" bottom="0.74803149606299213" header="0.31496062992125984" footer="0.31496062992125984"/>
  <pageSetup scale="46" orientation="portrait" r:id="rId1"/>
  <rowBreaks count="1" manualBreakCount="1">
    <brk id="43"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A3912C-0F5D-4785-AF4F-15567DF9DD43}">
  <dimension ref="A1:Q102"/>
  <sheetViews>
    <sheetView tabSelected="1" view="pageBreakPreview" zoomScale="80" zoomScaleNormal="100" zoomScaleSheetLayoutView="80" workbookViewId="0">
      <selection activeCell="O90" sqref="O90"/>
    </sheetView>
  </sheetViews>
  <sheetFormatPr baseColWidth="10" defaultColWidth="11.44140625" defaultRowHeight="12" x14ac:dyDescent="0.2"/>
  <cols>
    <col min="1" max="2" width="10.6640625" style="100" customWidth="1"/>
    <col min="3" max="3" width="47.33203125" style="101" customWidth="1"/>
    <col min="4" max="4" width="11.88671875" style="102" customWidth="1"/>
    <col min="5" max="5" width="12.88671875" style="103" customWidth="1"/>
    <col min="6" max="7" width="17.88671875" style="89" customWidth="1"/>
    <col min="8" max="8" width="18" style="89" customWidth="1"/>
    <col min="9" max="9" width="20.33203125" style="89" bestFit="1" customWidth="1"/>
    <col min="10" max="11" width="20.33203125" style="89" customWidth="1"/>
    <col min="12" max="12" width="21.109375" style="89" customWidth="1"/>
    <col min="13" max="13" width="17.88671875" style="89" customWidth="1"/>
    <col min="14" max="15" width="19" style="85" customWidth="1"/>
    <col min="16" max="16" width="16.5546875" style="110" bestFit="1" customWidth="1"/>
    <col min="17" max="17" width="16.33203125" style="74" bestFit="1" customWidth="1"/>
    <col min="18" max="16384" width="11.44140625" style="74"/>
  </cols>
  <sheetData>
    <row r="1" spans="1:17" ht="12" customHeight="1" x14ac:dyDescent="0.3">
      <c r="A1" s="300" t="s">
        <v>107</v>
      </c>
      <c r="B1" s="300"/>
      <c r="C1" s="300"/>
      <c r="D1" s="300"/>
      <c r="E1" s="300"/>
      <c r="F1" s="300"/>
      <c r="G1" s="300"/>
      <c r="H1" s="300"/>
      <c r="I1" s="300"/>
      <c r="J1" s="300"/>
      <c r="K1" s="300"/>
      <c r="L1" s="300"/>
      <c r="M1" s="300"/>
      <c r="N1" s="73"/>
      <c r="O1" s="73"/>
    </row>
    <row r="2" spans="1:17" ht="12" customHeight="1" thickBot="1" x14ac:dyDescent="0.35">
      <c r="A2" s="300"/>
      <c r="B2" s="300"/>
      <c r="C2" s="300"/>
      <c r="D2" s="300"/>
      <c r="E2" s="300"/>
      <c r="F2" s="301"/>
      <c r="G2" s="301"/>
      <c r="H2" s="301"/>
      <c r="I2" s="301"/>
      <c r="J2" s="301"/>
      <c r="K2" s="301"/>
      <c r="L2" s="300"/>
      <c r="M2" s="300"/>
      <c r="N2" s="73"/>
      <c r="O2" s="73"/>
    </row>
    <row r="3" spans="1:17" s="75" customFormat="1" ht="18.600000000000001" customHeight="1" x14ac:dyDescent="0.3">
      <c r="A3" s="309" t="s">
        <v>2</v>
      </c>
      <c r="B3" s="167"/>
      <c r="C3" s="309" t="s">
        <v>108</v>
      </c>
      <c r="D3" s="309" t="s">
        <v>109</v>
      </c>
      <c r="E3" s="310" t="s">
        <v>5</v>
      </c>
      <c r="F3" s="302" t="s">
        <v>110</v>
      </c>
      <c r="G3" s="303"/>
      <c r="H3" s="304" t="s">
        <v>111</v>
      </c>
      <c r="I3" s="305"/>
      <c r="J3" s="303" t="s">
        <v>112</v>
      </c>
      <c r="K3" s="308"/>
      <c r="L3" s="306" t="s">
        <v>8</v>
      </c>
      <c r="M3" s="307"/>
      <c r="N3" s="73"/>
      <c r="O3" s="73"/>
      <c r="P3" s="111"/>
    </row>
    <row r="4" spans="1:17" s="76" customFormat="1" ht="40.950000000000003" customHeight="1" x14ac:dyDescent="0.3">
      <c r="A4" s="309"/>
      <c r="B4" s="167"/>
      <c r="C4" s="309"/>
      <c r="D4" s="309"/>
      <c r="E4" s="310"/>
      <c r="F4" s="128" t="s">
        <v>6</v>
      </c>
      <c r="G4" s="245" t="s">
        <v>7</v>
      </c>
      <c r="H4" s="128" t="s">
        <v>6</v>
      </c>
      <c r="I4" s="129" t="s">
        <v>7</v>
      </c>
      <c r="J4" s="122" t="s">
        <v>6</v>
      </c>
      <c r="K4" s="129" t="s">
        <v>7</v>
      </c>
      <c r="L4" s="122" t="s">
        <v>113</v>
      </c>
      <c r="M4" s="70" t="s">
        <v>114</v>
      </c>
      <c r="N4" s="73"/>
      <c r="O4" s="73"/>
      <c r="P4" s="112"/>
    </row>
    <row r="5" spans="1:17" s="79" customFormat="1" x14ac:dyDescent="0.3">
      <c r="A5" s="168">
        <v>1</v>
      </c>
      <c r="B5" s="168"/>
      <c r="C5" s="169" t="s">
        <v>115</v>
      </c>
      <c r="D5" s="170"/>
      <c r="E5" s="171"/>
      <c r="F5" s="130"/>
      <c r="G5" s="264">
        <f>G6+G14+G20+G23</f>
        <v>162684415.68000001</v>
      </c>
      <c r="H5" s="130"/>
      <c r="I5" s="264">
        <f>I6+I14+I20+I23</f>
        <v>170536347.51999998</v>
      </c>
      <c r="J5" s="124"/>
      <c r="K5" s="264">
        <f>K6+K14+K20+K23</f>
        <v>158024836.59999999</v>
      </c>
      <c r="L5" s="124"/>
      <c r="M5" s="77"/>
      <c r="N5" s="78"/>
      <c r="O5" s="78"/>
      <c r="P5" s="113"/>
    </row>
    <row r="6" spans="1:17" x14ac:dyDescent="0.3">
      <c r="A6" s="172" t="s">
        <v>11</v>
      </c>
      <c r="B6" s="172"/>
      <c r="C6" s="173" t="s">
        <v>116</v>
      </c>
      <c r="D6" s="174"/>
      <c r="E6" s="175"/>
      <c r="F6" s="174"/>
      <c r="G6" s="265">
        <f>SUM(G7:G13)</f>
        <v>68977000</v>
      </c>
      <c r="H6" s="251"/>
      <c r="I6" s="265">
        <f>SUM(I7:I13)</f>
        <v>72280000</v>
      </c>
      <c r="J6" s="248"/>
      <c r="K6" s="265">
        <f>SUM(K7:K13)</f>
        <v>70723000</v>
      </c>
      <c r="L6" s="174"/>
      <c r="M6" s="174"/>
      <c r="N6" s="71">
        <f t="shared" ref="N6:N12" si="0">+L6*(1+$L$66+$L$67+$L$68)+L6*$L$69*$L$68</f>
        <v>0</v>
      </c>
      <c r="O6" s="71">
        <f t="shared" ref="O6:O30" si="1">ROUND(N6*E6,4)</f>
        <v>0</v>
      </c>
      <c r="Q6" s="120">
        <f>+O6-P6</f>
        <v>0</v>
      </c>
    </row>
    <row r="7" spans="1:17" s="83" customFormat="1" ht="34.200000000000003" x14ac:dyDescent="0.2">
      <c r="A7" s="147" t="s">
        <v>117</v>
      </c>
      <c r="B7" s="147" t="s">
        <v>118</v>
      </c>
      <c r="C7" s="144" t="s">
        <v>119</v>
      </c>
      <c r="D7" s="139" t="s">
        <v>16</v>
      </c>
      <c r="E7" s="140">
        <v>334</v>
      </c>
      <c r="F7" s="134">
        <v>15000</v>
      </c>
      <c r="G7" s="246">
        <f t="shared" ref="G7:K30" si="2">ROUND($E7*F7,2)</f>
        <v>5010000</v>
      </c>
      <c r="H7" s="134">
        <v>16000</v>
      </c>
      <c r="I7" s="135">
        <f>ROUND($E7*H7,2)</f>
        <v>5344000</v>
      </c>
      <c r="J7" s="125">
        <v>16000</v>
      </c>
      <c r="K7" s="135">
        <f t="shared" si="2"/>
        <v>5344000</v>
      </c>
      <c r="L7" s="125">
        <f t="shared" ref="L7:L30" si="3">ROUND(AVERAGE(H7,F7,J7),2)</f>
        <v>15666.67</v>
      </c>
      <c r="M7" s="108">
        <f t="shared" ref="M7" si="4">$E7*L7</f>
        <v>5232667.78</v>
      </c>
      <c r="N7" s="71">
        <f>+L7*(1+$L$66+$L$67+$L$68)+L7*$L$69*$L$68</f>
        <v>21169.94817091</v>
      </c>
      <c r="O7" s="121">
        <f t="shared" si="1"/>
        <v>7070762.6891000001</v>
      </c>
      <c r="P7" s="115"/>
      <c r="Q7" s="120">
        <f t="shared" ref="Q7:Q30" si="5">+O7-P7</f>
        <v>7070762.6891000001</v>
      </c>
    </row>
    <row r="8" spans="1:17" s="83" customFormat="1" ht="34.200000000000003" x14ac:dyDescent="0.2">
      <c r="A8" s="147" t="s">
        <v>120</v>
      </c>
      <c r="B8" s="147" t="s">
        <v>118</v>
      </c>
      <c r="C8" s="144" t="s">
        <v>121</v>
      </c>
      <c r="D8" s="139" t="s">
        <v>16</v>
      </c>
      <c r="E8" s="140">
        <v>334</v>
      </c>
      <c r="F8" s="134">
        <v>129000</v>
      </c>
      <c r="G8" s="246">
        <f t="shared" si="2"/>
        <v>43086000</v>
      </c>
      <c r="H8" s="134">
        <v>135000</v>
      </c>
      <c r="I8" s="135">
        <f t="shared" si="2"/>
        <v>45090000</v>
      </c>
      <c r="J8" s="125">
        <v>132000</v>
      </c>
      <c r="K8" s="135">
        <f t="shared" si="2"/>
        <v>44088000</v>
      </c>
      <c r="L8" s="125">
        <f t="shared" si="3"/>
        <v>132000</v>
      </c>
      <c r="M8" s="108">
        <f t="shared" ref="M8" si="6">$E8*L8</f>
        <v>44088000</v>
      </c>
      <c r="N8" s="71">
        <f t="shared" si="0"/>
        <v>178368.03599999999</v>
      </c>
      <c r="O8" s="71">
        <f t="shared" si="1"/>
        <v>59574924.023999996</v>
      </c>
      <c r="P8" s="115"/>
      <c r="Q8" s="120">
        <f t="shared" si="5"/>
        <v>59574924.023999996</v>
      </c>
    </row>
    <row r="9" spans="1:17" s="83" customFormat="1" ht="34.200000000000003" x14ac:dyDescent="0.2">
      <c r="A9" s="147" t="s">
        <v>122</v>
      </c>
      <c r="B9" s="147" t="s">
        <v>118</v>
      </c>
      <c r="C9" s="144" t="s">
        <v>123</v>
      </c>
      <c r="D9" s="139" t="s">
        <v>25</v>
      </c>
      <c r="E9" s="140">
        <f>37*4</f>
        <v>148</v>
      </c>
      <c r="F9" s="134">
        <v>13000</v>
      </c>
      <c r="G9" s="246">
        <f t="shared" si="2"/>
        <v>1924000</v>
      </c>
      <c r="H9" s="134">
        <v>13000</v>
      </c>
      <c r="I9" s="135">
        <f t="shared" si="2"/>
        <v>1924000</v>
      </c>
      <c r="J9" s="125">
        <v>13000</v>
      </c>
      <c r="K9" s="135">
        <f t="shared" si="2"/>
        <v>1924000</v>
      </c>
      <c r="L9" s="125">
        <f t="shared" si="3"/>
        <v>13000</v>
      </c>
      <c r="M9" s="108">
        <f t="shared" ref="M9" si="7">$E9*L9</f>
        <v>1924000</v>
      </c>
      <c r="N9" s="71">
        <f t="shared" si="0"/>
        <v>17566.548999999999</v>
      </c>
      <c r="O9" s="71">
        <f t="shared" si="1"/>
        <v>2599849.2519999999</v>
      </c>
      <c r="P9" s="115"/>
      <c r="Q9" s="120">
        <f t="shared" si="5"/>
        <v>2599849.2519999999</v>
      </c>
    </row>
    <row r="10" spans="1:17" s="83" customFormat="1" ht="34.200000000000003" x14ac:dyDescent="0.2">
      <c r="A10" s="147" t="s">
        <v>124</v>
      </c>
      <c r="B10" s="147" t="s">
        <v>118</v>
      </c>
      <c r="C10" s="144" t="s">
        <v>125</v>
      </c>
      <c r="D10" s="139" t="s">
        <v>25</v>
      </c>
      <c r="E10" s="140">
        <f>37*4</f>
        <v>148</v>
      </c>
      <c r="F10" s="134">
        <v>97000</v>
      </c>
      <c r="G10" s="246">
        <f t="shared" si="2"/>
        <v>14356000</v>
      </c>
      <c r="H10" s="134">
        <v>102000</v>
      </c>
      <c r="I10" s="135">
        <f t="shared" si="2"/>
        <v>15096000</v>
      </c>
      <c r="J10" s="125">
        <v>99000</v>
      </c>
      <c r="K10" s="135">
        <f t="shared" si="2"/>
        <v>14652000</v>
      </c>
      <c r="L10" s="125">
        <f t="shared" si="3"/>
        <v>99333.33</v>
      </c>
      <c r="M10" s="108">
        <f t="shared" ref="M10" si="8">$E10*L10</f>
        <v>14701332.84</v>
      </c>
      <c r="N10" s="71">
        <f t="shared" si="0"/>
        <v>134226.44682909001</v>
      </c>
      <c r="O10" s="71">
        <f t="shared" si="1"/>
        <v>19865514.1307</v>
      </c>
      <c r="P10" s="115"/>
      <c r="Q10" s="120">
        <f t="shared" si="5"/>
        <v>19865514.1307</v>
      </c>
    </row>
    <row r="11" spans="1:17" s="83" customFormat="1" ht="34.200000000000003" x14ac:dyDescent="0.2">
      <c r="A11" s="147" t="s">
        <v>126</v>
      </c>
      <c r="B11" s="147" t="s">
        <v>118</v>
      </c>
      <c r="C11" s="144" t="s">
        <v>127</v>
      </c>
      <c r="D11" s="139" t="s">
        <v>25</v>
      </c>
      <c r="E11" s="140">
        <v>35</v>
      </c>
      <c r="F11" s="134">
        <v>42000</v>
      </c>
      <c r="G11" s="246">
        <f t="shared" si="2"/>
        <v>1470000</v>
      </c>
      <c r="H11" s="134">
        <v>44000</v>
      </c>
      <c r="I11" s="135">
        <f t="shared" si="2"/>
        <v>1540000</v>
      </c>
      <c r="J11" s="125">
        <v>43000</v>
      </c>
      <c r="K11" s="135">
        <f t="shared" si="2"/>
        <v>1505000</v>
      </c>
      <c r="L11" s="125">
        <f t="shared" si="3"/>
        <v>43000</v>
      </c>
      <c r="M11" s="108">
        <f t="shared" ref="M11:M12" si="9">$E11*L11</f>
        <v>1505000</v>
      </c>
      <c r="N11" s="71">
        <f t="shared" si="0"/>
        <v>58104.739000000001</v>
      </c>
      <c r="O11" s="71">
        <f t="shared" si="1"/>
        <v>2033665.865</v>
      </c>
      <c r="P11" s="115"/>
      <c r="Q11" s="120">
        <f t="shared" si="5"/>
        <v>2033665.865</v>
      </c>
    </row>
    <row r="12" spans="1:17" s="83" customFormat="1" ht="57" x14ac:dyDescent="0.2">
      <c r="A12" s="147" t="s">
        <v>128</v>
      </c>
      <c r="B12" s="147" t="s">
        <v>118</v>
      </c>
      <c r="C12" s="144" t="s">
        <v>129</v>
      </c>
      <c r="D12" s="139" t="s">
        <v>32</v>
      </c>
      <c r="E12" s="140">
        <v>2</v>
      </c>
      <c r="F12" s="134">
        <v>208000</v>
      </c>
      <c r="G12" s="246">
        <f t="shared" si="2"/>
        <v>416000</v>
      </c>
      <c r="H12" s="134">
        <v>218000</v>
      </c>
      <c r="I12" s="135">
        <f t="shared" si="2"/>
        <v>436000</v>
      </c>
      <c r="J12" s="125">
        <v>213000</v>
      </c>
      <c r="K12" s="135">
        <f t="shared" si="2"/>
        <v>426000</v>
      </c>
      <c r="L12" s="125">
        <f t="shared" si="3"/>
        <v>213000</v>
      </c>
      <c r="M12" s="108">
        <f t="shared" si="9"/>
        <v>426000</v>
      </c>
      <c r="N12" s="71">
        <f t="shared" si="0"/>
        <v>287821.14899999998</v>
      </c>
      <c r="O12" s="71">
        <f t="shared" si="1"/>
        <v>575642.29799999995</v>
      </c>
      <c r="P12" s="115"/>
      <c r="Q12" s="120">
        <f t="shared" si="5"/>
        <v>575642.29799999995</v>
      </c>
    </row>
    <row r="13" spans="1:17" s="83" customFormat="1" ht="92.4" customHeight="1" x14ac:dyDescent="0.2">
      <c r="A13" s="147" t="s">
        <v>130</v>
      </c>
      <c r="B13" s="147" t="s">
        <v>118</v>
      </c>
      <c r="C13" s="144" t="s">
        <v>131</v>
      </c>
      <c r="D13" s="139" t="s">
        <v>32</v>
      </c>
      <c r="E13" s="140">
        <v>1</v>
      </c>
      <c r="F13" s="134">
        <v>2715000</v>
      </c>
      <c r="G13" s="246">
        <f t="shared" si="2"/>
        <v>2715000</v>
      </c>
      <c r="H13" s="134">
        <v>2850000</v>
      </c>
      <c r="I13" s="135">
        <f>ROUND($E13*H13,2)</f>
        <v>2850000</v>
      </c>
      <c r="J13" s="125">
        <v>2784000</v>
      </c>
      <c r="K13" s="135">
        <f t="shared" si="2"/>
        <v>2784000</v>
      </c>
      <c r="L13" s="125">
        <f t="shared" si="3"/>
        <v>2783000</v>
      </c>
      <c r="M13" s="108">
        <f t="shared" ref="M13" si="10">$E13*L13</f>
        <v>2783000</v>
      </c>
      <c r="N13" s="71">
        <f t="shared" ref="N13:N28" si="11">+L13*(1+$L$66+$L$67+$L$68)+L13*$L$69*$L$68</f>
        <v>3760592.7590000001</v>
      </c>
      <c r="O13" s="71">
        <f t="shared" si="1"/>
        <v>3760592.7590000001</v>
      </c>
      <c r="P13" s="115"/>
      <c r="Q13" s="120">
        <f t="shared" si="5"/>
        <v>3760592.7590000001</v>
      </c>
    </row>
    <row r="14" spans="1:17" s="81" customFormat="1" x14ac:dyDescent="0.3">
      <c r="A14" s="172" t="s">
        <v>14</v>
      </c>
      <c r="B14" s="172"/>
      <c r="C14" s="173" t="s">
        <v>132</v>
      </c>
      <c r="D14" s="174"/>
      <c r="E14" s="175"/>
      <c r="F14" s="174"/>
      <c r="G14" s="265">
        <f>SUM(G15:G19)</f>
        <v>35608535.68</v>
      </c>
      <c r="H14" s="251"/>
      <c r="I14" s="265">
        <f>SUM(I15:I19)</f>
        <v>37429417.519999996</v>
      </c>
      <c r="J14" s="248"/>
      <c r="K14" s="265">
        <f>SUM(K15:K19)</f>
        <v>36604306.600000001</v>
      </c>
      <c r="L14" s="174"/>
      <c r="M14" s="174"/>
      <c r="N14" s="71">
        <f t="shared" si="11"/>
        <v>0</v>
      </c>
      <c r="O14" s="71">
        <f t="shared" si="1"/>
        <v>0</v>
      </c>
      <c r="P14" s="114"/>
      <c r="Q14" s="120">
        <f t="shared" si="5"/>
        <v>0</v>
      </c>
    </row>
    <row r="15" spans="1:17" ht="114" x14ac:dyDescent="0.3">
      <c r="A15" s="147" t="s">
        <v>133</v>
      </c>
      <c r="B15" s="147" t="s">
        <v>118</v>
      </c>
      <c r="C15" s="138" t="s">
        <v>134</v>
      </c>
      <c r="D15" s="139" t="s">
        <v>16</v>
      </c>
      <c r="E15" s="140">
        <v>258.92</v>
      </c>
      <c r="F15" s="134">
        <v>55000</v>
      </c>
      <c r="G15" s="246">
        <f t="shared" si="2"/>
        <v>14240600</v>
      </c>
      <c r="H15" s="134">
        <v>58000</v>
      </c>
      <c r="I15" s="135">
        <f>ROUND($E15*H15,2)</f>
        <v>15017360</v>
      </c>
      <c r="J15" s="125">
        <v>57000</v>
      </c>
      <c r="K15" s="135">
        <f t="shared" si="2"/>
        <v>14758440</v>
      </c>
      <c r="L15" s="125">
        <f t="shared" si="3"/>
        <v>56666.67</v>
      </c>
      <c r="M15" s="108">
        <f t="shared" ref="M15:M18" si="12">$E15*L15</f>
        <v>14672134.1964</v>
      </c>
      <c r="N15" s="71">
        <f t="shared" si="11"/>
        <v>76572.141170909992</v>
      </c>
      <c r="O15" s="71">
        <f t="shared" si="1"/>
        <v>19826058.791999999</v>
      </c>
      <c r="Q15" s="120">
        <f t="shared" si="5"/>
        <v>19826058.791999999</v>
      </c>
    </row>
    <row r="16" spans="1:17" ht="57" x14ac:dyDescent="0.3">
      <c r="A16" s="147" t="s">
        <v>135</v>
      </c>
      <c r="B16" s="147" t="s">
        <v>118</v>
      </c>
      <c r="C16" s="138" t="s">
        <v>136</v>
      </c>
      <c r="D16" s="139" t="s">
        <v>16</v>
      </c>
      <c r="E16" s="140">
        <v>258.91500000000002</v>
      </c>
      <c r="F16" s="134">
        <v>20000</v>
      </c>
      <c r="G16" s="246">
        <f t="shared" si="2"/>
        <v>5178300</v>
      </c>
      <c r="H16" s="134">
        <v>21000</v>
      </c>
      <c r="I16" s="135">
        <f t="shared" si="2"/>
        <v>5437215</v>
      </c>
      <c r="J16" s="125">
        <v>20000</v>
      </c>
      <c r="K16" s="135">
        <f t="shared" si="2"/>
        <v>5178300</v>
      </c>
      <c r="L16" s="125">
        <f t="shared" si="3"/>
        <v>20333.330000000002</v>
      </c>
      <c r="M16" s="108">
        <f t="shared" si="12"/>
        <v>5264604.1369500011</v>
      </c>
      <c r="N16" s="71">
        <f t="shared" si="11"/>
        <v>27475.879829090005</v>
      </c>
      <c r="O16" s="71">
        <f t="shared" si="1"/>
        <v>7113917.4259000001</v>
      </c>
      <c r="Q16" s="120">
        <f t="shared" si="5"/>
        <v>7113917.4259000001</v>
      </c>
    </row>
    <row r="17" spans="1:17" ht="102.6" x14ac:dyDescent="0.3">
      <c r="A17" s="147" t="s">
        <v>137</v>
      </c>
      <c r="B17" s="176" t="s">
        <v>138</v>
      </c>
      <c r="C17" s="138" t="s">
        <v>139</v>
      </c>
      <c r="D17" s="139" t="s">
        <v>16</v>
      </c>
      <c r="E17" s="140">
        <v>23.63796</v>
      </c>
      <c r="F17" s="134">
        <v>83000</v>
      </c>
      <c r="G17" s="246">
        <f t="shared" si="2"/>
        <v>1961950.68</v>
      </c>
      <c r="H17" s="150">
        <v>87000</v>
      </c>
      <c r="I17" s="135">
        <f t="shared" si="2"/>
        <v>2056502.52</v>
      </c>
      <c r="J17" s="125">
        <v>85000</v>
      </c>
      <c r="K17" s="135">
        <f t="shared" si="2"/>
        <v>2009226.6</v>
      </c>
      <c r="L17" s="125">
        <f t="shared" si="3"/>
        <v>85000</v>
      </c>
      <c r="M17" s="108">
        <f t="shared" si="12"/>
        <v>2009226.5999999999</v>
      </c>
      <c r="N17" s="71">
        <f t="shared" si="11"/>
        <v>114858.205</v>
      </c>
      <c r="O17" s="71">
        <f t="shared" si="1"/>
        <v>2715013.6554999999</v>
      </c>
      <c r="Q17" s="120">
        <f t="shared" si="5"/>
        <v>2715013.6554999999</v>
      </c>
    </row>
    <row r="18" spans="1:17" ht="68.400000000000006" x14ac:dyDescent="0.3">
      <c r="A18" s="147" t="s">
        <v>140</v>
      </c>
      <c r="B18" s="176" t="s">
        <v>138</v>
      </c>
      <c r="C18" s="138" t="s">
        <v>141</v>
      </c>
      <c r="D18" s="139" t="s">
        <v>16</v>
      </c>
      <c r="E18" s="140">
        <v>170.655</v>
      </c>
      <c r="F18" s="134">
        <v>27000</v>
      </c>
      <c r="G18" s="246">
        <f t="shared" si="2"/>
        <v>4607685</v>
      </c>
      <c r="H18" s="150">
        <v>28000</v>
      </c>
      <c r="I18" s="135">
        <f t="shared" si="2"/>
        <v>4778340</v>
      </c>
      <c r="J18" s="125">
        <v>28000</v>
      </c>
      <c r="K18" s="135">
        <f t="shared" si="2"/>
        <v>4778340</v>
      </c>
      <c r="L18" s="125">
        <f t="shared" si="3"/>
        <v>27666.67</v>
      </c>
      <c r="M18" s="108">
        <f t="shared" si="12"/>
        <v>4721455.5688499995</v>
      </c>
      <c r="N18" s="71">
        <f t="shared" si="11"/>
        <v>37385.224170909998</v>
      </c>
      <c r="O18" s="71">
        <f t="shared" si="1"/>
        <v>6379975.4309</v>
      </c>
      <c r="Q18" s="120">
        <f t="shared" si="5"/>
        <v>6379975.4309</v>
      </c>
    </row>
    <row r="19" spans="1:17" ht="68.400000000000006" x14ac:dyDescent="0.3">
      <c r="A19" s="147" t="s">
        <v>142</v>
      </c>
      <c r="B19" s="176" t="s">
        <v>138</v>
      </c>
      <c r="C19" s="138" t="s">
        <v>143</v>
      </c>
      <c r="D19" s="139" t="s">
        <v>16</v>
      </c>
      <c r="E19" s="140">
        <v>260</v>
      </c>
      <c r="F19" s="134">
        <v>37000</v>
      </c>
      <c r="G19" s="246">
        <f t="shared" si="2"/>
        <v>9620000</v>
      </c>
      <c r="H19" s="150">
        <v>39000</v>
      </c>
      <c r="I19" s="135">
        <f>ROUND($E19*H19,2)</f>
        <v>10140000</v>
      </c>
      <c r="J19" s="125">
        <v>38000</v>
      </c>
      <c r="K19" s="135">
        <f t="shared" si="2"/>
        <v>9880000</v>
      </c>
      <c r="L19" s="125">
        <f t="shared" si="3"/>
        <v>38000</v>
      </c>
      <c r="M19" s="108">
        <f t="shared" ref="M19" si="13">$E19*L19</f>
        <v>9880000</v>
      </c>
      <c r="N19" s="71">
        <f t="shared" si="11"/>
        <v>51348.373999999996</v>
      </c>
      <c r="O19" s="71">
        <f t="shared" si="1"/>
        <v>13350577.24</v>
      </c>
      <c r="Q19" s="120">
        <f t="shared" si="5"/>
        <v>13350577.24</v>
      </c>
    </row>
    <row r="20" spans="1:17" x14ac:dyDescent="0.3">
      <c r="A20" s="177" t="s">
        <v>17</v>
      </c>
      <c r="B20" s="177"/>
      <c r="C20" s="178" t="s">
        <v>51</v>
      </c>
      <c r="D20" s="179"/>
      <c r="E20" s="180"/>
      <c r="F20" s="179"/>
      <c r="G20" s="265">
        <f>SUM(G21:G22)</f>
        <v>23040000</v>
      </c>
      <c r="H20" s="251"/>
      <c r="I20" s="265">
        <f>SUM(I21:I22)</f>
        <v>24000000</v>
      </c>
      <c r="J20" s="249"/>
      <c r="K20" s="265">
        <f>SUM(K21:K22)</f>
        <v>23360000</v>
      </c>
      <c r="L20" s="179"/>
      <c r="M20" s="179"/>
      <c r="N20" s="71">
        <f t="shared" si="11"/>
        <v>0</v>
      </c>
      <c r="O20" s="71">
        <f t="shared" si="1"/>
        <v>0</v>
      </c>
      <c r="Q20" s="120">
        <f t="shared" si="5"/>
        <v>0</v>
      </c>
    </row>
    <row r="21" spans="1:17" ht="24" x14ac:dyDescent="0.3">
      <c r="A21" s="147" t="s">
        <v>144</v>
      </c>
      <c r="B21" s="176" t="s">
        <v>145</v>
      </c>
      <c r="C21" s="138" t="s">
        <v>146</v>
      </c>
      <c r="D21" s="139" t="s">
        <v>16</v>
      </c>
      <c r="E21" s="140">
        <f>16*20</f>
        <v>320</v>
      </c>
      <c r="F21" s="134">
        <v>10000</v>
      </c>
      <c r="G21" s="246">
        <f t="shared" si="2"/>
        <v>3200000</v>
      </c>
      <c r="H21" s="134">
        <v>10000</v>
      </c>
      <c r="I21" s="135">
        <f t="shared" si="2"/>
        <v>3200000</v>
      </c>
      <c r="J21" s="125">
        <v>10000</v>
      </c>
      <c r="K21" s="135">
        <f t="shared" si="2"/>
        <v>3200000</v>
      </c>
      <c r="L21" s="125">
        <f t="shared" si="3"/>
        <v>10000</v>
      </c>
      <c r="M21" s="108">
        <f t="shared" ref="M21" si="14">$E21*L21</f>
        <v>3200000</v>
      </c>
      <c r="N21" s="71">
        <f t="shared" si="11"/>
        <v>13512.73</v>
      </c>
      <c r="O21" s="71">
        <f t="shared" si="1"/>
        <v>4324073.5999999996</v>
      </c>
      <c r="Q21" s="120">
        <f t="shared" si="5"/>
        <v>4324073.5999999996</v>
      </c>
    </row>
    <row r="22" spans="1:17" ht="57" customHeight="1" x14ac:dyDescent="0.3">
      <c r="A22" s="147" t="s">
        <v>147</v>
      </c>
      <c r="B22" s="176" t="s">
        <v>145</v>
      </c>
      <c r="C22" s="138" t="s">
        <v>148</v>
      </c>
      <c r="D22" s="139" t="s">
        <v>16</v>
      </c>
      <c r="E22" s="140">
        <f>+E21</f>
        <v>320</v>
      </c>
      <c r="F22" s="134">
        <v>62000</v>
      </c>
      <c r="G22" s="246">
        <f t="shared" si="2"/>
        <v>19840000</v>
      </c>
      <c r="H22" s="134">
        <v>65000</v>
      </c>
      <c r="I22" s="135">
        <f>ROUND($E22*H22,2)</f>
        <v>20800000</v>
      </c>
      <c r="J22" s="125">
        <v>63000</v>
      </c>
      <c r="K22" s="135">
        <f t="shared" si="2"/>
        <v>20160000</v>
      </c>
      <c r="L22" s="125">
        <f t="shared" si="3"/>
        <v>63333.33</v>
      </c>
      <c r="M22" s="108">
        <f t="shared" ref="M22" si="15">$E22*L22</f>
        <v>20266665.600000001</v>
      </c>
      <c r="N22" s="71">
        <f t="shared" si="11"/>
        <v>85580.618829090003</v>
      </c>
      <c r="O22" s="71">
        <f t="shared" si="1"/>
        <v>27385798.0253</v>
      </c>
      <c r="Q22" s="120">
        <f t="shared" si="5"/>
        <v>27385798.0253</v>
      </c>
    </row>
    <row r="23" spans="1:17" s="81" customFormat="1" x14ac:dyDescent="0.3">
      <c r="A23" s="177">
        <v>14</v>
      </c>
      <c r="B23" s="177"/>
      <c r="C23" s="178" t="s">
        <v>149</v>
      </c>
      <c r="D23" s="179"/>
      <c r="E23" s="180"/>
      <c r="F23" s="179"/>
      <c r="G23" s="265">
        <f>SUM(G24:G30)</f>
        <v>35058880</v>
      </c>
      <c r="H23" s="251"/>
      <c r="I23" s="265">
        <f>SUM(I24:I30)</f>
        <v>36826930</v>
      </c>
      <c r="J23" s="249"/>
      <c r="K23" s="265">
        <f>SUM(K24:K30)</f>
        <v>27337530</v>
      </c>
      <c r="L23" s="179"/>
      <c r="M23" s="179"/>
      <c r="N23" s="71">
        <f t="shared" si="11"/>
        <v>0</v>
      </c>
      <c r="O23" s="71">
        <f t="shared" si="1"/>
        <v>0</v>
      </c>
      <c r="P23" s="114"/>
      <c r="Q23" s="120">
        <f t="shared" si="5"/>
        <v>0</v>
      </c>
    </row>
    <row r="24" spans="1:17" ht="22.95" customHeight="1" x14ac:dyDescent="0.3">
      <c r="A24" s="147" t="s">
        <v>150</v>
      </c>
      <c r="B24" s="176" t="s">
        <v>145</v>
      </c>
      <c r="C24" s="138" t="s">
        <v>64</v>
      </c>
      <c r="D24" s="139" t="s">
        <v>25</v>
      </c>
      <c r="E24" s="140">
        <f>(2.15+2+2.8+2+2.8+2.8+1.45+1.45+1.1+1.47+1.2+1.6+2+2.5+2.3+2.2+3.9+2.2+5+2.2+2.2+1.5+1.5+3.2+3.1+2.8+3+2.8+2.8)*4</f>
        <v>272.08000000000004</v>
      </c>
      <c r="F24" s="134">
        <v>23000</v>
      </c>
      <c r="G24" s="246">
        <f t="shared" si="2"/>
        <v>6257840</v>
      </c>
      <c r="H24" s="134">
        <v>24000</v>
      </c>
      <c r="I24" s="135">
        <f t="shared" si="2"/>
        <v>6529920</v>
      </c>
      <c r="J24" s="125">
        <v>23000</v>
      </c>
      <c r="K24" s="135">
        <f t="shared" si="2"/>
        <v>6257840</v>
      </c>
      <c r="L24" s="125">
        <f t="shared" si="3"/>
        <v>23333.33</v>
      </c>
      <c r="M24" s="108">
        <f t="shared" ref="M24" si="16">$E24*L24</f>
        <v>6348532.4264000012</v>
      </c>
      <c r="N24" s="71">
        <f t="shared" si="11"/>
        <v>31529.698829090001</v>
      </c>
      <c r="O24" s="71">
        <f t="shared" si="1"/>
        <v>8578600.4573999997</v>
      </c>
      <c r="Q24" s="120">
        <f t="shared" si="5"/>
        <v>8578600.4573999997</v>
      </c>
    </row>
    <row r="25" spans="1:17" ht="24" x14ac:dyDescent="0.3">
      <c r="A25" s="147" t="s">
        <v>151</v>
      </c>
      <c r="B25" s="176" t="s">
        <v>145</v>
      </c>
      <c r="C25" s="138" t="s">
        <v>152</v>
      </c>
      <c r="D25" s="139" t="s">
        <v>16</v>
      </c>
      <c r="E25" s="140">
        <v>120</v>
      </c>
      <c r="F25" s="134">
        <v>151000</v>
      </c>
      <c r="G25" s="246">
        <f t="shared" si="2"/>
        <v>18120000</v>
      </c>
      <c r="H25" s="134">
        <v>159000</v>
      </c>
      <c r="I25" s="135">
        <f t="shared" si="2"/>
        <v>19080000</v>
      </c>
      <c r="J25" s="125">
        <v>155000</v>
      </c>
      <c r="K25" s="135">
        <f t="shared" si="2"/>
        <v>18600000</v>
      </c>
      <c r="L25" s="125">
        <f t="shared" si="3"/>
        <v>155000</v>
      </c>
      <c r="M25" s="108">
        <f t="shared" ref="M25" si="17">$E25*L25</f>
        <v>18600000</v>
      </c>
      <c r="N25" s="71">
        <f t="shared" si="11"/>
        <v>209447.315</v>
      </c>
      <c r="O25" s="71">
        <f t="shared" si="1"/>
        <v>25133677.800000001</v>
      </c>
      <c r="Q25" s="120">
        <f t="shared" si="5"/>
        <v>25133677.800000001</v>
      </c>
    </row>
    <row r="26" spans="1:17" ht="34.200000000000003" x14ac:dyDescent="0.3">
      <c r="A26" s="147" t="s">
        <v>153</v>
      </c>
      <c r="B26" s="176" t="s">
        <v>145</v>
      </c>
      <c r="C26" s="138" t="s">
        <v>154</v>
      </c>
      <c r="D26" s="139" t="s">
        <v>16</v>
      </c>
      <c r="E26" s="140">
        <v>7</v>
      </c>
      <c r="F26" s="134">
        <v>95000</v>
      </c>
      <c r="G26" s="246">
        <f t="shared" si="2"/>
        <v>665000</v>
      </c>
      <c r="H26" s="134">
        <v>100000</v>
      </c>
      <c r="I26" s="135">
        <f t="shared" si="2"/>
        <v>700000</v>
      </c>
      <c r="J26" s="125">
        <v>97000</v>
      </c>
      <c r="K26" s="135">
        <f t="shared" si="2"/>
        <v>679000</v>
      </c>
      <c r="L26" s="125">
        <f t="shared" si="3"/>
        <v>97333.33</v>
      </c>
      <c r="M26" s="108">
        <f t="shared" ref="M26:M28" si="18">$E26*L26</f>
        <v>681333.31</v>
      </c>
      <c r="N26" s="71">
        <f t="shared" si="11"/>
        <v>131523.90082909001</v>
      </c>
      <c r="O26" s="71">
        <f t="shared" si="1"/>
        <v>920667.30579999997</v>
      </c>
      <c r="Q26" s="120">
        <f t="shared" si="5"/>
        <v>920667.30579999997</v>
      </c>
    </row>
    <row r="27" spans="1:17" ht="34.200000000000003" x14ac:dyDescent="0.3">
      <c r="A27" s="147" t="s">
        <v>155</v>
      </c>
      <c r="B27" s="176" t="s">
        <v>145</v>
      </c>
      <c r="C27" s="138" t="s">
        <v>156</v>
      </c>
      <c r="D27" s="139" t="s">
        <v>16</v>
      </c>
      <c r="E27" s="140">
        <f>(30*2)</f>
        <v>60</v>
      </c>
      <c r="F27" s="134">
        <v>18000</v>
      </c>
      <c r="G27" s="246">
        <f t="shared" si="2"/>
        <v>1080000</v>
      </c>
      <c r="H27" s="134">
        <v>19000</v>
      </c>
      <c r="I27" s="135">
        <f>ROUND($E27*H27,2)</f>
        <v>1140000</v>
      </c>
      <c r="J27" s="125">
        <v>19000</v>
      </c>
      <c r="K27" s="135"/>
      <c r="L27" s="125">
        <f t="shared" si="3"/>
        <v>18666.669999999998</v>
      </c>
      <c r="M27" s="108">
        <f t="shared" si="18"/>
        <v>1120000.2</v>
      </c>
      <c r="N27" s="71">
        <f t="shared" si="11"/>
        <v>25223.76717091</v>
      </c>
      <c r="O27" s="71">
        <f t="shared" si="1"/>
        <v>1513426.0303</v>
      </c>
      <c r="Q27" s="120"/>
    </row>
    <row r="28" spans="1:17" ht="34.200000000000003" x14ac:dyDescent="0.3">
      <c r="A28" s="147" t="s">
        <v>157</v>
      </c>
      <c r="B28" s="176" t="s">
        <v>145</v>
      </c>
      <c r="C28" s="138" t="s">
        <v>158</v>
      </c>
      <c r="D28" s="139" t="s">
        <v>159</v>
      </c>
      <c r="E28" s="140">
        <v>21</v>
      </c>
      <c r="F28" s="134">
        <v>342000</v>
      </c>
      <c r="G28" s="246">
        <f t="shared" si="2"/>
        <v>7182000</v>
      </c>
      <c r="H28" s="134">
        <v>359000</v>
      </c>
      <c r="I28" s="135">
        <f>ROUND($E28*H28,2)</f>
        <v>7539000</v>
      </c>
      <c r="J28" s="125">
        <v>351000</v>
      </c>
      <c r="K28" s="135"/>
      <c r="L28" s="125">
        <f t="shared" si="3"/>
        <v>350666.67</v>
      </c>
      <c r="M28" s="108">
        <f t="shared" si="18"/>
        <v>7364000.0699999994</v>
      </c>
      <c r="N28" s="71">
        <f t="shared" si="11"/>
        <v>473846.40317091002</v>
      </c>
      <c r="O28" s="71">
        <f t="shared" si="1"/>
        <v>9950774.4666000009</v>
      </c>
      <c r="Q28" s="120"/>
    </row>
    <row r="29" spans="1:17" ht="24" x14ac:dyDescent="0.3">
      <c r="A29" s="147" t="s">
        <v>160</v>
      </c>
      <c r="B29" s="176" t="s">
        <v>138</v>
      </c>
      <c r="C29" s="138" t="s">
        <v>161</v>
      </c>
      <c r="D29" s="139" t="s">
        <v>159</v>
      </c>
      <c r="E29" s="140">
        <v>9.33</v>
      </c>
      <c r="F29" s="134">
        <v>27000</v>
      </c>
      <c r="G29" s="246">
        <f t="shared" si="2"/>
        <v>251910</v>
      </c>
      <c r="H29" s="134">
        <v>28000</v>
      </c>
      <c r="I29" s="135">
        <f t="shared" si="2"/>
        <v>261240</v>
      </c>
      <c r="J29" s="125">
        <v>28000</v>
      </c>
      <c r="K29" s="135">
        <f t="shared" si="2"/>
        <v>261240</v>
      </c>
      <c r="L29" s="125">
        <f t="shared" si="3"/>
        <v>27666.67</v>
      </c>
      <c r="M29" s="108">
        <f t="shared" ref="M29" si="19">$E29*L29</f>
        <v>258130.03109999999</v>
      </c>
      <c r="N29" s="71">
        <f>+L29*(1+$L$66+$L$67+$L$68)+L29*$L$69*$L$68</f>
        <v>37385.224170909998</v>
      </c>
      <c r="O29" s="71">
        <f t="shared" si="1"/>
        <v>348804.14150000003</v>
      </c>
      <c r="Q29" s="120">
        <f t="shared" si="5"/>
        <v>348804.14150000003</v>
      </c>
    </row>
    <row r="30" spans="1:17" ht="24" x14ac:dyDescent="0.3">
      <c r="A30" s="147" t="s">
        <v>162</v>
      </c>
      <c r="B30" s="176" t="s">
        <v>138</v>
      </c>
      <c r="C30" s="138" t="s">
        <v>163</v>
      </c>
      <c r="D30" s="139" t="s">
        <v>159</v>
      </c>
      <c r="E30" s="140">
        <v>9.33</v>
      </c>
      <c r="F30" s="134">
        <v>161000</v>
      </c>
      <c r="G30" s="246">
        <f t="shared" si="2"/>
        <v>1502130</v>
      </c>
      <c r="H30" s="134">
        <v>169000</v>
      </c>
      <c r="I30" s="135">
        <f>ROUND($E30*H30,2)</f>
        <v>1576770</v>
      </c>
      <c r="J30" s="125">
        <v>165000</v>
      </c>
      <c r="K30" s="135">
        <f t="shared" si="2"/>
        <v>1539450</v>
      </c>
      <c r="L30" s="125">
        <f t="shared" si="3"/>
        <v>165000</v>
      </c>
      <c r="M30" s="108">
        <f t="shared" ref="M30" si="20">$E30*L30</f>
        <v>1539450</v>
      </c>
      <c r="N30" s="71">
        <f>+L30*(1+$L$66+$L$67+$L$68)+L30*$L$69*$L$68</f>
        <v>222960.04500000001</v>
      </c>
      <c r="O30" s="71">
        <f t="shared" si="1"/>
        <v>2080217.2198999999</v>
      </c>
      <c r="Q30" s="120">
        <f t="shared" si="5"/>
        <v>2080217.2198999999</v>
      </c>
    </row>
    <row r="31" spans="1:17" s="81" customFormat="1" x14ac:dyDescent="0.3">
      <c r="A31" s="181">
        <v>2</v>
      </c>
      <c r="B31" s="181"/>
      <c r="C31" s="182" t="s">
        <v>77</v>
      </c>
      <c r="D31" s="183"/>
      <c r="E31" s="184"/>
      <c r="F31" s="130"/>
      <c r="G31" s="264">
        <f>G32+G35+G38+G42+G46</f>
        <v>74900000</v>
      </c>
      <c r="H31" s="130"/>
      <c r="I31" s="264">
        <f>I32+I35+I38+I42+I46</f>
        <v>78878000</v>
      </c>
      <c r="J31" s="124"/>
      <c r="K31" s="264">
        <f>K32+K35+K38+K42+K46</f>
        <v>76814000</v>
      </c>
      <c r="L31" s="124"/>
      <c r="M31" s="77"/>
      <c r="N31" s="71"/>
      <c r="O31" s="71">
        <f t="shared" ref="O31:O37" si="21">ROUND(N31*E31,4)</f>
        <v>0</v>
      </c>
      <c r="P31" s="114"/>
      <c r="Q31" s="120">
        <f t="shared" ref="Q31:Q39" si="22">+O31-P31</f>
        <v>0</v>
      </c>
    </row>
    <row r="32" spans="1:17" s="84" customFormat="1" x14ac:dyDescent="0.3">
      <c r="A32" s="177" t="s">
        <v>36</v>
      </c>
      <c r="B32" s="177"/>
      <c r="C32" s="178" t="s">
        <v>79</v>
      </c>
      <c r="D32" s="179"/>
      <c r="E32" s="180"/>
      <c r="F32" s="132"/>
      <c r="G32" s="133">
        <f>SUM(G33:G34)</f>
        <v>9345000</v>
      </c>
      <c r="H32" s="132"/>
      <c r="I32" s="133">
        <f>SUM(I33:I34)</f>
        <v>9815000</v>
      </c>
      <c r="J32" s="126"/>
      <c r="K32" s="133">
        <f>SUM(K33:K34)</f>
        <v>9590000</v>
      </c>
      <c r="L32" s="126"/>
      <c r="M32" s="107"/>
      <c r="N32" s="71"/>
      <c r="O32" s="71">
        <f t="shared" si="21"/>
        <v>0</v>
      </c>
      <c r="P32" s="116"/>
      <c r="Q32" s="120">
        <f t="shared" si="22"/>
        <v>0</v>
      </c>
    </row>
    <row r="33" spans="1:17" ht="34.200000000000003" x14ac:dyDescent="0.3">
      <c r="A33" s="147" t="s">
        <v>164</v>
      </c>
      <c r="B33" s="147"/>
      <c r="C33" s="185" t="s">
        <v>165</v>
      </c>
      <c r="D33" s="186" t="s">
        <v>32</v>
      </c>
      <c r="E33" s="187">
        <v>20</v>
      </c>
      <c r="F33" s="134">
        <v>15000</v>
      </c>
      <c r="G33" s="246">
        <f t="shared" ref="G33:K39" si="23">ROUND($E33*F33,2)</f>
        <v>300000</v>
      </c>
      <c r="H33" s="134">
        <v>16000</v>
      </c>
      <c r="I33" s="135">
        <f t="shared" si="23"/>
        <v>320000</v>
      </c>
      <c r="J33" s="125">
        <v>16000</v>
      </c>
      <c r="K33" s="135">
        <f t="shared" si="23"/>
        <v>320000</v>
      </c>
      <c r="L33" s="125">
        <f t="shared" ref="L33:L39" si="24">ROUND(AVERAGE(H33,F33,J33),2)</f>
        <v>15666.67</v>
      </c>
      <c r="M33" s="108">
        <f t="shared" ref="M33" si="25">$E33*L33</f>
        <v>313333.40000000002</v>
      </c>
      <c r="N33" s="71">
        <f>+L33*(1+$L$66+$L$67+$L$68)+L33*$L$69*$L$68</f>
        <v>21169.94817091</v>
      </c>
      <c r="O33" s="71">
        <f t="shared" si="21"/>
        <v>423398.96340000001</v>
      </c>
      <c r="Q33" s="120">
        <f t="shared" si="22"/>
        <v>423398.96340000001</v>
      </c>
    </row>
    <row r="34" spans="1:17" ht="108" customHeight="1" x14ac:dyDescent="0.3">
      <c r="A34" s="147" t="s">
        <v>166</v>
      </c>
      <c r="B34" s="147"/>
      <c r="C34" s="138" t="s">
        <v>167</v>
      </c>
      <c r="D34" s="186" t="s">
        <v>32</v>
      </c>
      <c r="E34" s="187">
        <v>45</v>
      </c>
      <c r="F34" s="134">
        <v>201000</v>
      </c>
      <c r="G34" s="246">
        <f t="shared" si="23"/>
        <v>9045000</v>
      </c>
      <c r="H34" s="134">
        <v>211000</v>
      </c>
      <c r="I34" s="135">
        <f t="shared" si="23"/>
        <v>9495000</v>
      </c>
      <c r="J34" s="125">
        <v>206000</v>
      </c>
      <c r="K34" s="135">
        <f t="shared" si="23"/>
        <v>9270000</v>
      </c>
      <c r="L34" s="125">
        <f t="shared" si="24"/>
        <v>206000</v>
      </c>
      <c r="M34" s="108">
        <f t="shared" ref="M34" si="26">$E34*L34</f>
        <v>9270000</v>
      </c>
      <c r="N34" s="71">
        <f>+L34*(1+$L$66+$L$67+$L$68)+L34*$L$69*$L$68</f>
        <v>278362.23800000001</v>
      </c>
      <c r="O34" s="71">
        <f t="shared" si="21"/>
        <v>12526300.710000001</v>
      </c>
      <c r="Q34" s="120">
        <f t="shared" si="22"/>
        <v>12526300.710000001</v>
      </c>
    </row>
    <row r="35" spans="1:17" s="84" customFormat="1" x14ac:dyDescent="0.3">
      <c r="A35" s="177" t="s">
        <v>39</v>
      </c>
      <c r="B35" s="177"/>
      <c r="C35" s="178" t="s">
        <v>83</v>
      </c>
      <c r="D35" s="179"/>
      <c r="E35" s="180"/>
      <c r="F35" s="132"/>
      <c r="G35" s="133">
        <f>SUM(G36:G37)</f>
        <v>841000</v>
      </c>
      <c r="H35" s="132"/>
      <c r="I35" s="133">
        <f>SUM(I36:I37)</f>
        <v>880000</v>
      </c>
      <c r="J35" s="126"/>
      <c r="K35" s="133">
        <f>SUM(K36:K37)</f>
        <v>859000</v>
      </c>
      <c r="L35" s="126"/>
      <c r="M35" s="107"/>
      <c r="N35" s="71"/>
      <c r="O35" s="71">
        <f t="shared" si="21"/>
        <v>0</v>
      </c>
      <c r="P35" s="116"/>
      <c r="Q35" s="120">
        <f t="shared" si="22"/>
        <v>0</v>
      </c>
    </row>
    <row r="36" spans="1:17" ht="91.2" x14ac:dyDescent="0.3">
      <c r="A36" s="147" t="s">
        <v>168</v>
      </c>
      <c r="B36" s="147"/>
      <c r="C36" s="138" t="s">
        <v>169</v>
      </c>
      <c r="D36" s="186" t="s">
        <v>32</v>
      </c>
      <c r="E36" s="187">
        <v>5</v>
      </c>
      <c r="F36" s="134">
        <v>69000</v>
      </c>
      <c r="G36" s="246">
        <f t="shared" si="23"/>
        <v>345000</v>
      </c>
      <c r="H36" s="134">
        <v>72000</v>
      </c>
      <c r="I36" s="135">
        <f t="shared" si="23"/>
        <v>360000</v>
      </c>
      <c r="J36" s="125">
        <v>71000</v>
      </c>
      <c r="K36" s="135">
        <f t="shared" si="23"/>
        <v>355000</v>
      </c>
      <c r="L36" s="125">
        <f t="shared" si="24"/>
        <v>70666.67</v>
      </c>
      <c r="M36" s="108">
        <f t="shared" ref="M36" si="27">$E36*L36</f>
        <v>353333.35</v>
      </c>
      <c r="N36" s="71">
        <f>+L36*(1+$L$66+$L$67+$L$68)+L36*$L$69*$L$68</f>
        <v>95489.963170910007</v>
      </c>
      <c r="O36" s="71">
        <f t="shared" si="21"/>
        <v>477449.81589999999</v>
      </c>
      <c r="Q36" s="120">
        <f t="shared" si="22"/>
        <v>477449.81589999999</v>
      </c>
    </row>
    <row r="37" spans="1:17" ht="102.6" x14ac:dyDescent="0.3">
      <c r="A37" s="147" t="s">
        <v>170</v>
      </c>
      <c r="B37" s="147"/>
      <c r="C37" s="138" t="s">
        <v>171</v>
      </c>
      <c r="D37" s="188" t="s">
        <v>32</v>
      </c>
      <c r="E37" s="189">
        <v>8</v>
      </c>
      <c r="F37" s="134">
        <v>62000</v>
      </c>
      <c r="G37" s="246">
        <f t="shared" si="23"/>
        <v>496000</v>
      </c>
      <c r="H37" s="134">
        <v>65000</v>
      </c>
      <c r="I37" s="135">
        <f t="shared" si="23"/>
        <v>520000</v>
      </c>
      <c r="J37" s="125">
        <v>63000</v>
      </c>
      <c r="K37" s="135">
        <f t="shared" si="23"/>
        <v>504000</v>
      </c>
      <c r="L37" s="125">
        <f t="shared" si="24"/>
        <v>63333.33</v>
      </c>
      <c r="M37" s="108">
        <f t="shared" ref="M37:M39" si="28">$E37*L37</f>
        <v>506666.64</v>
      </c>
      <c r="N37" s="71">
        <f>+L37*(1+$L$66+$L$67+$L$68)+L37*$L$69*$L$68</f>
        <v>85580.618829090003</v>
      </c>
      <c r="O37" s="71">
        <f t="shared" si="21"/>
        <v>684644.95059999998</v>
      </c>
      <c r="Q37" s="120">
        <f t="shared" si="22"/>
        <v>684644.95059999998</v>
      </c>
    </row>
    <row r="38" spans="1:17" x14ac:dyDescent="0.3">
      <c r="A38" s="177" t="s">
        <v>41</v>
      </c>
      <c r="B38" s="177"/>
      <c r="C38" s="178" t="s">
        <v>172</v>
      </c>
      <c r="D38" s="179"/>
      <c r="E38" s="180"/>
      <c r="F38" s="179"/>
      <c r="G38" s="265">
        <f>SUM(G39:G41)</f>
        <v>2208000</v>
      </c>
      <c r="H38" s="251"/>
      <c r="I38" s="265">
        <f>SUM(I39:I41)</f>
        <v>2315000</v>
      </c>
      <c r="J38" s="249"/>
      <c r="K38" s="265">
        <f>SUM(K39:K41)</f>
        <v>2261000</v>
      </c>
      <c r="L38" s="179"/>
      <c r="M38" s="179"/>
      <c r="N38" s="71"/>
      <c r="O38" s="71"/>
      <c r="Q38" s="120"/>
    </row>
    <row r="39" spans="1:17" s="84" customFormat="1" ht="121.5" customHeight="1" x14ac:dyDescent="0.3">
      <c r="A39" s="147" t="s">
        <v>173</v>
      </c>
      <c r="B39" s="147"/>
      <c r="C39" s="185" t="s">
        <v>174</v>
      </c>
      <c r="D39" s="186" t="s">
        <v>32</v>
      </c>
      <c r="E39" s="187">
        <v>4</v>
      </c>
      <c r="F39" s="134">
        <v>67000</v>
      </c>
      <c r="G39" s="246">
        <f t="shared" si="23"/>
        <v>268000</v>
      </c>
      <c r="H39" s="134">
        <v>70000</v>
      </c>
      <c r="I39" s="135">
        <f t="shared" si="23"/>
        <v>280000</v>
      </c>
      <c r="J39" s="125">
        <v>69000</v>
      </c>
      <c r="K39" s="135">
        <f t="shared" si="23"/>
        <v>276000</v>
      </c>
      <c r="L39" s="125">
        <f t="shared" si="24"/>
        <v>68666.67</v>
      </c>
      <c r="M39" s="108">
        <f t="shared" si="28"/>
        <v>274666.68</v>
      </c>
      <c r="N39" s="71">
        <f t="shared" ref="N39:N45" si="29">+L39*(1+$L$66+$L$67+$L$68)+L39*$L$69*$L$68</f>
        <v>92787.41717090999</v>
      </c>
      <c r="O39" s="71">
        <f t="shared" ref="O39:O45" si="30">ROUND(N39*E39,4)</f>
        <v>371149.66869999998</v>
      </c>
      <c r="P39" s="116"/>
      <c r="Q39" s="120">
        <f t="shared" si="22"/>
        <v>371149.66869999998</v>
      </c>
    </row>
    <row r="40" spans="1:17" ht="105.75" customHeight="1" x14ac:dyDescent="0.3">
      <c r="A40" s="147" t="s">
        <v>175</v>
      </c>
      <c r="B40" s="147"/>
      <c r="C40" s="190" t="s">
        <v>176</v>
      </c>
      <c r="D40" s="188" t="s">
        <v>32</v>
      </c>
      <c r="E40" s="189">
        <v>5</v>
      </c>
      <c r="F40" s="134">
        <v>116000</v>
      </c>
      <c r="G40" s="246">
        <f t="shared" ref="G40:K55" si="31">ROUND($E40*F40,2)</f>
        <v>580000</v>
      </c>
      <c r="H40" s="134">
        <v>122000</v>
      </c>
      <c r="I40" s="135">
        <f t="shared" si="31"/>
        <v>610000</v>
      </c>
      <c r="J40" s="125">
        <v>119000</v>
      </c>
      <c r="K40" s="135">
        <f t="shared" si="31"/>
        <v>595000</v>
      </c>
      <c r="L40" s="125">
        <f t="shared" ref="L40:L45" si="32">ROUND(AVERAGE(H40,F40,J40),2)</f>
        <v>119000</v>
      </c>
      <c r="M40" s="108">
        <f t="shared" ref="M40" si="33">$E40*L40</f>
        <v>595000</v>
      </c>
      <c r="N40" s="71">
        <f t="shared" si="29"/>
        <v>160801.48699999999</v>
      </c>
      <c r="O40" s="71">
        <f t="shared" si="30"/>
        <v>804007.43500000006</v>
      </c>
      <c r="Q40" s="120">
        <f t="shared" ref="Q40:Q70" si="34">+O40-P40</f>
        <v>804007.43500000006</v>
      </c>
    </row>
    <row r="41" spans="1:17" ht="114" x14ac:dyDescent="0.3">
      <c r="A41" s="147" t="s">
        <v>177</v>
      </c>
      <c r="B41" s="147"/>
      <c r="C41" s="191" t="s">
        <v>178</v>
      </c>
      <c r="D41" s="186" t="s">
        <v>32</v>
      </c>
      <c r="E41" s="187">
        <v>5</v>
      </c>
      <c r="F41" s="134">
        <v>272000</v>
      </c>
      <c r="G41" s="246">
        <f t="shared" si="31"/>
        <v>1360000</v>
      </c>
      <c r="H41" s="134">
        <v>285000</v>
      </c>
      <c r="I41" s="135">
        <f t="shared" si="31"/>
        <v>1425000</v>
      </c>
      <c r="J41" s="125">
        <v>278000</v>
      </c>
      <c r="K41" s="135">
        <f t="shared" si="31"/>
        <v>1390000</v>
      </c>
      <c r="L41" s="125">
        <f t="shared" si="32"/>
        <v>278333.33</v>
      </c>
      <c r="M41" s="108">
        <f t="shared" ref="M41" si="35">$E41*L41</f>
        <v>1391666.6500000001</v>
      </c>
      <c r="N41" s="71">
        <f t="shared" si="29"/>
        <v>376104.31382909004</v>
      </c>
      <c r="O41" s="71">
        <f t="shared" si="30"/>
        <v>1880521.5691</v>
      </c>
      <c r="Q41" s="120">
        <f t="shared" si="34"/>
        <v>1880521.5691</v>
      </c>
    </row>
    <row r="42" spans="1:17" s="84" customFormat="1" x14ac:dyDescent="0.3">
      <c r="A42" s="177" t="s">
        <v>43</v>
      </c>
      <c r="B42" s="177"/>
      <c r="C42" s="178" t="s">
        <v>179</v>
      </c>
      <c r="D42" s="192"/>
      <c r="E42" s="193"/>
      <c r="F42" s="132"/>
      <c r="G42" s="133">
        <f>SUM(G43:G45)</f>
        <v>3273000</v>
      </c>
      <c r="H42" s="132"/>
      <c r="I42" s="133">
        <f>SUM(I43:I45)</f>
        <v>3435000</v>
      </c>
      <c r="J42" s="126"/>
      <c r="K42" s="133">
        <f>SUM(K43:K45)</f>
        <v>3351000</v>
      </c>
      <c r="L42" s="126"/>
      <c r="M42" s="107"/>
      <c r="N42" s="71">
        <f t="shared" si="29"/>
        <v>0</v>
      </c>
      <c r="O42" s="71">
        <f t="shared" si="30"/>
        <v>0</v>
      </c>
      <c r="P42" s="116"/>
      <c r="Q42" s="120">
        <f t="shared" si="34"/>
        <v>0</v>
      </c>
    </row>
    <row r="43" spans="1:17" ht="57" x14ac:dyDescent="0.3">
      <c r="A43" s="147" t="s">
        <v>180</v>
      </c>
      <c r="B43" s="147"/>
      <c r="C43" s="191" t="s">
        <v>181</v>
      </c>
      <c r="D43" s="186" t="s">
        <v>32</v>
      </c>
      <c r="E43" s="187">
        <v>3</v>
      </c>
      <c r="F43" s="134">
        <v>168000</v>
      </c>
      <c r="G43" s="246">
        <f t="shared" si="31"/>
        <v>504000</v>
      </c>
      <c r="H43" s="134">
        <v>177000</v>
      </c>
      <c r="I43" s="135">
        <f t="shared" si="31"/>
        <v>531000</v>
      </c>
      <c r="J43" s="125">
        <v>173000</v>
      </c>
      <c r="K43" s="135">
        <f t="shared" si="31"/>
        <v>519000</v>
      </c>
      <c r="L43" s="125">
        <f t="shared" si="32"/>
        <v>172666.67</v>
      </c>
      <c r="M43" s="108">
        <f t="shared" ref="M43" si="36">$E43*L43</f>
        <v>518000.01</v>
      </c>
      <c r="N43" s="71">
        <f t="shared" si="29"/>
        <v>233319.80917091001</v>
      </c>
      <c r="O43" s="71">
        <f t="shared" si="30"/>
        <v>699959.42749999999</v>
      </c>
      <c r="Q43" s="120">
        <f t="shared" si="34"/>
        <v>699959.42749999999</v>
      </c>
    </row>
    <row r="44" spans="1:17" ht="57" x14ac:dyDescent="0.3">
      <c r="A44" s="147" t="s">
        <v>182</v>
      </c>
      <c r="B44" s="147"/>
      <c r="C44" s="191" t="s">
        <v>183</v>
      </c>
      <c r="D44" s="186" t="s">
        <v>32</v>
      </c>
      <c r="E44" s="187">
        <v>9</v>
      </c>
      <c r="F44" s="134">
        <v>145000</v>
      </c>
      <c r="G44" s="246">
        <f t="shared" si="31"/>
        <v>1305000</v>
      </c>
      <c r="H44" s="134">
        <v>152000</v>
      </c>
      <c r="I44" s="135">
        <f t="shared" si="31"/>
        <v>1368000</v>
      </c>
      <c r="J44" s="125">
        <v>148000</v>
      </c>
      <c r="K44" s="135">
        <f t="shared" si="31"/>
        <v>1332000</v>
      </c>
      <c r="L44" s="125">
        <f t="shared" si="32"/>
        <v>148333.32999999999</v>
      </c>
      <c r="M44" s="108">
        <f t="shared" ref="M44" si="37">$E44*L44</f>
        <v>1334999.97</v>
      </c>
      <c r="N44" s="71">
        <f t="shared" si="29"/>
        <v>200438.82382908999</v>
      </c>
      <c r="O44" s="71">
        <f t="shared" si="30"/>
        <v>1803949.4145</v>
      </c>
      <c r="Q44" s="120">
        <f t="shared" si="34"/>
        <v>1803949.4145</v>
      </c>
    </row>
    <row r="45" spans="1:17" ht="126" customHeight="1" x14ac:dyDescent="0.3">
      <c r="A45" s="147" t="s">
        <v>184</v>
      </c>
      <c r="B45" s="147"/>
      <c r="C45" s="191" t="s">
        <v>185</v>
      </c>
      <c r="D45" s="186" t="s">
        <v>32</v>
      </c>
      <c r="E45" s="187">
        <v>12</v>
      </c>
      <c r="F45" s="134">
        <v>122000</v>
      </c>
      <c r="G45" s="246">
        <f t="shared" si="31"/>
        <v>1464000</v>
      </c>
      <c r="H45" s="134">
        <v>128000</v>
      </c>
      <c r="I45" s="135">
        <f t="shared" si="31"/>
        <v>1536000</v>
      </c>
      <c r="J45" s="125">
        <v>125000</v>
      </c>
      <c r="K45" s="135">
        <f t="shared" si="31"/>
        <v>1500000</v>
      </c>
      <c r="L45" s="125">
        <f t="shared" si="32"/>
        <v>125000</v>
      </c>
      <c r="M45" s="108">
        <f t="shared" ref="M45" si="38">$E45*L45</f>
        <v>1500000</v>
      </c>
      <c r="N45" s="71">
        <f t="shared" si="29"/>
        <v>168909.125</v>
      </c>
      <c r="O45" s="71">
        <f t="shared" si="30"/>
        <v>2026909.5</v>
      </c>
      <c r="Q45" s="120">
        <f t="shared" si="34"/>
        <v>2026909.5</v>
      </c>
    </row>
    <row r="46" spans="1:17" x14ac:dyDescent="0.3">
      <c r="A46" s="177" t="s">
        <v>45</v>
      </c>
      <c r="B46" s="177"/>
      <c r="C46" s="178" t="s">
        <v>87</v>
      </c>
      <c r="D46" s="179"/>
      <c r="E46" s="180"/>
      <c r="F46" s="179"/>
      <c r="G46" s="265">
        <f>SUM(G47:G62)</f>
        <v>59233000</v>
      </c>
      <c r="H46" s="251"/>
      <c r="I46" s="265">
        <f>SUM(I47:I62)</f>
        <v>62433000</v>
      </c>
      <c r="J46" s="249"/>
      <c r="K46" s="265">
        <f>SUM(K47:K62)</f>
        <v>60753000</v>
      </c>
      <c r="L46" s="179"/>
      <c r="M46" s="179"/>
      <c r="N46" s="71"/>
      <c r="O46" s="71"/>
      <c r="Q46" s="120"/>
    </row>
    <row r="47" spans="1:17" ht="34.200000000000003" x14ac:dyDescent="0.3">
      <c r="A47" s="147" t="s">
        <v>186</v>
      </c>
      <c r="B47" s="147"/>
      <c r="C47" s="194" t="s">
        <v>187</v>
      </c>
      <c r="D47" s="195" t="s">
        <v>32</v>
      </c>
      <c r="E47" s="187">
        <v>3</v>
      </c>
      <c r="F47" s="134">
        <v>151000</v>
      </c>
      <c r="G47" s="246">
        <f t="shared" si="31"/>
        <v>453000</v>
      </c>
      <c r="H47" s="252">
        <v>159000</v>
      </c>
      <c r="I47" s="135">
        <f>ROUND($E47*H47,2)</f>
        <v>477000</v>
      </c>
      <c r="J47" s="125">
        <v>155000</v>
      </c>
      <c r="K47" s="135">
        <f t="shared" si="31"/>
        <v>465000</v>
      </c>
      <c r="L47" s="125">
        <f t="shared" ref="L47" si="39">ROUND(AVERAGE(H47,F47,J47),2)</f>
        <v>155000</v>
      </c>
      <c r="M47" s="108">
        <f t="shared" ref="M47" si="40">$E47*L47</f>
        <v>465000</v>
      </c>
      <c r="N47" s="71">
        <f t="shared" ref="N47" si="41">+L47*(1+$L$66+$L$67+$L$68)+L47*$L$69*$L$68</f>
        <v>209447.315</v>
      </c>
      <c r="O47" s="71">
        <f t="shared" ref="O47" si="42">ROUND(N47*E47,4)</f>
        <v>628341.94499999995</v>
      </c>
      <c r="Q47" s="120">
        <f t="shared" ref="Q47" si="43">+O47-P47</f>
        <v>628341.94499999995</v>
      </c>
    </row>
    <row r="48" spans="1:17" ht="262.2" x14ac:dyDescent="0.3">
      <c r="A48" s="147" t="s">
        <v>188</v>
      </c>
      <c r="B48" s="147"/>
      <c r="C48" s="138" t="s">
        <v>189</v>
      </c>
      <c r="D48" s="186" t="s">
        <v>190</v>
      </c>
      <c r="E48" s="187">
        <v>1</v>
      </c>
      <c r="F48" s="134">
        <v>7050000</v>
      </c>
      <c r="G48" s="246">
        <f t="shared" si="31"/>
        <v>7050000</v>
      </c>
      <c r="H48" s="252">
        <v>7400000</v>
      </c>
      <c r="I48" s="135">
        <f t="shared" ref="I48:I51" si="44">ROUND($E48*H48,2)</f>
        <v>7400000</v>
      </c>
      <c r="J48" s="125">
        <v>7229000</v>
      </c>
      <c r="K48" s="135">
        <f t="shared" si="31"/>
        <v>7229000</v>
      </c>
      <c r="L48" s="125">
        <f t="shared" ref="L48:L62" si="45">ROUND(AVERAGE(H48,F48,J48),2)</f>
        <v>7226333.3300000001</v>
      </c>
      <c r="M48" s="108">
        <f t="shared" ref="M48:M62" si="46">$E48*L48</f>
        <v>7226333.3300000001</v>
      </c>
      <c r="N48" s="71">
        <f t="shared" ref="N48:N62" si="47">+L48*(1+$L$66+$L$67+$L$68)+L48*$L$69*$L$68</f>
        <v>9764749.11782909</v>
      </c>
      <c r="O48" s="71">
        <f t="shared" ref="O48:O62" si="48">ROUND(N48*E48,4)</f>
        <v>9764749.1177999992</v>
      </c>
      <c r="Q48" s="120">
        <f t="shared" ref="Q48:Q62" si="49">+O48-P48</f>
        <v>9764749.1177999992</v>
      </c>
    </row>
    <row r="49" spans="1:17" ht="45.6" x14ac:dyDescent="0.3">
      <c r="A49" s="147" t="s">
        <v>191</v>
      </c>
      <c r="B49" s="147"/>
      <c r="C49" s="185" t="s">
        <v>192</v>
      </c>
      <c r="D49" s="186" t="s">
        <v>25</v>
      </c>
      <c r="E49" s="187">
        <v>30</v>
      </c>
      <c r="F49" s="134">
        <v>161000</v>
      </c>
      <c r="G49" s="246">
        <f t="shared" si="31"/>
        <v>4830000</v>
      </c>
      <c r="H49" s="252">
        <v>169000</v>
      </c>
      <c r="I49" s="135">
        <f t="shared" si="44"/>
        <v>5070000</v>
      </c>
      <c r="J49" s="125">
        <v>165000</v>
      </c>
      <c r="K49" s="135">
        <f t="shared" si="31"/>
        <v>4950000</v>
      </c>
      <c r="L49" s="125">
        <f t="shared" si="45"/>
        <v>165000</v>
      </c>
      <c r="M49" s="108">
        <f t="shared" si="46"/>
        <v>4950000</v>
      </c>
      <c r="N49" s="71">
        <f t="shared" si="47"/>
        <v>222960.04500000001</v>
      </c>
      <c r="O49" s="71">
        <f t="shared" si="48"/>
        <v>6688801.3499999996</v>
      </c>
      <c r="Q49" s="120">
        <f t="shared" si="49"/>
        <v>6688801.3499999996</v>
      </c>
    </row>
    <row r="50" spans="1:17" ht="68.400000000000006" x14ac:dyDescent="0.3">
      <c r="A50" s="147" t="s">
        <v>193</v>
      </c>
      <c r="B50" s="147"/>
      <c r="C50" s="185" t="s">
        <v>194</v>
      </c>
      <c r="D50" s="186" t="s">
        <v>25</v>
      </c>
      <c r="E50" s="187">
        <v>30</v>
      </c>
      <c r="F50" s="134">
        <v>65000</v>
      </c>
      <c r="G50" s="246">
        <f t="shared" si="31"/>
        <v>1950000</v>
      </c>
      <c r="H50" s="252">
        <v>68000</v>
      </c>
      <c r="I50" s="135">
        <f>ROUND($E50*H50,2)</f>
        <v>2040000</v>
      </c>
      <c r="J50" s="125">
        <v>67000</v>
      </c>
      <c r="K50" s="135">
        <f t="shared" si="31"/>
        <v>2010000</v>
      </c>
      <c r="L50" s="125">
        <f t="shared" si="45"/>
        <v>66666.67</v>
      </c>
      <c r="M50" s="108">
        <f t="shared" si="46"/>
        <v>2000000.0999999999</v>
      </c>
      <c r="N50" s="71">
        <f t="shared" si="47"/>
        <v>90084.871170910003</v>
      </c>
      <c r="O50" s="71">
        <f t="shared" si="48"/>
        <v>2702546.1351000001</v>
      </c>
      <c r="Q50" s="120">
        <f t="shared" si="49"/>
        <v>2702546.1351000001</v>
      </c>
    </row>
    <row r="51" spans="1:17" ht="262.2" x14ac:dyDescent="0.3">
      <c r="A51" s="147" t="s">
        <v>195</v>
      </c>
      <c r="B51" s="147"/>
      <c r="C51" s="185" t="s">
        <v>196</v>
      </c>
      <c r="D51" s="186" t="s">
        <v>190</v>
      </c>
      <c r="E51" s="187">
        <v>1</v>
      </c>
      <c r="F51" s="134">
        <v>4213000</v>
      </c>
      <c r="G51" s="246">
        <f t="shared" si="31"/>
        <v>4213000</v>
      </c>
      <c r="H51" s="252">
        <v>4422000</v>
      </c>
      <c r="I51" s="135">
        <f t="shared" si="44"/>
        <v>4422000</v>
      </c>
      <c r="J51" s="125">
        <v>4320000</v>
      </c>
      <c r="K51" s="135">
        <f t="shared" si="31"/>
        <v>4320000</v>
      </c>
      <c r="L51" s="125">
        <f t="shared" si="45"/>
        <v>4318333.33</v>
      </c>
      <c r="M51" s="108">
        <f t="shared" si="46"/>
        <v>4318333.33</v>
      </c>
      <c r="N51" s="71">
        <f t="shared" si="47"/>
        <v>5835247.2338290904</v>
      </c>
      <c r="O51" s="71">
        <f t="shared" si="48"/>
        <v>5835247.2337999996</v>
      </c>
      <c r="Q51" s="120">
        <f t="shared" si="49"/>
        <v>5835247.2337999996</v>
      </c>
    </row>
    <row r="52" spans="1:17" ht="273.60000000000002" x14ac:dyDescent="0.3">
      <c r="A52" s="147" t="s">
        <v>197</v>
      </c>
      <c r="B52" s="147"/>
      <c r="C52" s="196" t="s">
        <v>198</v>
      </c>
      <c r="D52" s="186" t="s">
        <v>190</v>
      </c>
      <c r="E52" s="187">
        <v>1</v>
      </c>
      <c r="F52" s="134">
        <v>4643000</v>
      </c>
      <c r="G52" s="246">
        <f t="shared" si="31"/>
        <v>4643000</v>
      </c>
      <c r="H52" s="252">
        <v>4874000</v>
      </c>
      <c r="I52" s="135">
        <f>ROUND($E52*H52,2)</f>
        <v>4874000</v>
      </c>
      <c r="J52" s="125">
        <v>4761000</v>
      </c>
      <c r="K52" s="135">
        <f t="shared" si="31"/>
        <v>4761000</v>
      </c>
      <c r="L52" s="125">
        <f t="shared" si="45"/>
        <v>4759333.33</v>
      </c>
      <c r="M52" s="108">
        <f t="shared" si="46"/>
        <v>4759333.33</v>
      </c>
      <c r="N52" s="71">
        <f t="shared" si="47"/>
        <v>6431158.6268290905</v>
      </c>
      <c r="O52" s="71">
        <f t="shared" si="48"/>
        <v>6431158.6267999997</v>
      </c>
      <c r="Q52" s="120">
        <f t="shared" si="49"/>
        <v>6431158.6267999997</v>
      </c>
    </row>
    <row r="53" spans="1:17" ht="45.6" x14ac:dyDescent="0.3">
      <c r="A53" s="147" t="s">
        <v>199</v>
      </c>
      <c r="B53" s="147"/>
      <c r="C53" s="185" t="s">
        <v>200</v>
      </c>
      <c r="D53" s="186" t="s">
        <v>25</v>
      </c>
      <c r="E53" s="187">
        <v>60</v>
      </c>
      <c r="F53" s="134">
        <v>82000</v>
      </c>
      <c r="G53" s="246">
        <f t="shared" si="31"/>
        <v>4920000</v>
      </c>
      <c r="H53" s="252">
        <v>86000</v>
      </c>
      <c r="I53" s="135">
        <f t="shared" ref="I53:I64" si="50">ROUND($E53*H53,2)</f>
        <v>5160000</v>
      </c>
      <c r="J53" s="125">
        <v>84000</v>
      </c>
      <c r="K53" s="135">
        <f t="shared" si="31"/>
        <v>5040000</v>
      </c>
      <c r="L53" s="125">
        <f t="shared" si="45"/>
        <v>84000</v>
      </c>
      <c r="M53" s="108">
        <f t="shared" si="46"/>
        <v>5040000</v>
      </c>
      <c r="N53" s="71">
        <f t="shared" si="47"/>
        <v>113506.932</v>
      </c>
      <c r="O53" s="71">
        <f t="shared" si="48"/>
        <v>6810415.9199999999</v>
      </c>
      <c r="Q53" s="120">
        <f t="shared" si="49"/>
        <v>6810415.9199999999</v>
      </c>
    </row>
    <row r="54" spans="1:17" ht="68.400000000000006" x14ac:dyDescent="0.3">
      <c r="A54" s="147" t="s">
        <v>201</v>
      </c>
      <c r="B54" s="147"/>
      <c r="C54" s="185" t="s">
        <v>202</v>
      </c>
      <c r="D54" s="186" t="s">
        <v>25</v>
      </c>
      <c r="E54" s="187">
        <v>60</v>
      </c>
      <c r="F54" s="134">
        <v>50000</v>
      </c>
      <c r="G54" s="246">
        <f t="shared" si="31"/>
        <v>3000000</v>
      </c>
      <c r="H54" s="252">
        <v>52000</v>
      </c>
      <c r="I54" s="135">
        <f t="shared" si="50"/>
        <v>3120000</v>
      </c>
      <c r="J54" s="125">
        <v>51000</v>
      </c>
      <c r="K54" s="135">
        <f t="shared" si="31"/>
        <v>3060000</v>
      </c>
      <c r="L54" s="125">
        <f t="shared" si="45"/>
        <v>51000</v>
      </c>
      <c r="M54" s="108">
        <f t="shared" si="46"/>
        <v>3060000</v>
      </c>
      <c r="N54" s="71">
        <f t="shared" si="47"/>
        <v>68914.922999999995</v>
      </c>
      <c r="O54" s="71">
        <f t="shared" si="48"/>
        <v>4134895.38</v>
      </c>
      <c r="Q54" s="120">
        <f t="shared" si="49"/>
        <v>4134895.38</v>
      </c>
    </row>
    <row r="55" spans="1:17" ht="45.6" x14ac:dyDescent="0.3">
      <c r="A55" s="147" t="s">
        <v>203</v>
      </c>
      <c r="B55" s="147"/>
      <c r="C55" s="185" t="s">
        <v>204</v>
      </c>
      <c r="D55" s="186" t="s">
        <v>25</v>
      </c>
      <c r="E55" s="187">
        <v>120</v>
      </c>
      <c r="F55" s="134">
        <v>24000</v>
      </c>
      <c r="G55" s="246">
        <f t="shared" si="31"/>
        <v>2880000</v>
      </c>
      <c r="H55" s="252">
        <v>26000</v>
      </c>
      <c r="I55" s="135">
        <f t="shared" si="50"/>
        <v>3120000</v>
      </c>
      <c r="J55" s="125">
        <v>25000</v>
      </c>
      <c r="K55" s="135">
        <f t="shared" si="31"/>
        <v>3000000</v>
      </c>
      <c r="L55" s="125">
        <f t="shared" si="45"/>
        <v>25000</v>
      </c>
      <c r="M55" s="108">
        <f t="shared" si="46"/>
        <v>3000000</v>
      </c>
      <c r="N55" s="71">
        <f t="shared" si="47"/>
        <v>33781.824999999997</v>
      </c>
      <c r="O55" s="71">
        <f t="shared" si="48"/>
        <v>4053819</v>
      </c>
      <c r="Q55" s="120">
        <f t="shared" si="49"/>
        <v>4053819</v>
      </c>
    </row>
    <row r="56" spans="1:17" ht="68.400000000000006" x14ac:dyDescent="0.3">
      <c r="A56" s="147" t="s">
        <v>205</v>
      </c>
      <c r="B56" s="147"/>
      <c r="C56" s="185" t="s">
        <v>206</v>
      </c>
      <c r="D56" s="186" t="s">
        <v>25</v>
      </c>
      <c r="E56" s="187">
        <v>360</v>
      </c>
      <c r="F56" s="134">
        <v>26000</v>
      </c>
      <c r="G56" s="246">
        <f t="shared" ref="G56:G64" si="51">ROUND($E56*F56,2)</f>
        <v>9360000</v>
      </c>
      <c r="H56" s="252">
        <v>28000</v>
      </c>
      <c r="I56" s="135">
        <f t="shared" si="50"/>
        <v>10080000</v>
      </c>
      <c r="J56" s="125">
        <v>27000</v>
      </c>
      <c r="K56" s="135">
        <f t="shared" ref="K56:K64" si="52">ROUND($E56*J56,2)</f>
        <v>9720000</v>
      </c>
      <c r="L56" s="125">
        <f t="shared" si="45"/>
        <v>27000</v>
      </c>
      <c r="M56" s="108">
        <f t="shared" si="46"/>
        <v>9720000</v>
      </c>
      <c r="N56" s="71">
        <f t="shared" si="47"/>
        <v>36484.370999999999</v>
      </c>
      <c r="O56" s="71">
        <f t="shared" si="48"/>
        <v>13134373.560000001</v>
      </c>
      <c r="Q56" s="120">
        <f t="shared" si="49"/>
        <v>13134373.560000001</v>
      </c>
    </row>
    <row r="57" spans="1:17" ht="45.6" x14ac:dyDescent="0.3">
      <c r="A57" s="147" t="s">
        <v>207</v>
      </c>
      <c r="B57" s="147"/>
      <c r="C57" s="185" t="s">
        <v>208</v>
      </c>
      <c r="D57" s="186" t="s">
        <v>25</v>
      </c>
      <c r="E57" s="187">
        <v>20</v>
      </c>
      <c r="F57" s="134">
        <v>55000</v>
      </c>
      <c r="G57" s="246">
        <f t="shared" si="51"/>
        <v>1100000</v>
      </c>
      <c r="H57" s="252">
        <v>58000</v>
      </c>
      <c r="I57" s="135">
        <f t="shared" si="50"/>
        <v>1160000</v>
      </c>
      <c r="J57" s="125">
        <v>57000</v>
      </c>
      <c r="K57" s="135">
        <f t="shared" si="52"/>
        <v>1140000</v>
      </c>
      <c r="L57" s="125">
        <f t="shared" si="45"/>
        <v>56666.67</v>
      </c>
      <c r="M57" s="108">
        <f t="shared" si="46"/>
        <v>1133333.3999999999</v>
      </c>
      <c r="N57" s="71">
        <f t="shared" si="47"/>
        <v>76572.141170909992</v>
      </c>
      <c r="O57" s="71">
        <f t="shared" si="48"/>
        <v>1531442.8234000001</v>
      </c>
      <c r="Q57" s="120">
        <f t="shared" si="49"/>
        <v>1531442.8234000001</v>
      </c>
    </row>
    <row r="58" spans="1:17" ht="68.400000000000006" x14ac:dyDescent="0.3">
      <c r="A58" s="147" t="s">
        <v>209</v>
      </c>
      <c r="B58" s="147"/>
      <c r="C58" s="185" t="s">
        <v>210</v>
      </c>
      <c r="D58" s="186" t="s">
        <v>25</v>
      </c>
      <c r="E58" s="187">
        <v>130</v>
      </c>
      <c r="F58" s="134">
        <v>42000</v>
      </c>
      <c r="G58" s="246">
        <f t="shared" si="51"/>
        <v>5460000</v>
      </c>
      <c r="H58" s="252">
        <v>44000</v>
      </c>
      <c r="I58" s="135">
        <f t="shared" si="50"/>
        <v>5720000</v>
      </c>
      <c r="J58" s="125">
        <v>43000</v>
      </c>
      <c r="K58" s="135">
        <f t="shared" si="52"/>
        <v>5590000</v>
      </c>
      <c r="L58" s="125">
        <f t="shared" si="45"/>
        <v>43000</v>
      </c>
      <c r="M58" s="108">
        <f t="shared" si="46"/>
        <v>5590000</v>
      </c>
      <c r="N58" s="71">
        <f t="shared" si="47"/>
        <v>58104.739000000001</v>
      </c>
      <c r="O58" s="71">
        <f t="shared" si="48"/>
        <v>7553616.0700000003</v>
      </c>
      <c r="Q58" s="120">
        <f t="shared" si="49"/>
        <v>7553616.0700000003</v>
      </c>
    </row>
    <row r="59" spans="1:17" ht="68.400000000000006" x14ac:dyDescent="0.3">
      <c r="A59" s="147" t="s">
        <v>211</v>
      </c>
      <c r="B59" s="147"/>
      <c r="C59" s="185" t="s">
        <v>212</v>
      </c>
      <c r="D59" s="186" t="s">
        <v>25</v>
      </c>
      <c r="E59" s="187">
        <v>10</v>
      </c>
      <c r="F59" s="134">
        <v>21000</v>
      </c>
      <c r="G59" s="246">
        <f t="shared" si="51"/>
        <v>210000</v>
      </c>
      <c r="H59" s="252">
        <v>22000</v>
      </c>
      <c r="I59" s="135">
        <f t="shared" si="50"/>
        <v>220000</v>
      </c>
      <c r="J59" s="125">
        <v>21000</v>
      </c>
      <c r="K59" s="135">
        <f t="shared" si="52"/>
        <v>210000</v>
      </c>
      <c r="L59" s="125">
        <f t="shared" si="45"/>
        <v>21333.33</v>
      </c>
      <c r="M59" s="108">
        <f t="shared" si="46"/>
        <v>213333.30000000002</v>
      </c>
      <c r="N59" s="71">
        <f t="shared" si="47"/>
        <v>28827.152829090002</v>
      </c>
      <c r="O59" s="71">
        <f t="shared" si="48"/>
        <v>288271.52830000001</v>
      </c>
      <c r="Q59" s="120">
        <f t="shared" si="49"/>
        <v>288271.52830000001</v>
      </c>
    </row>
    <row r="60" spans="1:17" ht="45.6" x14ac:dyDescent="0.3">
      <c r="A60" s="147" t="s">
        <v>213</v>
      </c>
      <c r="B60" s="147"/>
      <c r="C60" s="185" t="s">
        <v>214</v>
      </c>
      <c r="D60" s="186" t="s">
        <v>25</v>
      </c>
      <c r="E60" s="187">
        <v>70</v>
      </c>
      <c r="F60" s="134">
        <v>44000</v>
      </c>
      <c r="G60" s="246">
        <f t="shared" si="51"/>
        <v>3080000</v>
      </c>
      <c r="H60" s="252">
        <v>47000</v>
      </c>
      <c r="I60" s="135">
        <f t="shared" si="50"/>
        <v>3290000</v>
      </c>
      <c r="J60" s="125">
        <v>45000</v>
      </c>
      <c r="K60" s="135">
        <f t="shared" si="52"/>
        <v>3150000</v>
      </c>
      <c r="L60" s="125">
        <f t="shared" si="45"/>
        <v>45333.33</v>
      </c>
      <c r="M60" s="108">
        <f t="shared" si="46"/>
        <v>3173333.1</v>
      </c>
      <c r="N60" s="71">
        <f t="shared" si="47"/>
        <v>61257.704829090006</v>
      </c>
      <c r="O60" s="71">
        <f t="shared" si="48"/>
        <v>4288039.3380000005</v>
      </c>
      <c r="Q60" s="120">
        <f t="shared" si="49"/>
        <v>4288039.3380000005</v>
      </c>
    </row>
    <row r="61" spans="1:17" ht="45.6" x14ac:dyDescent="0.3">
      <c r="A61" s="147" t="s">
        <v>215</v>
      </c>
      <c r="B61" s="147"/>
      <c r="C61" s="185" t="s">
        <v>216</v>
      </c>
      <c r="D61" s="186" t="s">
        <v>25</v>
      </c>
      <c r="E61" s="187">
        <v>160</v>
      </c>
      <c r="F61" s="134">
        <v>33000</v>
      </c>
      <c r="G61" s="246">
        <f t="shared" si="51"/>
        <v>5280000</v>
      </c>
      <c r="H61" s="252">
        <v>34000</v>
      </c>
      <c r="I61" s="135">
        <f t="shared" si="50"/>
        <v>5440000</v>
      </c>
      <c r="J61" s="125">
        <v>33000</v>
      </c>
      <c r="K61" s="135">
        <f t="shared" si="52"/>
        <v>5280000</v>
      </c>
      <c r="L61" s="125">
        <f t="shared" si="45"/>
        <v>33333.33</v>
      </c>
      <c r="M61" s="108">
        <f t="shared" si="46"/>
        <v>5333332.8000000007</v>
      </c>
      <c r="N61" s="71">
        <f t="shared" si="47"/>
        <v>45042.42882909</v>
      </c>
      <c r="O61" s="71">
        <f t="shared" si="48"/>
        <v>7206788.6127000004</v>
      </c>
      <c r="Q61" s="120">
        <f t="shared" si="49"/>
        <v>7206788.6127000004</v>
      </c>
    </row>
    <row r="62" spans="1:17" ht="34.200000000000003" x14ac:dyDescent="0.3">
      <c r="A62" s="147" t="s">
        <v>217</v>
      </c>
      <c r="B62" s="147"/>
      <c r="C62" s="185" t="s">
        <v>218</v>
      </c>
      <c r="D62" s="197" t="s">
        <v>32</v>
      </c>
      <c r="E62" s="187">
        <v>12</v>
      </c>
      <c r="F62" s="134">
        <v>67000</v>
      </c>
      <c r="G62" s="246">
        <f t="shared" si="51"/>
        <v>804000</v>
      </c>
      <c r="H62" s="252">
        <v>70000</v>
      </c>
      <c r="I62" s="135">
        <f t="shared" si="50"/>
        <v>840000</v>
      </c>
      <c r="J62" s="125">
        <v>69000</v>
      </c>
      <c r="K62" s="135">
        <f t="shared" si="52"/>
        <v>828000</v>
      </c>
      <c r="L62" s="125">
        <f t="shared" si="45"/>
        <v>68666.67</v>
      </c>
      <c r="M62" s="108">
        <f t="shared" si="46"/>
        <v>824000.04</v>
      </c>
      <c r="N62" s="71">
        <f t="shared" si="47"/>
        <v>92787.41717090999</v>
      </c>
      <c r="O62" s="71">
        <f t="shared" si="48"/>
        <v>1113449.0061000001</v>
      </c>
      <c r="Q62" s="120">
        <f t="shared" si="49"/>
        <v>1113449.0061000001</v>
      </c>
    </row>
    <row r="63" spans="1:17" x14ac:dyDescent="0.3">
      <c r="A63" s="181">
        <v>3</v>
      </c>
      <c r="B63" s="184"/>
      <c r="C63" s="182" t="s">
        <v>219</v>
      </c>
      <c r="D63" s="183"/>
      <c r="E63" s="184"/>
      <c r="F63" s="183"/>
      <c r="G63" s="263">
        <f>G64</f>
        <v>1032000</v>
      </c>
      <c r="H63" s="253"/>
      <c r="I63" s="263">
        <f>I64</f>
        <v>1083000</v>
      </c>
      <c r="J63" s="250"/>
      <c r="K63" s="263">
        <f>K64</f>
        <v>1058000</v>
      </c>
      <c r="L63" s="183"/>
      <c r="M63" s="183"/>
      <c r="N63" s="71"/>
      <c r="O63" s="71"/>
      <c r="Q63" s="120"/>
    </row>
    <row r="64" spans="1:17" x14ac:dyDescent="0.3">
      <c r="A64" s="147" t="s">
        <v>52</v>
      </c>
      <c r="B64" s="147"/>
      <c r="C64" s="138" t="s">
        <v>106</v>
      </c>
      <c r="D64" s="139" t="s">
        <v>32</v>
      </c>
      <c r="E64" s="140">
        <v>1</v>
      </c>
      <c r="F64" s="134">
        <v>1032000</v>
      </c>
      <c r="G64" s="246">
        <f t="shared" si="51"/>
        <v>1032000</v>
      </c>
      <c r="H64" s="134">
        <v>1083000</v>
      </c>
      <c r="I64" s="135">
        <f t="shared" si="50"/>
        <v>1083000</v>
      </c>
      <c r="J64" s="125">
        <v>1058000</v>
      </c>
      <c r="K64" s="135">
        <f t="shared" si="52"/>
        <v>1058000</v>
      </c>
      <c r="L64" s="125">
        <f t="shared" ref="L64" si="53">ROUND(AVERAGE(H64,F64,J64),2)</f>
        <v>1057666.67</v>
      </c>
      <c r="M64" s="108">
        <f t="shared" ref="M64" si="54">$E64*L64</f>
        <v>1057666.67</v>
      </c>
      <c r="N64" s="71">
        <f t="shared" ref="N64" si="55">+L64*(1+$L$66+$L$67+$L$68)+L64*$L$69*$L$68</f>
        <v>1429196.4141709099</v>
      </c>
      <c r="O64" s="71">
        <f t="shared" ref="O64" si="56">ROUND(N64*E64,4)</f>
        <v>1429196.4142</v>
      </c>
      <c r="Q64" s="120">
        <f t="shared" ref="Q64" si="57">+O64-P64</f>
        <v>1429196.4142</v>
      </c>
    </row>
    <row r="65" spans="1:17" s="87" customFormat="1" x14ac:dyDescent="0.2">
      <c r="A65" s="314" t="s">
        <v>220</v>
      </c>
      <c r="B65" s="315"/>
      <c r="C65" s="315"/>
      <c r="D65" s="315"/>
      <c r="E65" s="315"/>
      <c r="F65" s="294">
        <f>G5+G31+G63</f>
        <v>238616415.68000001</v>
      </c>
      <c r="G65" s="295"/>
      <c r="H65" s="294">
        <f>I5+I31+I63</f>
        <v>250497347.51999998</v>
      </c>
      <c r="I65" s="295"/>
      <c r="J65" s="294">
        <f>K5+K31+K63</f>
        <v>235896836.59999999</v>
      </c>
      <c r="K65" s="295"/>
      <c r="L65" s="285">
        <f>+ROUND(SUM(M6:M64),4)</f>
        <v>244507198.85969999</v>
      </c>
      <c r="M65" s="286"/>
      <c r="O65" s="119">
        <f>+SUM(O6:O64)</f>
        <v>330395976.12479997</v>
      </c>
      <c r="P65" s="117"/>
      <c r="Q65" s="120">
        <f t="shared" si="34"/>
        <v>330395976.12479997</v>
      </c>
    </row>
    <row r="66" spans="1:17" s="86" customFormat="1" x14ac:dyDescent="0.2">
      <c r="A66" s="318"/>
      <c r="B66" s="319"/>
      <c r="C66" s="319"/>
      <c r="D66" s="320"/>
      <c r="E66" s="123" t="s">
        <v>221</v>
      </c>
      <c r="F66" s="136">
        <v>0.25</v>
      </c>
      <c r="G66" s="247">
        <f>F$65*F66</f>
        <v>59654103.920000002</v>
      </c>
      <c r="H66" s="136">
        <v>0.25</v>
      </c>
      <c r="I66" s="141">
        <f>H$65*H66</f>
        <v>62624336.879999995</v>
      </c>
      <c r="J66" s="127">
        <v>0.22</v>
      </c>
      <c r="K66" s="137">
        <f>J$65*J66</f>
        <v>51897304.052000001</v>
      </c>
      <c r="L66" s="127">
        <f>ROUND(AVERAGE(F66,H66,J66),4)</f>
        <v>0.24</v>
      </c>
      <c r="M66" s="109">
        <f>ROUND(L$65*L66,2)</f>
        <v>58681727.729999997</v>
      </c>
      <c r="N66" s="85"/>
      <c r="O66" s="85"/>
      <c r="P66" s="117"/>
      <c r="Q66" s="120">
        <f t="shared" si="34"/>
        <v>0</v>
      </c>
    </row>
    <row r="67" spans="1:17" s="86" customFormat="1" x14ac:dyDescent="0.2">
      <c r="A67" s="318"/>
      <c r="B67" s="319"/>
      <c r="C67" s="319"/>
      <c r="D67" s="320"/>
      <c r="E67" s="123" t="s">
        <v>222</v>
      </c>
      <c r="F67" s="136">
        <v>0.02</v>
      </c>
      <c r="G67" s="247">
        <f>F$65*F67</f>
        <v>4772328.3136</v>
      </c>
      <c r="H67" s="136">
        <v>0.02</v>
      </c>
      <c r="I67" s="141">
        <f>H$65*H67</f>
        <v>5009946.9503999995</v>
      </c>
      <c r="J67" s="127">
        <v>0.02</v>
      </c>
      <c r="K67" s="137">
        <f>J$65*J67</f>
        <v>4717936.7319999998</v>
      </c>
      <c r="L67" s="127">
        <f>ROUND(AVERAGE(F67,H67,J67),4)</f>
        <v>0.02</v>
      </c>
      <c r="M67" s="109">
        <f>ROUND(L$65*L67,2)</f>
        <v>4890143.9800000004</v>
      </c>
      <c r="N67" s="85"/>
      <c r="O67" s="85"/>
      <c r="P67" s="117"/>
      <c r="Q67" s="120">
        <f t="shared" si="34"/>
        <v>0</v>
      </c>
    </row>
    <row r="68" spans="1:17" s="86" customFormat="1" x14ac:dyDescent="0.2">
      <c r="A68" s="318"/>
      <c r="B68" s="319"/>
      <c r="C68" s="319"/>
      <c r="D68" s="320"/>
      <c r="E68" s="123" t="s">
        <v>223</v>
      </c>
      <c r="F68" s="136">
        <v>0.08</v>
      </c>
      <c r="G68" s="247">
        <f>F$65*F68</f>
        <v>19089313.2544</v>
      </c>
      <c r="H68" s="136">
        <v>0.08</v>
      </c>
      <c r="I68" s="141">
        <f>H$65*H68</f>
        <v>20039787.801599998</v>
      </c>
      <c r="J68" s="127">
        <v>7.0000000000000007E-2</v>
      </c>
      <c r="K68" s="137">
        <f>J$65*J68</f>
        <v>16512778.562000001</v>
      </c>
      <c r="L68" s="127">
        <f>ROUND(AVERAGE(F68,H68,J68),4)</f>
        <v>7.6700000000000004E-2</v>
      </c>
      <c r="M68" s="109">
        <f>ROUND(L$65*L68,2)</f>
        <v>18753702.149999999</v>
      </c>
      <c r="N68" s="85"/>
      <c r="O68" s="85"/>
      <c r="P68" s="117"/>
      <c r="Q68" s="120">
        <f t="shared" si="34"/>
        <v>0</v>
      </c>
    </row>
    <row r="69" spans="1:17" s="86" customFormat="1" x14ac:dyDescent="0.2">
      <c r="A69" s="318"/>
      <c r="B69" s="319"/>
      <c r="C69" s="319"/>
      <c r="D69" s="320"/>
      <c r="E69" s="123" t="s">
        <v>224</v>
      </c>
      <c r="F69" s="136">
        <v>0.19</v>
      </c>
      <c r="G69" s="247">
        <f>+G68*F69</f>
        <v>3626969.5183359999</v>
      </c>
      <c r="H69" s="136">
        <v>0.19</v>
      </c>
      <c r="I69" s="141">
        <f>+I68*H69</f>
        <v>3807559.6823039996</v>
      </c>
      <c r="J69" s="127">
        <v>0.19</v>
      </c>
      <c r="K69" s="137">
        <f>+K68*J69</f>
        <v>3137427.9267800003</v>
      </c>
      <c r="L69" s="127">
        <v>0.19</v>
      </c>
      <c r="M69" s="109">
        <f>ROUND(M$68*L69,2)</f>
        <v>3563203.41</v>
      </c>
      <c r="N69" s="85"/>
      <c r="O69" s="85"/>
      <c r="P69" s="117"/>
      <c r="Q69" s="120">
        <f t="shared" si="34"/>
        <v>0</v>
      </c>
    </row>
    <row r="70" spans="1:17" s="87" customFormat="1" ht="12.6" thickBot="1" x14ac:dyDescent="0.25">
      <c r="A70" s="314" t="s">
        <v>7</v>
      </c>
      <c r="B70" s="315"/>
      <c r="C70" s="315"/>
      <c r="D70" s="315"/>
      <c r="E70" s="315"/>
      <c r="F70" s="316">
        <f>+F65+G66+G67+G68+G69</f>
        <v>325759130.68633604</v>
      </c>
      <c r="G70" s="317"/>
      <c r="H70" s="289">
        <f>+H65+I66+I67+I68+I69</f>
        <v>341978978.83430398</v>
      </c>
      <c r="I70" s="290"/>
      <c r="J70" s="296">
        <f>+J65+K66+K67+K68+K69</f>
        <v>312162283.87277997</v>
      </c>
      <c r="K70" s="297"/>
      <c r="L70" s="287">
        <f>ROUND(L65+M66+M67+M68+M69,2)</f>
        <v>330395976.13</v>
      </c>
      <c r="M70" s="288"/>
      <c r="N70" s="85"/>
      <c r="O70" s="85"/>
      <c r="P70" s="117"/>
      <c r="Q70" s="120">
        <f t="shared" si="34"/>
        <v>0</v>
      </c>
    </row>
    <row r="71" spans="1:17" x14ac:dyDescent="0.2">
      <c r="A71" s="325"/>
      <c r="B71" s="326"/>
      <c r="C71" s="326"/>
      <c r="D71" s="326"/>
      <c r="E71" s="326"/>
      <c r="F71" s="327"/>
      <c r="G71" s="327"/>
      <c r="H71" s="327"/>
      <c r="I71" s="327"/>
      <c r="J71" s="327"/>
      <c r="K71" s="328"/>
      <c r="L71" s="88"/>
      <c r="P71" s="117"/>
      <c r="Q71" s="86"/>
    </row>
    <row r="72" spans="1:17" s="91" customFormat="1" ht="12.6" thickBot="1" x14ac:dyDescent="0.25">
      <c r="A72" s="321" t="s">
        <v>225</v>
      </c>
      <c r="B72" s="322"/>
      <c r="C72" s="322"/>
      <c r="D72" s="322"/>
      <c r="E72" s="322"/>
      <c r="F72" s="323"/>
      <c r="G72" s="323"/>
      <c r="H72" s="323"/>
      <c r="I72" s="323"/>
      <c r="J72" s="323"/>
      <c r="K72" s="324"/>
      <c r="L72" s="90"/>
      <c r="M72" s="90"/>
      <c r="N72" s="85"/>
      <c r="O72" s="85"/>
      <c r="P72" s="117"/>
      <c r="Q72" s="86"/>
    </row>
    <row r="73" spans="1:17" s="91" customFormat="1" x14ac:dyDescent="0.2">
      <c r="A73" s="92" t="s">
        <v>2</v>
      </c>
      <c r="B73" s="92"/>
      <c r="C73" s="93" t="s">
        <v>3</v>
      </c>
      <c r="D73" s="92" t="s">
        <v>4</v>
      </c>
      <c r="E73" s="151" t="s">
        <v>5</v>
      </c>
      <c r="F73" s="157" t="s">
        <v>226</v>
      </c>
      <c r="G73" s="158" t="s">
        <v>227</v>
      </c>
      <c r="H73" s="157" t="s">
        <v>226</v>
      </c>
      <c r="I73" s="158" t="s">
        <v>227</v>
      </c>
      <c r="J73" s="157" t="s">
        <v>226</v>
      </c>
      <c r="K73" s="158" t="s">
        <v>227</v>
      </c>
      <c r="L73" s="154" t="s">
        <v>226</v>
      </c>
      <c r="M73" s="96" t="s">
        <v>227</v>
      </c>
      <c r="N73" s="85"/>
      <c r="O73" s="85"/>
      <c r="P73" s="118"/>
    </row>
    <row r="74" spans="1:17" s="81" customFormat="1" x14ac:dyDescent="0.3">
      <c r="A74" s="199">
        <v>4</v>
      </c>
      <c r="B74" s="199"/>
      <c r="C74" s="200" t="s">
        <v>72</v>
      </c>
      <c r="D74" s="201"/>
      <c r="E74" s="202"/>
      <c r="F74" s="159"/>
      <c r="G74" s="160"/>
      <c r="H74" s="159"/>
      <c r="I74" s="160"/>
      <c r="J74" s="159"/>
      <c r="K74" s="160"/>
      <c r="L74" s="155"/>
      <c r="M74" s="80"/>
      <c r="N74" s="80"/>
      <c r="O74" s="80"/>
      <c r="P74" s="114"/>
    </row>
    <row r="75" spans="1:17" ht="114" x14ac:dyDescent="0.3">
      <c r="A75" s="147" t="s">
        <v>55</v>
      </c>
      <c r="B75" s="147"/>
      <c r="C75" s="198" t="s">
        <v>228</v>
      </c>
      <c r="D75" s="186" t="s">
        <v>32</v>
      </c>
      <c r="E75" s="187">
        <v>6</v>
      </c>
      <c r="F75" s="161">
        <v>2667000</v>
      </c>
      <c r="G75" s="162">
        <f t="shared" ref="G75:G78" si="58">ROUND($E75*F75,2)</f>
        <v>16002000</v>
      </c>
      <c r="H75" s="161">
        <v>2800000</v>
      </c>
      <c r="I75" s="162">
        <f t="shared" ref="I75:I78" si="59">ROUND($E75*H75,2)</f>
        <v>16800000</v>
      </c>
      <c r="J75" s="161">
        <v>2735000</v>
      </c>
      <c r="K75" s="162">
        <f t="shared" ref="K75:K78" si="60">ROUND($E75*J75,2)</f>
        <v>16410000</v>
      </c>
      <c r="L75" s="156">
        <f>ROUND(AVERAGE(H75,F75,J75),2)</f>
        <v>2734000</v>
      </c>
      <c r="M75" s="72">
        <f t="shared" ref="M75:M78" si="61">ROUND($E75*L75,2)</f>
        <v>16404000</v>
      </c>
      <c r="N75" s="71">
        <f t="shared" ref="N75:N77" si="62">+L75+L75*$L$80</f>
        <v>3253460</v>
      </c>
      <c r="O75" s="71">
        <f>ROUND(N75*E75,4)</f>
        <v>19520760</v>
      </c>
    </row>
    <row r="76" spans="1:17" ht="136.80000000000001" x14ac:dyDescent="0.3">
      <c r="A76" s="147" t="s">
        <v>57</v>
      </c>
      <c r="B76" s="147"/>
      <c r="C76" s="198" t="s">
        <v>229</v>
      </c>
      <c r="D76" s="186" t="s">
        <v>32</v>
      </c>
      <c r="E76" s="187">
        <v>3</v>
      </c>
      <c r="F76" s="161">
        <v>3252000</v>
      </c>
      <c r="G76" s="162">
        <f t="shared" si="58"/>
        <v>9756000</v>
      </c>
      <c r="H76" s="161">
        <v>3413000</v>
      </c>
      <c r="I76" s="162">
        <f t="shared" si="59"/>
        <v>10239000</v>
      </c>
      <c r="J76" s="161">
        <v>3334000</v>
      </c>
      <c r="K76" s="162">
        <f t="shared" si="60"/>
        <v>10002000</v>
      </c>
      <c r="L76" s="156">
        <f t="shared" ref="L76:L78" si="63">ROUND(AVERAGE(H76,F76,J76),2)</f>
        <v>3333000</v>
      </c>
      <c r="M76" s="72">
        <f t="shared" si="61"/>
        <v>9999000</v>
      </c>
      <c r="N76" s="71">
        <f t="shared" si="62"/>
        <v>3966270</v>
      </c>
      <c r="O76" s="71">
        <f t="shared" ref="O76:O78" si="64">ROUND(N76*E76,4)</f>
        <v>11898810</v>
      </c>
    </row>
    <row r="77" spans="1:17" ht="136.80000000000001" x14ac:dyDescent="0.3">
      <c r="A77" s="147" t="s">
        <v>59</v>
      </c>
      <c r="B77" s="147"/>
      <c r="C77" s="198" t="s">
        <v>230</v>
      </c>
      <c r="D77" s="186" t="s">
        <v>32</v>
      </c>
      <c r="E77" s="187">
        <v>1</v>
      </c>
      <c r="F77" s="161">
        <v>4274000</v>
      </c>
      <c r="G77" s="162">
        <f t="shared" si="58"/>
        <v>4274000</v>
      </c>
      <c r="H77" s="161">
        <v>4487000</v>
      </c>
      <c r="I77" s="162">
        <f t="shared" si="59"/>
        <v>4487000</v>
      </c>
      <c r="J77" s="161">
        <v>4383000</v>
      </c>
      <c r="K77" s="162">
        <f t="shared" si="60"/>
        <v>4383000</v>
      </c>
      <c r="L77" s="156">
        <f t="shared" si="63"/>
        <v>4381333.33</v>
      </c>
      <c r="M77" s="72">
        <f t="shared" si="61"/>
        <v>4381333.33</v>
      </c>
      <c r="N77" s="71">
        <f t="shared" si="62"/>
        <v>5213786.6627000002</v>
      </c>
      <c r="O77" s="71">
        <f t="shared" si="64"/>
        <v>5213786.6627000002</v>
      </c>
    </row>
    <row r="78" spans="1:17" ht="136.80000000000001" x14ac:dyDescent="0.3">
      <c r="A78" s="147" t="s">
        <v>61</v>
      </c>
      <c r="B78" s="147"/>
      <c r="C78" s="198" t="s">
        <v>231</v>
      </c>
      <c r="D78" s="186" t="s">
        <v>32</v>
      </c>
      <c r="E78" s="187">
        <v>2</v>
      </c>
      <c r="F78" s="161">
        <v>7197000</v>
      </c>
      <c r="G78" s="162">
        <f t="shared" si="58"/>
        <v>14394000</v>
      </c>
      <c r="H78" s="161">
        <v>7555000</v>
      </c>
      <c r="I78" s="162">
        <f t="shared" si="59"/>
        <v>15110000</v>
      </c>
      <c r="J78" s="161">
        <v>7380000</v>
      </c>
      <c r="K78" s="162">
        <f t="shared" si="60"/>
        <v>14760000</v>
      </c>
      <c r="L78" s="156">
        <f t="shared" si="63"/>
        <v>7377333.3300000001</v>
      </c>
      <c r="M78" s="72">
        <f t="shared" si="61"/>
        <v>14754666.66</v>
      </c>
      <c r="N78" s="71">
        <f>+L78+L78*$L$80</f>
        <v>8779026.6627000012</v>
      </c>
      <c r="O78" s="71">
        <f t="shared" si="64"/>
        <v>17558053.325399999</v>
      </c>
    </row>
    <row r="79" spans="1:17" s="87" customFormat="1" x14ac:dyDescent="0.2">
      <c r="A79" s="314" t="s">
        <v>220</v>
      </c>
      <c r="B79" s="315"/>
      <c r="C79" s="315"/>
      <c r="D79" s="315"/>
      <c r="E79" s="315"/>
      <c r="F79" s="292">
        <f>SUM(G75:G78)</f>
        <v>44426000</v>
      </c>
      <c r="G79" s="293"/>
      <c r="H79" s="292">
        <f>SUM(I75:I78)</f>
        <v>46636000</v>
      </c>
      <c r="I79" s="293"/>
      <c r="J79" s="298">
        <f t="shared" ref="J79" si="65">SUM(K75:K78)</f>
        <v>45555000</v>
      </c>
      <c r="K79" s="299"/>
      <c r="L79" s="287">
        <f>ROUND(SUM(M75:M78),2)</f>
        <v>45538999.990000002</v>
      </c>
      <c r="M79" s="288"/>
      <c r="N79" s="288">
        <f>ROUND(SUM(O75:O78),2)</f>
        <v>54191409.990000002</v>
      </c>
      <c r="O79" s="329"/>
      <c r="P79" s="110"/>
    </row>
    <row r="80" spans="1:17" s="86" customFormat="1" x14ac:dyDescent="0.2">
      <c r="A80" s="318"/>
      <c r="B80" s="319"/>
      <c r="C80" s="319"/>
      <c r="D80" s="320"/>
      <c r="E80" s="153" t="s">
        <v>224</v>
      </c>
      <c r="F80" s="163">
        <v>0.19</v>
      </c>
      <c r="G80" s="141">
        <f>F79*F80</f>
        <v>8440940</v>
      </c>
      <c r="H80" s="163">
        <v>0.19</v>
      </c>
      <c r="I80" s="141">
        <f>H79*H80</f>
        <v>8860840</v>
      </c>
      <c r="J80" s="163">
        <v>0.19</v>
      </c>
      <c r="K80" s="137">
        <f>J79*J80</f>
        <v>8655450</v>
      </c>
      <c r="L80" s="164">
        <f>+AVERAGE(H80,F80,J80)</f>
        <v>0.19000000000000003</v>
      </c>
      <c r="M80" s="109">
        <f>+ROUND(L79*L80,2)</f>
        <v>8652410</v>
      </c>
      <c r="N80" s="85"/>
      <c r="O80" s="85"/>
      <c r="P80" s="110"/>
    </row>
    <row r="81" spans="1:16" s="87" customFormat="1" ht="12.6" thickBot="1" x14ac:dyDescent="0.25">
      <c r="A81" s="314" t="s">
        <v>7</v>
      </c>
      <c r="B81" s="315"/>
      <c r="C81" s="315"/>
      <c r="D81" s="315"/>
      <c r="E81" s="315"/>
      <c r="F81" s="289">
        <f>+G80+F79</f>
        <v>52866940</v>
      </c>
      <c r="G81" s="290"/>
      <c r="H81" s="289">
        <f>+I80+H79</f>
        <v>55496840</v>
      </c>
      <c r="I81" s="290"/>
      <c r="J81" s="316">
        <f>+K80+J79</f>
        <v>54210450</v>
      </c>
      <c r="K81" s="297"/>
      <c r="L81" s="287">
        <f>ROUND(M80+L79,2)</f>
        <v>54191409.990000002</v>
      </c>
      <c r="M81" s="288"/>
      <c r="N81" s="85"/>
      <c r="O81" s="85"/>
      <c r="P81" s="110"/>
    </row>
    <row r="82" spans="1:16" s="91" customFormat="1" x14ac:dyDescent="0.2">
      <c r="A82" s="311"/>
      <c r="B82" s="312"/>
      <c r="C82" s="312"/>
      <c r="D82" s="312"/>
      <c r="E82" s="313"/>
      <c r="F82" s="291">
        <f>+F81+F70</f>
        <v>378626070.68633604</v>
      </c>
      <c r="G82" s="291"/>
      <c r="H82" s="291">
        <f>+H81+H70</f>
        <v>397475818.83430398</v>
      </c>
      <c r="I82" s="291"/>
      <c r="J82" s="291">
        <f>+J81+J70</f>
        <v>366372733.87277997</v>
      </c>
      <c r="K82" s="291"/>
      <c r="L82" s="284">
        <f>+L81+L70</f>
        <v>384587386.12</v>
      </c>
      <c r="M82" s="284"/>
      <c r="N82" s="85"/>
      <c r="O82" s="85">
        <f>+N79+O65</f>
        <v>384587386.11479998</v>
      </c>
      <c r="P82" s="118"/>
    </row>
    <row r="83" spans="1:16" ht="11.4" x14ac:dyDescent="0.3">
      <c r="A83" s="74"/>
      <c r="B83" s="74"/>
      <c r="C83" s="74"/>
      <c r="D83" s="74"/>
      <c r="E83" s="74"/>
      <c r="F83" s="74"/>
      <c r="G83" s="74"/>
      <c r="H83" s="74"/>
      <c r="I83" s="74"/>
      <c r="J83" s="74"/>
      <c r="K83" s="74"/>
      <c r="L83" s="74"/>
      <c r="M83" s="74"/>
    </row>
    <row r="84" spans="1:16" ht="11.4" x14ac:dyDescent="0.3">
      <c r="A84" s="74"/>
      <c r="B84" s="74"/>
      <c r="C84" s="74"/>
      <c r="D84" s="74"/>
      <c r="E84" s="74"/>
      <c r="F84" s="74"/>
      <c r="G84" s="74"/>
      <c r="H84" s="74"/>
      <c r="I84" s="74"/>
      <c r="J84" s="74"/>
      <c r="K84" s="74"/>
      <c r="L84" s="74"/>
      <c r="M84" s="74"/>
    </row>
    <row r="85" spans="1:16" ht="11.4" x14ac:dyDescent="0.3">
      <c r="A85" s="74"/>
      <c r="B85" s="74"/>
      <c r="C85" s="74"/>
      <c r="D85" s="74"/>
      <c r="E85" s="74"/>
      <c r="F85" s="74"/>
      <c r="G85" s="74"/>
      <c r="H85" s="74"/>
      <c r="I85" s="74"/>
      <c r="J85" s="74"/>
      <c r="K85" s="74"/>
      <c r="L85" s="74"/>
      <c r="M85" s="74"/>
    </row>
    <row r="86" spans="1:16" ht="11.4" x14ac:dyDescent="0.3">
      <c r="A86" s="74"/>
      <c r="B86" s="74"/>
      <c r="C86" s="74"/>
      <c r="D86" s="74"/>
      <c r="E86" s="74"/>
      <c r="F86" s="74"/>
      <c r="G86" s="74"/>
      <c r="H86" s="74"/>
      <c r="I86" s="74"/>
      <c r="J86" s="74"/>
      <c r="K86" s="74"/>
      <c r="L86" s="74"/>
      <c r="M86" s="74"/>
    </row>
    <row r="87" spans="1:16" ht="11.4" x14ac:dyDescent="0.3">
      <c r="A87" s="74"/>
      <c r="B87" s="74"/>
      <c r="C87" s="74"/>
      <c r="D87" s="74"/>
      <c r="E87" s="74"/>
      <c r="F87" s="74"/>
      <c r="G87" s="74"/>
      <c r="H87" s="74"/>
      <c r="I87" s="74"/>
      <c r="J87" s="74"/>
      <c r="K87" s="74"/>
      <c r="L87" s="74"/>
      <c r="M87" s="74"/>
    </row>
    <row r="88" spans="1:16" ht="11.4" x14ac:dyDescent="0.2">
      <c r="A88" s="74"/>
      <c r="B88" s="74"/>
      <c r="C88" s="74"/>
      <c r="D88" s="74"/>
      <c r="E88" s="74"/>
      <c r="F88" s="74"/>
      <c r="G88" s="74"/>
      <c r="H88" s="74"/>
      <c r="I88" s="74"/>
      <c r="J88" s="74"/>
      <c r="K88" s="74"/>
      <c r="M88" s="74"/>
    </row>
    <row r="89" spans="1:16" ht="11.4" x14ac:dyDescent="0.3">
      <c r="A89" s="74"/>
      <c r="B89" s="74"/>
      <c r="C89" s="74"/>
      <c r="D89" s="74"/>
      <c r="E89" s="74"/>
      <c r="F89" s="74"/>
      <c r="G89" s="74"/>
      <c r="H89" s="74"/>
      <c r="I89" s="74"/>
      <c r="J89" s="74"/>
      <c r="K89" s="74"/>
      <c r="L89" s="74"/>
      <c r="M89" s="74"/>
    </row>
    <row r="90" spans="1:16" ht="11.4" x14ac:dyDescent="0.3">
      <c r="A90" s="74"/>
      <c r="B90" s="74"/>
      <c r="C90" s="74"/>
      <c r="D90" s="74"/>
      <c r="E90" s="74"/>
      <c r="F90" s="74"/>
      <c r="G90" s="74"/>
      <c r="H90" s="74"/>
      <c r="I90" s="74"/>
      <c r="J90" s="74"/>
      <c r="K90" s="74"/>
      <c r="L90" s="74"/>
      <c r="M90" s="74"/>
    </row>
    <row r="91" spans="1:16" ht="11.4" x14ac:dyDescent="0.3">
      <c r="A91" s="74"/>
      <c r="B91" s="74"/>
      <c r="C91" s="74"/>
      <c r="D91" s="74"/>
      <c r="E91" s="74"/>
      <c r="F91" s="74"/>
      <c r="G91" s="74"/>
      <c r="H91" s="74"/>
      <c r="I91" s="74"/>
      <c r="J91" s="74"/>
      <c r="K91" s="74"/>
      <c r="L91" s="74"/>
      <c r="M91" s="74"/>
    </row>
    <row r="92" spans="1:16" ht="11.4" x14ac:dyDescent="0.3">
      <c r="A92" s="74"/>
      <c r="B92" s="74"/>
      <c r="C92" s="74"/>
      <c r="D92" s="74"/>
      <c r="E92" s="74"/>
      <c r="F92" s="74"/>
      <c r="G92" s="74"/>
      <c r="H92" s="74"/>
      <c r="I92" s="74"/>
      <c r="J92" s="74"/>
      <c r="K92" s="74"/>
      <c r="L92" s="74"/>
      <c r="M92" s="74"/>
    </row>
    <row r="93" spans="1:16" ht="11.4" x14ac:dyDescent="0.3">
      <c r="A93" s="74"/>
      <c r="B93" s="74"/>
      <c r="C93" s="74"/>
      <c r="D93" s="74"/>
      <c r="E93" s="74"/>
      <c r="F93" s="74"/>
      <c r="G93" s="74"/>
      <c r="H93" s="74"/>
      <c r="I93" s="74"/>
      <c r="J93" s="74"/>
      <c r="K93" s="74"/>
      <c r="L93" s="74"/>
      <c r="M93" s="74"/>
    </row>
    <row r="94" spans="1:16" ht="11.4" x14ac:dyDescent="0.3">
      <c r="A94" s="74"/>
      <c r="B94" s="74"/>
      <c r="C94" s="74"/>
      <c r="D94" s="74"/>
      <c r="E94" s="74"/>
      <c r="F94" s="74"/>
      <c r="G94" s="74"/>
      <c r="H94" s="74"/>
      <c r="I94" s="74"/>
      <c r="J94" s="74"/>
      <c r="K94" s="74"/>
      <c r="L94" s="74"/>
      <c r="M94" s="74"/>
    </row>
    <row r="95" spans="1:16" ht="11.4" x14ac:dyDescent="0.3">
      <c r="A95" s="74"/>
      <c r="B95" s="74"/>
      <c r="C95" s="74"/>
      <c r="D95" s="74"/>
      <c r="E95" s="74"/>
      <c r="F95" s="74"/>
      <c r="G95" s="74"/>
      <c r="H95" s="74"/>
      <c r="I95" s="74"/>
      <c r="J95" s="74"/>
      <c r="K95" s="74"/>
      <c r="L95" s="74"/>
      <c r="M95" s="74"/>
    </row>
    <row r="96" spans="1:16" ht="11.4" x14ac:dyDescent="0.3">
      <c r="A96" s="74"/>
      <c r="B96" s="74"/>
      <c r="C96" s="74"/>
      <c r="D96" s="74"/>
      <c r="E96" s="74"/>
      <c r="F96" s="74"/>
      <c r="G96" s="74"/>
      <c r="H96" s="74"/>
      <c r="I96" s="74"/>
      <c r="J96" s="74"/>
      <c r="K96" s="74"/>
      <c r="L96" s="74"/>
      <c r="M96" s="74"/>
    </row>
    <row r="97" spans="1:13" ht="11.4" x14ac:dyDescent="0.3">
      <c r="A97" s="74"/>
      <c r="B97" s="74"/>
      <c r="C97" s="74"/>
      <c r="D97" s="74"/>
      <c r="E97" s="74"/>
      <c r="F97" s="74"/>
      <c r="G97" s="74"/>
      <c r="H97" s="74"/>
      <c r="I97" s="74"/>
      <c r="J97" s="74"/>
      <c r="K97" s="74"/>
      <c r="L97" s="74"/>
      <c r="M97" s="74"/>
    </row>
    <row r="98" spans="1:13" ht="11.4" x14ac:dyDescent="0.3">
      <c r="A98" s="74"/>
      <c r="B98" s="74"/>
      <c r="C98" s="74"/>
      <c r="D98" s="74"/>
      <c r="E98" s="74"/>
      <c r="F98" s="74"/>
      <c r="G98" s="74"/>
      <c r="H98" s="74"/>
      <c r="I98" s="74"/>
      <c r="J98" s="74"/>
      <c r="K98" s="74"/>
      <c r="L98" s="74"/>
      <c r="M98" s="74"/>
    </row>
    <row r="99" spans="1:13" x14ac:dyDescent="0.2">
      <c r="F99" s="104"/>
      <c r="G99" s="104"/>
    </row>
    <row r="100" spans="1:13" x14ac:dyDescent="0.2">
      <c r="F100" s="105"/>
      <c r="G100" s="105"/>
    </row>
    <row r="102" spans="1:13" x14ac:dyDescent="0.2">
      <c r="F102" s="105"/>
      <c r="G102" s="105"/>
    </row>
  </sheetData>
  <mergeCells count="42">
    <mergeCell ref="N79:O79"/>
    <mergeCell ref="A80:D80"/>
    <mergeCell ref="A81:E81"/>
    <mergeCell ref="J81:K81"/>
    <mergeCell ref="L79:M79"/>
    <mergeCell ref="L81:M81"/>
    <mergeCell ref="A68:D68"/>
    <mergeCell ref="A69:D69"/>
    <mergeCell ref="A72:K72"/>
    <mergeCell ref="A71:K71"/>
    <mergeCell ref="F65:G65"/>
    <mergeCell ref="A65:E65"/>
    <mergeCell ref="A66:D66"/>
    <mergeCell ref="A67:D67"/>
    <mergeCell ref="A82:E82"/>
    <mergeCell ref="A70:E70"/>
    <mergeCell ref="F81:G81"/>
    <mergeCell ref="F70:G70"/>
    <mergeCell ref="F79:G79"/>
    <mergeCell ref="F82:G82"/>
    <mergeCell ref="A79:E79"/>
    <mergeCell ref="A1:M2"/>
    <mergeCell ref="F3:G3"/>
    <mergeCell ref="H3:I3"/>
    <mergeCell ref="L3:M3"/>
    <mergeCell ref="J3:K3"/>
    <mergeCell ref="A3:A4"/>
    <mergeCell ref="C3:C4"/>
    <mergeCell ref="D3:D4"/>
    <mergeCell ref="E3:E4"/>
    <mergeCell ref="L82:M82"/>
    <mergeCell ref="L65:M65"/>
    <mergeCell ref="L70:M70"/>
    <mergeCell ref="H81:I81"/>
    <mergeCell ref="H82:I82"/>
    <mergeCell ref="H70:I70"/>
    <mergeCell ref="H79:I79"/>
    <mergeCell ref="H65:I65"/>
    <mergeCell ref="J65:K65"/>
    <mergeCell ref="J70:K70"/>
    <mergeCell ref="J79:K79"/>
    <mergeCell ref="J82:K82"/>
  </mergeCells>
  <phoneticPr fontId="17" type="noConversion"/>
  <pageMargins left="0.7" right="0.7" top="0.75" bottom="0.75" header="0.3" footer="0.3"/>
  <pageSetup scale="2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F25F54-140C-4760-ABD5-11107AD5CB18}">
  <dimension ref="A1:P114"/>
  <sheetViews>
    <sheetView view="pageBreakPreview" topLeftCell="B1" zoomScale="80" zoomScaleNormal="100" zoomScaleSheetLayoutView="80" workbookViewId="0">
      <pane ySplit="4" topLeftCell="A89" activePane="bottomLeft" state="frozen"/>
      <selection pane="bottomLeft" activeCell="N100" sqref="N100"/>
    </sheetView>
  </sheetViews>
  <sheetFormatPr baseColWidth="10" defaultColWidth="11.44140625" defaultRowHeight="12" x14ac:dyDescent="0.2"/>
  <cols>
    <col min="1" max="1" width="10.6640625" style="100" customWidth="1"/>
    <col min="2" max="2" width="47.33203125" style="101" customWidth="1"/>
    <col min="3" max="3" width="11.88671875" style="102" customWidth="1"/>
    <col min="4" max="4" width="12.88671875" style="103" customWidth="1"/>
    <col min="5" max="6" width="17.88671875" style="89" customWidth="1"/>
    <col min="7" max="7" width="18" style="89" customWidth="1"/>
    <col min="8" max="8" width="20.33203125" style="89" bestFit="1" customWidth="1"/>
    <col min="9" max="10" width="20.33203125" style="89" customWidth="1"/>
    <col min="11" max="11" width="21.109375" style="89" customWidth="1"/>
    <col min="12" max="12" width="17.88671875" style="89" customWidth="1"/>
    <col min="13" max="14" width="19" style="85" customWidth="1"/>
    <col min="15" max="15" width="16.5546875" style="110" bestFit="1" customWidth="1"/>
    <col min="16" max="16" width="16.33203125" style="74" bestFit="1" customWidth="1"/>
    <col min="17" max="16384" width="11.44140625" style="74"/>
  </cols>
  <sheetData>
    <row r="1" spans="1:16" ht="12" customHeight="1" x14ac:dyDescent="0.3">
      <c r="A1" s="300" t="s">
        <v>107</v>
      </c>
      <c r="B1" s="300"/>
      <c r="C1" s="300"/>
      <c r="D1" s="300"/>
      <c r="E1" s="300"/>
      <c r="F1" s="300"/>
      <c r="G1" s="300"/>
      <c r="H1" s="300"/>
      <c r="I1" s="300"/>
      <c r="J1" s="300"/>
      <c r="K1" s="300"/>
      <c r="L1" s="300"/>
      <c r="M1" s="73"/>
      <c r="N1" s="73"/>
    </row>
    <row r="2" spans="1:16" ht="12" customHeight="1" thickBot="1" x14ac:dyDescent="0.35">
      <c r="A2" s="300"/>
      <c r="B2" s="300"/>
      <c r="C2" s="300"/>
      <c r="D2" s="300"/>
      <c r="E2" s="301"/>
      <c r="F2" s="301"/>
      <c r="G2" s="301"/>
      <c r="H2" s="301"/>
      <c r="I2" s="301"/>
      <c r="J2" s="301"/>
      <c r="K2" s="300"/>
      <c r="L2" s="300"/>
      <c r="M2" s="73"/>
      <c r="N2" s="73"/>
    </row>
    <row r="3" spans="1:16" s="75" customFormat="1" ht="18.600000000000001" customHeight="1" x14ac:dyDescent="0.3">
      <c r="A3" s="309" t="s">
        <v>2</v>
      </c>
      <c r="B3" s="309" t="s">
        <v>108</v>
      </c>
      <c r="C3" s="309" t="s">
        <v>109</v>
      </c>
      <c r="D3" s="310" t="s">
        <v>5</v>
      </c>
      <c r="E3" s="302" t="s">
        <v>110</v>
      </c>
      <c r="F3" s="308"/>
      <c r="G3" s="303" t="s">
        <v>111</v>
      </c>
      <c r="H3" s="308"/>
      <c r="I3" s="302" t="s">
        <v>232</v>
      </c>
      <c r="J3" s="308"/>
      <c r="K3" s="306" t="s">
        <v>8</v>
      </c>
      <c r="L3" s="307"/>
      <c r="M3" s="73"/>
      <c r="N3" s="73"/>
      <c r="O3" s="111"/>
    </row>
    <row r="4" spans="1:16" s="76" customFormat="1" ht="40.950000000000003" customHeight="1" x14ac:dyDescent="0.3">
      <c r="A4" s="309"/>
      <c r="B4" s="309"/>
      <c r="C4" s="309"/>
      <c r="D4" s="310"/>
      <c r="E4" s="128" t="s">
        <v>6</v>
      </c>
      <c r="F4" s="129" t="s">
        <v>7</v>
      </c>
      <c r="G4" s="122" t="s">
        <v>6</v>
      </c>
      <c r="H4" s="129" t="s">
        <v>7</v>
      </c>
      <c r="I4" s="128" t="s">
        <v>6</v>
      </c>
      <c r="J4" s="129" t="s">
        <v>7</v>
      </c>
      <c r="K4" s="122" t="s">
        <v>113</v>
      </c>
      <c r="L4" s="70" t="s">
        <v>114</v>
      </c>
      <c r="M4" s="73"/>
      <c r="N4" s="73"/>
      <c r="O4" s="112"/>
    </row>
    <row r="5" spans="1:16" s="79" customFormat="1" x14ac:dyDescent="0.3">
      <c r="A5" s="203">
        <v>1</v>
      </c>
      <c r="B5" s="182" t="s">
        <v>115</v>
      </c>
      <c r="C5" s="183"/>
      <c r="D5" s="222"/>
      <c r="E5" s="130"/>
      <c r="F5" s="264">
        <f>F6+F11+F17+F26+F29+F46+F50</f>
        <v>318559050</v>
      </c>
      <c r="G5" s="124"/>
      <c r="H5" s="264">
        <f>H6+H11+H17+H26+H29+H46+H50</f>
        <v>334202580</v>
      </c>
      <c r="I5" s="130"/>
      <c r="J5" s="264">
        <f>J6+J11+J17+J26+J29+J46+J50</f>
        <v>326118780</v>
      </c>
      <c r="K5" s="124"/>
      <c r="L5" s="77"/>
      <c r="M5" s="78"/>
      <c r="N5" s="78"/>
      <c r="O5" s="113"/>
    </row>
    <row r="6" spans="1:16" s="79" customFormat="1" ht="12.6" thickBot="1" x14ac:dyDescent="0.35">
      <c r="A6" s="204" t="s">
        <v>11</v>
      </c>
      <c r="B6" s="205" t="s">
        <v>233</v>
      </c>
      <c r="C6" s="206"/>
      <c r="D6" s="223"/>
      <c r="E6" s="230"/>
      <c r="F6" s="270">
        <f>SUM(F7:F10)</f>
        <v>34368000</v>
      </c>
      <c r="G6" s="255"/>
      <c r="H6" s="270">
        <f>SUM(H7:H10)</f>
        <v>36096000</v>
      </c>
      <c r="I6" s="206"/>
      <c r="J6" s="270">
        <f>SUM(J7:J10)</f>
        <v>35152000</v>
      </c>
      <c r="K6" s="206"/>
      <c r="L6" s="206"/>
      <c r="M6" s="78"/>
      <c r="N6" s="78"/>
      <c r="O6" s="113"/>
    </row>
    <row r="7" spans="1:16" ht="79.8" x14ac:dyDescent="0.3">
      <c r="A7" s="147" t="s">
        <v>117</v>
      </c>
      <c r="B7" s="144" t="s">
        <v>234</v>
      </c>
      <c r="C7" s="139" t="s">
        <v>16</v>
      </c>
      <c r="D7" s="152">
        <v>320</v>
      </c>
      <c r="E7" s="134">
        <v>72000</v>
      </c>
      <c r="F7" s="246">
        <f t="shared" ref="F7:J28" si="0">ROUND($D7*E7,2)</f>
        <v>23040000</v>
      </c>
      <c r="G7" s="261">
        <v>76000</v>
      </c>
      <c r="H7" s="256">
        <f t="shared" si="0"/>
        <v>24320000</v>
      </c>
      <c r="I7" s="125">
        <v>74000</v>
      </c>
      <c r="J7" s="135">
        <f t="shared" si="0"/>
        <v>23680000</v>
      </c>
      <c r="K7" s="125">
        <f>ROUND(AVERAGE(G7,E7,I7),2)</f>
        <v>74000</v>
      </c>
      <c r="L7" s="108">
        <f t="shared" ref="L7:L10" si="1">$D7*K7</f>
        <v>23680000</v>
      </c>
      <c r="M7" s="71">
        <f>+K7*(1+$K$79+$K$80+$K$81)+K7*$K$82*$K$81</f>
        <v>101024.8</v>
      </c>
      <c r="N7" s="71">
        <f t="shared" ref="N7:N77" si="2">ROUND(M7*D7,4)</f>
        <v>32327936</v>
      </c>
      <c r="P7" s="120">
        <f>+N7-O7</f>
        <v>32327936</v>
      </c>
    </row>
    <row r="8" spans="1:16" s="83" customFormat="1" ht="45.6" x14ac:dyDescent="0.2">
      <c r="A8" s="147" t="s">
        <v>120</v>
      </c>
      <c r="B8" s="144" t="s">
        <v>24</v>
      </c>
      <c r="C8" s="139" t="s">
        <v>25</v>
      </c>
      <c r="D8" s="152">
        <v>32</v>
      </c>
      <c r="E8" s="134">
        <v>79000</v>
      </c>
      <c r="F8" s="246">
        <f t="shared" si="0"/>
        <v>2528000</v>
      </c>
      <c r="G8" s="262">
        <v>83000</v>
      </c>
      <c r="H8" s="135">
        <f t="shared" si="0"/>
        <v>2656000</v>
      </c>
      <c r="I8" s="125">
        <v>81000</v>
      </c>
      <c r="J8" s="135">
        <f t="shared" si="0"/>
        <v>2592000</v>
      </c>
      <c r="K8" s="125">
        <f t="shared" ref="K8:K28" si="3">ROUND(AVERAGE(G8,E8,I8),2)</f>
        <v>81000</v>
      </c>
      <c r="L8" s="108">
        <f t="shared" si="1"/>
        <v>2592000</v>
      </c>
      <c r="M8" s="71">
        <f>+K8*(1+$K$79+$K$80+$K$81)+K8*$K$82*$K$81</f>
        <v>110581.2</v>
      </c>
      <c r="N8" s="121">
        <f t="shared" si="2"/>
        <v>3538598.4</v>
      </c>
      <c r="O8" s="115"/>
      <c r="P8" s="120">
        <f t="shared" ref="P8:P83" si="4">+N8-O8</f>
        <v>3538598.4</v>
      </c>
    </row>
    <row r="9" spans="1:16" s="83" customFormat="1" ht="57" x14ac:dyDescent="0.2">
      <c r="A9" s="147" t="s">
        <v>122</v>
      </c>
      <c r="B9" s="144" t="s">
        <v>235</v>
      </c>
      <c r="C9" s="139" t="s">
        <v>25</v>
      </c>
      <c r="D9" s="152">
        <v>40</v>
      </c>
      <c r="E9" s="134">
        <v>55000</v>
      </c>
      <c r="F9" s="246">
        <f t="shared" si="0"/>
        <v>2200000</v>
      </c>
      <c r="G9" s="262">
        <v>58000</v>
      </c>
      <c r="H9" s="135">
        <f t="shared" si="0"/>
        <v>2320000</v>
      </c>
      <c r="I9" s="125">
        <v>57000</v>
      </c>
      <c r="J9" s="135">
        <f t="shared" si="0"/>
        <v>2280000</v>
      </c>
      <c r="K9" s="125">
        <f t="shared" si="3"/>
        <v>56666.67</v>
      </c>
      <c r="L9" s="108">
        <f t="shared" si="1"/>
        <v>2266666.7999999998</v>
      </c>
      <c r="M9" s="71">
        <f>+K9*(1+$K$79+$K$80+$K$81)+K9*$K$82*$K$81</f>
        <v>77361.337883999993</v>
      </c>
      <c r="N9" s="71">
        <f t="shared" si="2"/>
        <v>3094453.5153999999</v>
      </c>
      <c r="O9" s="115"/>
      <c r="P9" s="120">
        <f t="shared" si="4"/>
        <v>3094453.5153999999</v>
      </c>
    </row>
    <row r="10" spans="1:16" s="83" customFormat="1" ht="45.6" x14ac:dyDescent="0.2">
      <c r="A10" s="147" t="s">
        <v>124</v>
      </c>
      <c r="B10" s="144" t="s">
        <v>236</v>
      </c>
      <c r="C10" s="139" t="s">
        <v>25</v>
      </c>
      <c r="D10" s="152">
        <v>200</v>
      </c>
      <c r="E10" s="134">
        <v>33000</v>
      </c>
      <c r="F10" s="246">
        <f t="shared" si="0"/>
        <v>6600000</v>
      </c>
      <c r="G10" s="262">
        <v>34000</v>
      </c>
      <c r="H10" s="135">
        <f t="shared" si="0"/>
        <v>6800000</v>
      </c>
      <c r="I10" s="125">
        <v>33000</v>
      </c>
      <c r="J10" s="135">
        <f t="shared" si="0"/>
        <v>6600000</v>
      </c>
      <c r="K10" s="125">
        <f t="shared" si="3"/>
        <v>33333.33</v>
      </c>
      <c r="L10" s="108">
        <f t="shared" si="1"/>
        <v>6666666</v>
      </c>
      <c r="M10" s="71">
        <f>+K10*(1+$K$79+$K$80+$K$81)+K10*$K$82*$K$81</f>
        <v>45506.662116000007</v>
      </c>
      <c r="N10" s="71">
        <f t="shared" si="2"/>
        <v>9101332.4232000001</v>
      </c>
      <c r="O10" s="115"/>
      <c r="P10" s="120">
        <f t="shared" si="4"/>
        <v>9101332.4232000001</v>
      </c>
    </row>
    <row r="11" spans="1:16" s="81" customFormat="1" x14ac:dyDescent="0.3">
      <c r="A11" s="208" t="s">
        <v>14</v>
      </c>
      <c r="B11" s="205" t="s">
        <v>132</v>
      </c>
      <c r="C11" s="206"/>
      <c r="D11" s="223"/>
      <c r="E11" s="230"/>
      <c r="F11" s="269">
        <f>SUM(F12:F16)</f>
        <v>126150000</v>
      </c>
      <c r="G11" s="230"/>
      <c r="H11" s="269">
        <f>SUM(H12:H16)</f>
        <v>132310000</v>
      </c>
      <c r="I11" s="227"/>
      <c r="J11" s="269">
        <f>SUM(J12:J16)</f>
        <v>129390000</v>
      </c>
      <c r="K11" s="206"/>
      <c r="L11" s="206"/>
      <c r="M11" s="71"/>
      <c r="N11" s="71"/>
      <c r="O11" s="114"/>
      <c r="P11" s="120">
        <f t="shared" si="4"/>
        <v>0</v>
      </c>
    </row>
    <row r="12" spans="1:16" ht="129.6" customHeight="1" x14ac:dyDescent="0.3">
      <c r="A12" s="147" t="s">
        <v>133</v>
      </c>
      <c r="B12" s="138" t="s">
        <v>237</v>
      </c>
      <c r="C12" s="139" t="s">
        <v>16</v>
      </c>
      <c r="D12" s="152">
        <v>320</v>
      </c>
      <c r="E12" s="134">
        <v>55000</v>
      </c>
      <c r="F12" s="246">
        <f t="shared" si="0"/>
        <v>17600000</v>
      </c>
      <c r="G12" s="252">
        <v>58000</v>
      </c>
      <c r="H12" s="135">
        <f t="shared" si="0"/>
        <v>18560000</v>
      </c>
      <c r="I12" s="125">
        <v>57000</v>
      </c>
      <c r="J12" s="135">
        <f t="shared" si="0"/>
        <v>18240000</v>
      </c>
      <c r="K12" s="125">
        <f t="shared" si="3"/>
        <v>56666.67</v>
      </c>
      <c r="L12" s="108">
        <f t="shared" ref="L12:L15" si="5">$D12*K12</f>
        <v>18133334.399999999</v>
      </c>
      <c r="M12" s="71">
        <f>+K12*(1+$K$79+$K$80+$K$81)+K12*$K$82*$K$81</f>
        <v>77361.337883999993</v>
      </c>
      <c r="N12" s="71">
        <f t="shared" si="2"/>
        <v>24755628.122900002</v>
      </c>
      <c r="P12" s="120">
        <f t="shared" si="4"/>
        <v>24755628.122900002</v>
      </c>
    </row>
    <row r="13" spans="1:16" ht="79.8" x14ac:dyDescent="0.3">
      <c r="A13" s="147" t="s">
        <v>135</v>
      </c>
      <c r="B13" s="138" t="s">
        <v>238</v>
      </c>
      <c r="C13" s="139" t="s">
        <v>16</v>
      </c>
      <c r="D13" s="152">
        <v>650</v>
      </c>
      <c r="E13" s="134">
        <v>20000</v>
      </c>
      <c r="F13" s="246">
        <f t="shared" si="0"/>
        <v>13000000</v>
      </c>
      <c r="G13" s="252">
        <v>21000</v>
      </c>
      <c r="H13" s="135">
        <f t="shared" si="0"/>
        <v>13650000</v>
      </c>
      <c r="I13" s="125">
        <v>20000</v>
      </c>
      <c r="J13" s="135">
        <f t="shared" si="0"/>
        <v>13000000</v>
      </c>
      <c r="K13" s="125">
        <f t="shared" si="3"/>
        <v>20333.330000000002</v>
      </c>
      <c r="L13" s="108">
        <f t="shared" si="5"/>
        <v>13216664.500000002</v>
      </c>
      <c r="M13" s="71">
        <f>+K13*(1+$K$79+$K$80+$K$81)+K13*$K$82*$K$81</f>
        <v>27759.062116000005</v>
      </c>
      <c r="N13" s="71">
        <f t="shared" si="2"/>
        <v>18043390.375399999</v>
      </c>
      <c r="P13" s="120">
        <f t="shared" si="4"/>
        <v>18043390.375399999</v>
      </c>
    </row>
    <row r="14" spans="1:16" ht="93.6" customHeight="1" x14ac:dyDescent="0.3">
      <c r="A14" s="147" t="s">
        <v>137</v>
      </c>
      <c r="B14" s="138" t="s">
        <v>239</v>
      </c>
      <c r="C14" s="139" t="s">
        <v>16</v>
      </c>
      <c r="D14" s="152">
        <v>650</v>
      </c>
      <c r="E14" s="134">
        <v>27000</v>
      </c>
      <c r="F14" s="246">
        <f t="shared" si="0"/>
        <v>17550000</v>
      </c>
      <c r="G14" s="252">
        <v>28000</v>
      </c>
      <c r="H14" s="135">
        <f t="shared" si="0"/>
        <v>18200000</v>
      </c>
      <c r="I14" s="125">
        <v>28000</v>
      </c>
      <c r="J14" s="135">
        <f t="shared" si="0"/>
        <v>18200000</v>
      </c>
      <c r="K14" s="125">
        <f t="shared" si="3"/>
        <v>27666.67</v>
      </c>
      <c r="L14" s="108">
        <f t="shared" si="5"/>
        <v>17983335.5</v>
      </c>
      <c r="M14" s="71">
        <f>+K14*(1+$K$79+$K$80+$K$81)+K14*$K$82*$K$81</f>
        <v>37770.537884000005</v>
      </c>
      <c r="N14" s="71">
        <f t="shared" si="2"/>
        <v>24550849.624600001</v>
      </c>
      <c r="P14" s="120">
        <f t="shared" si="4"/>
        <v>24550849.624600001</v>
      </c>
    </row>
    <row r="15" spans="1:16" ht="127.2" customHeight="1" x14ac:dyDescent="0.3">
      <c r="A15" s="147" t="s">
        <v>140</v>
      </c>
      <c r="B15" s="138" t="s">
        <v>240</v>
      </c>
      <c r="C15" s="139" t="s">
        <v>16</v>
      </c>
      <c r="D15" s="152">
        <v>650</v>
      </c>
      <c r="E15" s="134">
        <v>83000</v>
      </c>
      <c r="F15" s="246">
        <f t="shared" si="0"/>
        <v>53950000</v>
      </c>
      <c r="G15" s="252">
        <v>87000</v>
      </c>
      <c r="H15" s="135">
        <f t="shared" si="0"/>
        <v>56550000</v>
      </c>
      <c r="I15" s="125">
        <v>85000</v>
      </c>
      <c r="J15" s="135">
        <f t="shared" si="0"/>
        <v>55250000</v>
      </c>
      <c r="K15" s="125">
        <f t="shared" si="3"/>
        <v>85000</v>
      </c>
      <c r="L15" s="108">
        <f t="shared" si="5"/>
        <v>55250000</v>
      </c>
      <c r="M15" s="71">
        <f>+K15*(1+$K$79+$K$80+$K$81)+K15*$K$82*$K$81</f>
        <v>116042.00000000001</v>
      </c>
      <c r="N15" s="71">
        <f t="shared" si="2"/>
        <v>75427300</v>
      </c>
      <c r="P15" s="120">
        <f t="shared" si="4"/>
        <v>75427300</v>
      </c>
    </row>
    <row r="16" spans="1:16" ht="68.400000000000006" x14ac:dyDescent="0.3">
      <c r="A16" s="147" t="s">
        <v>142</v>
      </c>
      <c r="B16" s="138" t="s">
        <v>241</v>
      </c>
      <c r="C16" s="139" t="s">
        <v>16</v>
      </c>
      <c r="D16" s="152">
        <v>650</v>
      </c>
      <c r="E16" s="134">
        <v>37000</v>
      </c>
      <c r="F16" s="246">
        <f t="shared" si="0"/>
        <v>24050000</v>
      </c>
      <c r="G16" s="252">
        <v>39000</v>
      </c>
      <c r="H16" s="135">
        <f t="shared" si="0"/>
        <v>25350000</v>
      </c>
      <c r="I16" s="125">
        <v>38000</v>
      </c>
      <c r="J16" s="135">
        <f t="shared" si="0"/>
        <v>24700000</v>
      </c>
      <c r="K16" s="125">
        <f t="shared" si="3"/>
        <v>38000</v>
      </c>
      <c r="L16" s="108">
        <f t="shared" ref="L16" si="6">$D16*K16</f>
        <v>24700000</v>
      </c>
      <c r="M16" s="71">
        <f>+K16*(1+$K$79+$K$80+$K$81)+K16*$K$82*$K$81</f>
        <v>51877.599999999999</v>
      </c>
      <c r="N16" s="71">
        <f t="shared" si="2"/>
        <v>33720440</v>
      </c>
      <c r="P16" s="120">
        <f t="shared" si="4"/>
        <v>33720440</v>
      </c>
    </row>
    <row r="17" spans="1:16" x14ac:dyDescent="0.3">
      <c r="A17" s="208" t="s">
        <v>17</v>
      </c>
      <c r="B17" s="205" t="s">
        <v>242</v>
      </c>
      <c r="C17" s="206"/>
      <c r="D17" s="223"/>
      <c r="E17" s="230"/>
      <c r="F17" s="269">
        <f>SUM(F18:F25)</f>
        <v>4144000</v>
      </c>
      <c r="G17" s="230"/>
      <c r="H17" s="269">
        <f>SUM(H18:H25)</f>
        <v>4353000</v>
      </c>
      <c r="I17" s="227"/>
      <c r="J17" s="269">
        <f>SUM(J18:J25)</f>
        <v>4243000</v>
      </c>
      <c r="K17" s="206"/>
      <c r="L17" s="206"/>
      <c r="M17" s="71"/>
      <c r="N17" s="71"/>
      <c r="P17" s="120">
        <f t="shared" si="4"/>
        <v>0</v>
      </c>
    </row>
    <row r="18" spans="1:16" ht="40.200000000000003" customHeight="1" x14ac:dyDescent="0.3">
      <c r="A18" s="82" t="s">
        <v>144</v>
      </c>
      <c r="B18" s="138" t="s">
        <v>243</v>
      </c>
      <c r="C18" s="139" t="s">
        <v>32</v>
      </c>
      <c r="D18" s="152">
        <v>5</v>
      </c>
      <c r="E18" s="134">
        <v>134000</v>
      </c>
      <c r="F18" s="246">
        <f t="shared" si="0"/>
        <v>670000</v>
      </c>
      <c r="G18" s="252">
        <v>141000</v>
      </c>
      <c r="H18" s="135">
        <f t="shared" si="0"/>
        <v>705000</v>
      </c>
      <c r="I18" s="125">
        <v>137000</v>
      </c>
      <c r="J18" s="135">
        <f t="shared" si="0"/>
        <v>685000</v>
      </c>
      <c r="K18" s="125">
        <f t="shared" si="3"/>
        <v>137333.32999999999</v>
      </c>
      <c r="L18" s="108">
        <f t="shared" ref="L18:L21" si="7">$D18*K18</f>
        <v>686666.64999999991</v>
      </c>
      <c r="M18" s="71">
        <f t="shared" ref="M18:M25" si="8">+K18*(1+$K$79+$K$80+$K$81)+K18*$K$82*$K$81</f>
        <v>187487.46211599998</v>
      </c>
      <c r="N18" s="71">
        <f t="shared" si="2"/>
        <v>937437.31059999997</v>
      </c>
      <c r="P18" s="120">
        <f t="shared" si="4"/>
        <v>937437.31059999997</v>
      </c>
    </row>
    <row r="19" spans="1:16" ht="22.8" x14ac:dyDescent="0.3">
      <c r="A19" s="82" t="s">
        <v>147</v>
      </c>
      <c r="B19" s="138" t="s">
        <v>244</v>
      </c>
      <c r="C19" s="139" t="s">
        <v>32</v>
      </c>
      <c r="D19" s="152">
        <v>5</v>
      </c>
      <c r="E19" s="134">
        <v>55000</v>
      </c>
      <c r="F19" s="246">
        <f t="shared" si="0"/>
        <v>275000</v>
      </c>
      <c r="G19" s="252">
        <v>58000</v>
      </c>
      <c r="H19" s="135">
        <f t="shared" si="0"/>
        <v>290000</v>
      </c>
      <c r="I19" s="125">
        <v>57000</v>
      </c>
      <c r="J19" s="135">
        <f t="shared" si="0"/>
        <v>285000</v>
      </c>
      <c r="K19" s="125">
        <f t="shared" si="3"/>
        <v>56666.67</v>
      </c>
      <c r="L19" s="108">
        <f t="shared" si="7"/>
        <v>283333.34999999998</v>
      </c>
      <c r="M19" s="71">
        <f t="shared" si="8"/>
        <v>77361.337883999993</v>
      </c>
      <c r="N19" s="71">
        <f t="shared" si="2"/>
        <v>386806.68939999997</v>
      </c>
      <c r="P19" s="120">
        <f t="shared" si="4"/>
        <v>386806.68939999997</v>
      </c>
    </row>
    <row r="20" spans="1:16" ht="34.200000000000003" x14ac:dyDescent="0.3">
      <c r="A20" s="82" t="s">
        <v>245</v>
      </c>
      <c r="B20" s="138" t="s">
        <v>246</v>
      </c>
      <c r="C20" s="139" t="s">
        <v>32</v>
      </c>
      <c r="D20" s="152">
        <v>5</v>
      </c>
      <c r="E20" s="134">
        <v>170000</v>
      </c>
      <c r="F20" s="246">
        <f t="shared" si="0"/>
        <v>850000</v>
      </c>
      <c r="G20" s="252">
        <v>179000</v>
      </c>
      <c r="H20" s="135">
        <f t="shared" si="0"/>
        <v>895000</v>
      </c>
      <c r="I20" s="125">
        <v>174000</v>
      </c>
      <c r="J20" s="135">
        <f t="shared" si="0"/>
        <v>870000</v>
      </c>
      <c r="K20" s="125">
        <f t="shared" si="3"/>
        <v>174333.33</v>
      </c>
      <c r="L20" s="108">
        <f t="shared" si="7"/>
        <v>871666.64999999991</v>
      </c>
      <c r="M20" s="71">
        <f t="shared" si="8"/>
        <v>237999.862116</v>
      </c>
      <c r="N20" s="71">
        <f t="shared" si="2"/>
        <v>1189999.3106</v>
      </c>
      <c r="P20" s="120">
        <f t="shared" si="4"/>
        <v>1189999.3106</v>
      </c>
    </row>
    <row r="21" spans="1:16" ht="45.6" x14ac:dyDescent="0.3">
      <c r="A21" s="82" t="s">
        <v>247</v>
      </c>
      <c r="B21" s="145" t="s">
        <v>248</v>
      </c>
      <c r="C21" s="146" t="s">
        <v>32</v>
      </c>
      <c r="D21" s="224">
        <v>6</v>
      </c>
      <c r="E21" s="134">
        <v>145000</v>
      </c>
      <c r="F21" s="246">
        <f t="shared" si="0"/>
        <v>870000</v>
      </c>
      <c r="G21" s="252">
        <v>152000</v>
      </c>
      <c r="H21" s="135">
        <f t="shared" si="0"/>
        <v>912000</v>
      </c>
      <c r="I21" s="125">
        <v>148000</v>
      </c>
      <c r="J21" s="135">
        <f t="shared" si="0"/>
        <v>888000</v>
      </c>
      <c r="K21" s="125">
        <f t="shared" si="3"/>
        <v>148333.32999999999</v>
      </c>
      <c r="L21" s="108">
        <f t="shared" si="7"/>
        <v>889999.98</v>
      </c>
      <c r="M21" s="71">
        <f t="shared" si="8"/>
        <v>202504.66211599999</v>
      </c>
      <c r="N21" s="71">
        <f t="shared" si="2"/>
        <v>1215027.9727</v>
      </c>
      <c r="P21" s="120">
        <f t="shared" si="4"/>
        <v>1215027.9727</v>
      </c>
    </row>
    <row r="22" spans="1:16" ht="31.95" customHeight="1" x14ac:dyDescent="0.3">
      <c r="A22" s="82" t="s">
        <v>249</v>
      </c>
      <c r="B22" s="145" t="s">
        <v>250</v>
      </c>
      <c r="C22" s="146" t="s">
        <v>32</v>
      </c>
      <c r="D22" s="224">
        <v>3</v>
      </c>
      <c r="E22" s="134">
        <v>27000</v>
      </c>
      <c r="F22" s="246">
        <f t="shared" si="0"/>
        <v>81000</v>
      </c>
      <c r="G22" s="252">
        <v>28000</v>
      </c>
      <c r="H22" s="135">
        <f t="shared" si="0"/>
        <v>84000</v>
      </c>
      <c r="I22" s="125">
        <v>28000</v>
      </c>
      <c r="J22" s="135">
        <f t="shared" si="0"/>
        <v>84000</v>
      </c>
      <c r="K22" s="125">
        <f t="shared" si="3"/>
        <v>27666.67</v>
      </c>
      <c r="L22" s="108">
        <f>$D22*K22</f>
        <v>83000.009999999995</v>
      </c>
      <c r="M22" s="71">
        <f t="shared" si="8"/>
        <v>37770.537884000005</v>
      </c>
      <c r="N22" s="71">
        <f t="shared" si="2"/>
        <v>113311.6137</v>
      </c>
      <c r="P22" s="120">
        <f t="shared" si="4"/>
        <v>113311.6137</v>
      </c>
    </row>
    <row r="23" spans="1:16" ht="45.6" x14ac:dyDescent="0.3">
      <c r="A23" s="82" t="s">
        <v>251</v>
      </c>
      <c r="B23" s="145" t="s">
        <v>252</v>
      </c>
      <c r="C23" s="146" t="s">
        <v>32</v>
      </c>
      <c r="D23" s="224">
        <f>+D22</f>
        <v>3</v>
      </c>
      <c r="E23" s="134">
        <v>187000</v>
      </c>
      <c r="F23" s="246">
        <f t="shared" si="0"/>
        <v>561000</v>
      </c>
      <c r="G23" s="252">
        <v>197000</v>
      </c>
      <c r="H23" s="135">
        <f t="shared" si="0"/>
        <v>591000</v>
      </c>
      <c r="I23" s="125">
        <v>192000</v>
      </c>
      <c r="J23" s="135">
        <f t="shared" si="0"/>
        <v>576000</v>
      </c>
      <c r="K23" s="125">
        <f t="shared" si="3"/>
        <v>192000</v>
      </c>
      <c r="L23" s="108">
        <f t="shared" ref="L23:L25" si="9">$D23*K23</f>
        <v>576000</v>
      </c>
      <c r="M23" s="71">
        <f t="shared" si="8"/>
        <v>262118.40000000002</v>
      </c>
      <c r="N23" s="71">
        <f t="shared" si="2"/>
        <v>786355.19999999995</v>
      </c>
      <c r="P23" s="120"/>
    </row>
    <row r="24" spans="1:16" ht="21" customHeight="1" x14ac:dyDescent="0.3">
      <c r="A24" s="82" t="s">
        <v>253</v>
      </c>
      <c r="B24" s="145" t="s">
        <v>254</v>
      </c>
      <c r="C24" s="146" t="s">
        <v>32</v>
      </c>
      <c r="D24" s="224">
        <v>3</v>
      </c>
      <c r="E24" s="134">
        <v>33000</v>
      </c>
      <c r="F24" s="246">
        <f t="shared" si="0"/>
        <v>99000</v>
      </c>
      <c r="G24" s="252">
        <v>34000</v>
      </c>
      <c r="H24" s="135">
        <f t="shared" si="0"/>
        <v>102000</v>
      </c>
      <c r="I24" s="125">
        <v>33000</v>
      </c>
      <c r="J24" s="135">
        <f t="shared" si="0"/>
        <v>99000</v>
      </c>
      <c r="K24" s="125">
        <f t="shared" si="3"/>
        <v>33333.33</v>
      </c>
      <c r="L24" s="108">
        <f t="shared" si="9"/>
        <v>99999.99</v>
      </c>
      <c r="M24" s="71">
        <f t="shared" si="8"/>
        <v>45506.662116000007</v>
      </c>
      <c r="N24" s="71">
        <f t="shared" si="2"/>
        <v>136519.98629999999</v>
      </c>
      <c r="P24" s="120"/>
    </row>
    <row r="25" spans="1:16" ht="22.8" x14ac:dyDescent="0.3">
      <c r="A25" s="82" t="s">
        <v>255</v>
      </c>
      <c r="B25" s="145" t="s">
        <v>256</v>
      </c>
      <c r="C25" s="146" t="s">
        <v>32</v>
      </c>
      <c r="D25" s="224">
        <f>+D24</f>
        <v>3</v>
      </c>
      <c r="E25" s="134">
        <v>246000</v>
      </c>
      <c r="F25" s="246">
        <f t="shared" si="0"/>
        <v>738000</v>
      </c>
      <c r="G25" s="252">
        <v>258000</v>
      </c>
      <c r="H25" s="135">
        <f t="shared" si="0"/>
        <v>774000</v>
      </c>
      <c r="I25" s="125">
        <v>252000</v>
      </c>
      <c r="J25" s="135">
        <f t="shared" si="0"/>
        <v>756000</v>
      </c>
      <c r="K25" s="125">
        <f t="shared" si="3"/>
        <v>252000</v>
      </c>
      <c r="L25" s="108">
        <f t="shared" si="9"/>
        <v>756000</v>
      </c>
      <c r="M25" s="71">
        <f t="shared" si="8"/>
        <v>344030.4</v>
      </c>
      <c r="N25" s="71">
        <f t="shared" si="2"/>
        <v>1032091.2</v>
      </c>
      <c r="P25" s="120"/>
    </row>
    <row r="26" spans="1:16" s="81" customFormat="1" x14ac:dyDescent="0.3">
      <c r="A26" s="208" t="s">
        <v>19</v>
      </c>
      <c r="B26" s="205" t="s">
        <v>51</v>
      </c>
      <c r="C26" s="206"/>
      <c r="D26" s="223"/>
      <c r="E26" s="230"/>
      <c r="F26" s="269">
        <f>SUM(F27:F28)</f>
        <v>25250400</v>
      </c>
      <c r="G26" s="230"/>
      <c r="H26" s="269">
        <f>SUM(H27:H28)</f>
        <v>26302500</v>
      </c>
      <c r="I26" s="227"/>
      <c r="J26" s="269">
        <f>SUM(J27:J28)</f>
        <v>25601100</v>
      </c>
      <c r="K26" s="206"/>
      <c r="L26" s="206"/>
      <c r="M26" s="71"/>
      <c r="N26" s="71"/>
      <c r="O26" s="114"/>
      <c r="P26" s="120">
        <f t="shared" si="4"/>
        <v>0</v>
      </c>
    </row>
    <row r="27" spans="1:16" ht="22.95" customHeight="1" x14ac:dyDescent="0.3">
      <c r="A27" s="147" t="s">
        <v>150</v>
      </c>
      <c r="B27" s="138" t="s">
        <v>146</v>
      </c>
      <c r="C27" s="139" t="s">
        <v>16</v>
      </c>
      <c r="D27" s="152">
        <v>350.7</v>
      </c>
      <c r="E27" s="134">
        <v>10000</v>
      </c>
      <c r="F27" s="246">
        <f t="shared" si="0"/>
        <v>3507000</v>
      </c>
      <c r="G27" s="252">
        <v>10000</v>
      </c>
      <c r="H27" s="135">
        <f t="shared" si="0"/>
        <v>3507000</v>
      </c>
      <c r="I27" s="125">
        <v>10000</v>
      </c>
      <c r="J27" s="135">
        <f t="shared" si="0"/>
        <v>3507000</v>
      </c>
      <c r="K27" s="125">
        <f t="shared" si="3"/>
        <v>10000</v>
      </c>
      <c r="L27" s="108">
        <f t="shared" ref="L27:L28" si="10">$D27*K27</f>
        <v>3507000</v>
      </c>
      <c r="M27" s="71">
        <f>+K27*(1+$K$79+$K$80+$K$81)+K27*$K$82*$K$81</f>
        <v>13652</v>
      </c>
      <c r="N27" s="71">
        <f t="shared" si="2"/>
        <v>4787756.4000000004</v>
      </c>
      <c r="P27" s="120">
        <f t="shared" si="4"/>
        <v>4787756.4000000004</v>
      </c>
    </row>
    <row r="28" spans="1:16" ht="68.400000000000006" x14ac:dyDescent="0.3">
      <c r="A28" s="147" t="s">
        <v>151</v>
      </c>
      <c r="B28" s="138" t="s">
        <v>257</v>
      </c>
      <c r="C28" s="139" t="s">
        <v>16</v>
      </c>
      <c r="D28" s="152">
        <f>+D27</f>
        <v>350.7</v>
      </c>
      <c r="E28" s="134">
        <v>62000</v>
      </c>
      <c r="F28" s="246">
        <f t="shared" si="0"/>
        <v>21743400</v>
      </c>
      <c r="G28" s="252">
        <v>65000</v>
      </c>
      <c r="H28" s="135">
        <f t="shared" si="0"/>
        <v>22795500</v>
      </c>
      <c r="I28" s="125">
        <v>63000</v>
      </c>
      <c r="J28" s="135">
        <f t="shared" si="0"/>
        <v>22094100</v>
      </c>
      <c r="K28" s="125">
        <f t="shared" si="3"/>
        <v>63333.33</v>
      </c>
      <c r="L28" s="108">
        <f t="shared" si="10"/>
        <v>22210998.831</v>
      </c>
      <c r="M28" s="71">
        <f>+K28*(1+$K$79+$K$80+$K$81)+K28*$K$82*$K$81</f>
        <v>86462.662116000007</v>
      </c>
      <c r="N28" s="71">
        <f t="shared" si="2"/>
        <v>30322455.6041</v>
      </c>
      <c r="P28" s="120">
        <f t="shared" si="4"/>
        <v>30322455.6041</v>
      </c>
    </row>
    <row r="29" spans="1:16" s="81" customFormat="1" x14ac:dyDescent="0.3">
      <c r="A29" s="208" t="s">
        <v>21</v>
      </c>
      <c r="B29" s="205" t="s">
        <v>258</v>
      </c>
      <c r="C29" s="206"/>
      <c r="D29" s="223"/>
      <c r="E29" s="230"/>
      <c r="F29" s="269">
        <f>SUM(F30:F45)</f>
        <v>69214650</v>
      </c>
      <c r="G29" s="230"/>
      <c r="H29" s="269">
        <f>SUM(H30:H45)</f>
        <v>72513080</v>
      </c>
      <c r="I29" s="227"/>
      <c r="J29" s="269">
        <f>SUM(J30:J45)</f>
        <v>70792680</v>
      </c>
      <c r="K29" s="206"/>
      <c r="L29" s="206"/>
      <c r="M29" s="71"/>
      <c r="N29" s="71"/>
      <c r="O29" s="114"/>
      <c r="P29" s="120">
        <f t="shared" si="4"/>
        <v>0</v>
      </c>
    </row>
    <row r="30" spans="1:16" ht="22.8" x14ac:dyDescent="0.3">
      <c r="A30" s="147" t="s">
        <v>259</v>
      </c>
      <c r="B30" s="138" t="s">
        <v>260</v>
      </c>
      <c r="C30" s="139" t="s">
        <v>25</v>
      </c>
      <c r="D30" s="152">
        <f>2.3+2.3+2.16+1.17+2.3+3</f>
        <v>13.23</v>
      </c>
      <c r="E30" s="134">
        <v>15000</v>
      </c>
      <c r="F30" s="246">
        <f t="shared" ref="F30:J77" si="11">ROUND($D30*E30,2)</f>
        <v>198450</v>
      </c>
      <c r="G30" s="134">
        <v>16000</v>
      </c>
      <c r="H30" s="135">
        <f t="shared" si="11"/>
        <v>211680</v>
      </c>
      <c r="I30" s="125">
        <v>16000</v>
      </c>
      <c r="J30" s="135">
        <f t="shared" si="11"/>
        <v>211680</v>
      </c>
      <c r="K30" s="125">
        <f t="shared" ref="K30:K49" si="12">ROUND(AVERAGE(G30,E30,I30),2)</f>
        <v>15666.67</v>
      </c>
      <c r="L30" s="108">
        <f t="shared" ref="L30:L45" si="13">$D30*K30</f>
        <v>207270.0441</v>
      </c>
      <c r="M30" s="71">
        <f t="shared" ref="M30:M45" si="14">+K30*(1+$K$79+$K$80+$K$81)+K30*$K$82*$K$81</f>
        <v>21388.137884000003</v>
      </c>
      <c r="N30" s="71">
        <f t="shared" si="2"/>
        <v>282965.06420000002</v>
      </c>
      <c r="P30" s="120">
        <f t="shared" si="4"/>
        <v>282965.06420000002</v>
      </c>
    </row>
    <row r="31" spans="1:16" ht="22.8" x14ac:dyDescent="0.3">
      <c r="A31" s="147" t="s">
        <v>261</v>
      </c>
      <c r="B31" s="138" t="s">
        <v>262</v>
      </c>
      <c r="C31" s="139" t="s">
        <v>16</v>
      </c>
      <c r="D31" s="152">
        <f xml:space="preserve"> 20</f>
        <v>20</v>
      </c>
      <c r="E31" s="134">
        <v>170000</v>
      </c>
      <c r="F31" s="246">
        <f t="shared" si="11"/>
        <v>3400000</v>
      </c>
      <c r="G31" s="134">
        <v>179000</v>
      </c>
      <c r="H31" s="135">
        <f t="shared" si="11"/>
        <v>3580000</v>
      </c>
      <c r="I31" s="125">
        <v>174000</v>
      </c>
      <c r="J31" s="135">
        <f t="shared" si="11"/>
        <v>3480000</v>
      </c>
      <c r="K31" s="125">
        <f t="shared" si="12"/>
        <v>174333.33</v>
      </c>
      <c r="L31" s="108">
        <f t="shared" si="13"/>
        <v>3486666.5999999996</v>
      </c>
      <c r="M31" s="71">
        <f t="shared" si="14"/>
        <v>237999.862116</v>
      </c>
      <c r="N31" s="71">
        <f t="shared" si="2"/>
        <v>4759997.2423</v>
      </c>
      <c r="P31" s="120"/>
    </row>
    <row r="32" spans="1:16" ht="22.8" x14ac:dyDescent="0.3">
      <c r="A32" s="147" t="s">
        <v>263</v>
      </c>
      <c r="B32" s="145" t="s">
        <v>264</v>
      </c>
      <c r="C32" s="146" t="s">
        <v>32</v>
      </c>
      <c r="D32" s="224">
        <v>5</v>
      </c>
      <c r="E32" s="134">
        <v>107000</v>
      </c>
      <c r="F32" s="246">
        <f t="shared" si="11"/>
        <v>535000</v>
      </c>
      <c r="G32" s="134">
        <v>112000</v>
      </c>
      <c r="H32" s="135">
        <f t="shared" si="11"/>
        <v>560000</v>
      </c>
      <c r="I32" s="125">
        <v>110000</v>
      </c>
      <c r="J32" s="135">
        <f t="shared" si="11"/>
        <v>550000</v>
      </c>
      <c r="K32" s="125">
        <f t="shared" si="12"/>
        <v>109666.67</v>
      </c>
      <c r="L32" s="108">
        <f t="shared" si="13"/>
        <v>548333.35</v>
      </c>
      <c r="M32" s="71">
        <f t="shared" si="14"/>
        <v>149716.93788400001</v>
      </c>
      <c r="N32" s="71">
        <f t="shared" si="2"/>
        <v>748584.68940000003</v>
      </c>
      <c r="P32" s="120"/>
    </row>
    <row r="33" spans="1:16" ht="22.8" x14ac:dyDescent="0.3">
      <c r="A33" s="147" t="s">
        <v>265</v>
      </c>
      <c r="B33" s="145" t="s">
        <v>266</v>
      </c>
      <c r="C33" s="146" t="s">
        <v>267</v>
      </c>
      <c r="D33" s="224">
        <v>5</v>
      </c>
      <c r="E33" s="134">
        <v>76000</v>
      </c>
      <c r="F33" s="246">
        <f t="shared" si="11"/>
        <v>380000</v>
      </c>
      <c r="G33" s="134">
        <v>80000</v>
      </c>
      <c r="H33" s="135">
        <f t="shared" si="11"/>
        <v>400000</v>
      </c>
      <c r="I33" s="125">
        <v>78000</v>
      </c>
      <c r="J33" s="135">
        <f t="shared" si="11"/>
        <v>390000</v>
      </c>
      <c r="K33" s="125">
        <f t="shared" si="12"/>
        <v>78000</v>
      </c>
      <c r="L33" s="108">
        <f t="shared" si="13"/>
        <v>390000</v>
      </c>
      <c r="M33" s="71">
        <f t="shared" si="14"/>
        <v>106485.6</v>
      </c>
      <c r="N33" s="71">
        <f t="shared" si="2"/>
        <v>532428</v>
      </c>
      <c r="P33" s="120"/>
    </row>
    <row r="34" spans="1:16" ht="34.200000000000003" x14ac:dyDescent="0.3">
      <c r="A34" s="147" t="s">
        <v>268</v>
      </c>
      <c r="B34" s="145" t="s">
        <v>269</v>
      </c>
      <c r="C34" s="146" t="s">
        <v>32</v>
      </c>
      <c r="D34" s="224">
        <f>+D33</f>
        <v>5</v>
      </c>
      <c r="E34" s="134">
        <v>499000</v>
      </c>
      <c r="F34" s="246">
        <f t="shared" si="11"/>
        <v>2495000</v>
      </c>
      <c r="G34" s="134">
        <v>523000</v>
      </c>
      <c r="H34" s="135">
        <f t="shared" si="11"/>
        <v>2615000</v>
      </c>
      <c r="I34" s="125">
        <v>511000</v>
      </c>
      <c r="J34" s="135">
        <f t="shared" si="11"/>
        <v>2555000</v>
      </c>
      <c r="K34" s="125">
        <f t="shared" si="12"/>
        <v>511000</v>
      </c>
      <c r="L34" s="108">
        <f t="shared" si="13"/>
        <v>2555000</v>
      </c>
      <c r="M34" s="71">
        <f t="shared" si="14"/>
        <v>697617.2</v>
      </c>
      <c r="N34" s="71">
        <f t="shared" si="2"/>
        <v>3488086</v>
      </c>
      <c r="P34" s="120"/>
    </row>
    <row r="35" spans="1:16" ht="22.8" x14ac:dyDescent="0.3">
      <c r="A35" s="147" t="s">
        <v>270</v>
      </c>
      <c r="B35" s="145" t="s">
        <v>271</v>
      </c>
      <c r="C35" s="146" t="s">
        <v>32</v>
      </c>
      <c r="D35" s="224">
        <v>5</v>
      </c>
      <c r="E35" s="134">
        <v>36000</v>
      </c>
      <c r="F35" s="246">
        <f t="shared" si="11"/>
        <v>180000</v>
      </c>
      <c r="G35" s="134">
        <v>38000</v>
      </c>
      <c r="H35" s="135">
        <f t="shared" si="11"/>
        <v>190000</v>
      </c>
      <c r="I35" s="125">
        <v>37000</v>
      </c>
      <c r="J35" s="135">
        <f t="shared" si="11"/>
        <v>185000</v>
      </c>
      <c r="K35" s="125">
        <f t="shared" si="12"/>
        <v>37000</v>
      </c>
      <c r="L35" s="108">
        <f t="shared" si="13"/>
        <v>185000</v>
      </c>
      <c r="M35" s="71">
        <f t="shared" si="14"/>
        <v>50512.4</v>
      </c>
      <c r="N35" s="71">
        <f t="shared" si="2"/>
        <v>252562</v>
      </c>
      <c r="P35" s="120"/>
    </row>
    <row r="36" spans="1:16" ht="34.200000000000003" x14ac:dyDescent="0.3">
      <c r="A36" s="147" t="s">
        <v>272</v>
      </c>
      <c r="B36" s="145" t="s">
        <v>273</v>
      </c>
      <c r="C36" s="146" t="s">
        <v>32</v>
      </c>
      <c r="D36" s="224">
        <f>+D35</f>
        <v>5</v>
      </c>
      <c r="E36" s="134">
        <v>489000</v>
      </c>
      <c r="F36" s="246">
        <f t="shared" si="11"/>
        <v>2445000</v>
      </c>
      <c r="G36" s="134">
        <v>513000</v>
      </c>
      <c r="H36" s="135">
        <f t="shared" si="11"/>
        <v>2565000</v>
      </c>
      <c r="I36" s="125">
        <v>501000</v>
      </c>
      <c r="J36" s="135">
        <f t="shared" si="11"/>
        <v>2505000</v>
      </c>
      <c r="K36" s="125">
        <f t="shared" si="12"/>
        <v>501000</v>
      </c>
      <c r="L36" s="108">
        <f t="shared" si="13"/>
        <v>2505000</v>
      </c>
      <c r="M36" s="71">
        <f t="shared" si="14"/>
        <v>683965.2</v>
      </c>
      <c r="N36" s="71">
        <f t="shared" si="2"/>
        <v>3419826</v>
      </c>
      <c r="P36" s="120"/>
    </row>
    <row r="37" spans="1:16" ht="57" x14ac:dyDescent="0.3">
      <c r="A37" s="147" t="s">
        <v>274</v>
      </c>
      <c r="B37" s="138" t="s">
        <v>275</v>
      </c>
      <c r="C37" s="139" t="s">
        <v>16</v>
      </c>
      <c r="D37" s="152">
        <f>4*3*5</f>
        <v>60</v>
      </c>
      <c r="E37" s="134">
        <v>33000</v>
      </c>
      <c r="F37" s="246">
        <f t="shared" si="11"/>
        <v>1980000</v>
      </c>
      <c r="G37" s="134">
        <v>34000</v>
      </c>
      <c r="H37" s="135">
        <f t="shared" si="11"/>
        <v>2040000</v>
      </c>
      <c r="I37" s="125">
        <v>33000</v>
      </c>
      <c r="J37" s="135">
        <f t="shared" si="11"/>
        <v>1980000</v>
      </c>
      <c r="K37" s="125">
        <f t="shared" si="12"/>
        <v>33333.33</v>
      </c>
      <c r="L37" s="108">
        <f t="shared" si="13"/>
        <v>1999999.8</v>
      </c>
      <c r="M37" s="71">
        <f t="shared" si="14"/>
        <v>45506.662116000007</v>
      </c>
      <c r="N37" s="71">
        <f t="shared" si="2"/>
        <v>2730399.727</v>
      </c>
      <c r="P37" s="120"/>
    </row>
    <row r="38" spans="1:16" ht="102.6" x14ac:dyDescent="0.3">
      <c r="A38" s="147" t="s">
        <v>276</v>
      </c>
      <c r="B38" s="138" t="s">
        <v>277</v>
      </c>
      <c r="C38" s="139" t="s">
        <v>16</v>
      </c>
      <c r="D38" s="152">
        <v>60</v>
      </c>
      <c r="E38" s="134">
        <v>676000</v>
      </c>
      <c r="F38" s="246">
        <f t="shared" si="11"/>
        <v>40560000</v>
      </c>
      <c r="G38" s="134">
        <v>710000</v>
      </c>
      <c r="H38" s="135">
        <f t="shared" si="11"/>
        <v>42600000</v>
      </c>
      <c r="I38" s="125">
        <v>693000</v>
      </c>
      <c r="J38" s="135">
        <f t="shared" si="11"/>
        <v>41580000</v>
      </c>
      <c r="K38" s="125">
        <f t="shared" si="12"/>
        <v>693000</v>
      </c>
      <c r="L38" s="108">
        <f t="shared" si="13"/>
        <v>41580000</v>
      </c>
      <c r="M38" s="71">
        <f t="shared" si="14"/>
        <v>946083.60000000009</v>
      </c>
      <c r="N38" s="71">
        <f t="shared" si="2"/>
        <v>56765016</v>
      </c>
      <c r="P38" s="120"/>
    </row>
    <row r="39" spans="1:16" ht="45.6" x14ac:dyDescent="0.3">
      <c r="A39" s="147" t="s">
        <v>278</v>
      </c>
      <c r="B39" s="145" t="s">
        <v>279</v>
      </c>
      <c r="C39" s="139" t="s">
        <v>32</v>
      </c>
      <c r="D39" s="152">
        <v>5</v>
      </c>
      <c r="E39" s="134">
        <v>1100000</v>
      </c>
      <c r="F39" s="246">
        <f t="shared" si="11"/>
        <v>5500000</v>
      </c>
      <c r="G39" s="134">
        <v>1155000</v>
      </c>
      <c r="H39" s="135">
        <f t="shared" si="11"/>
        <v>5775000</v>
      </c>
      <c r="I39" s="125">
        <v>1128000</v>
      </c>
      <c r="J39" s="135">
        <f t="shared" si="11"/>
        <v>5640000</v>
      </c>
      <c r="K39" s="125">
        <f t="shared" si="12"/>
        <v>1127666.67</v>
      </c>
      <c r="L39" s="108">
        <f t="shared" si="13"/>
        <v>5638333.3499999996</v>
      </c>
      <c r="M39" s="71">
        <f t="shared" si="14"/>
        <v>1539490.537884</v>
      </c>
      <c r="N39" s="71">
        <f t="shared" si="2"/>
        <v>7697452.6893999996</v>
      </c>
      <c r="P39" s="120"/>
    </row>
    <row r="40" spans="1:16" ht="22.8" x14ac:dyDescent="0.3">
      <c r="A40" s="147" t="s">
        <v>280</v>
      </c>
      <c r="B40" s="145" t="s">
        <v>281</v>
      </c>
      <c r="C40" s="146" t="s">
        <v>32</v>
      </c>
      <c r="D40" s="224">
        <v>5</v>
      </c>
      <c r="E40" s="134">
        <v>24000</v>
      </c>
      <c r="F40" s="246">
        <f t="shared" si="11"/>
        <v>120000</v>
      </c>
      <c r="G40" s="134">
        <v>26000</v>
      </c>
      <c r="H40" s="135">
        <f t="shared" si="11"/>
        <v>130000</v>
      </c>
      <c r="I40" s="125">
        <v>25000</v>
      </c>
      <c r="J40" s="135">
        <f t="shared" si="11"/>
        <v>125000</v>
      </c>
      <c r="K40" s="125">
        <f t="shared" si="12"/>
        <v>25000</v>
      </c>
      <c r="L40" s="108">
        <f t="shared" si="13"/>
        <v>125000</v>
      </c>
      <c r="M40" s="71">
        <f t="shared" si="14"/>
        <v>34130</v>
      </c>
      <c r="N40" s="71">
        <f t="shared" si="2"/>
        <v>170650</v>
      </c>
      <c r="P40" s="120"/>
    </row>
    <row r="41" spans="1:16" ht="57" x14ac:dyDescent="0.3">
      <c r="A41" s="147" t="s">
        <v>282</v>
      </c>
      <c r="B41" s="145" t="s">
        <v>283</v>
      </c>
      <c r="C41" s="146" t="s">
        <v>32</v>
      </c>
      <c r="D41" s="224">
        <f>+D40</f>
        <v>5</v>
      </c>
      <c r="E41" s="134">
        <v>1591000</v>
      </c>
      <c r="F41" s="246">
        <f t="shared" si="11"/>
        <v>7955000</v>
      </c>
      <c r="G41" s="134">
        <v>1670000</v>
      </c>
      <c r="H41" s="135">
        <f t="shared" si="11"/>
        <v>8350000</v>
      </c>
      <c r="I41" s="125">
        <v>1631000</v>
      </c>
      <c r="J41" s="135">
        <f t="shared" si="11"/>
        <v>8155000</v>
      </c>
      <c r="K41" s="125">
        <f t="shared" si="12"/>
        <v>1630666.67</v>
      </c>
      <c r="L41" s="108">
        <f t="shared" si="13"/>
        <v>8153333.3499999996</v>
      </c>
      <c r="M41" s="71">
        <f t="shared" si="14"/>
        <v>2226186.1378840003</v>
      </c>
      <c r="N41" s="71">
        <f t="shared" si="2"/>
        <v>11130930.6894</v>
      </c>
      <c r="P41" s="120"/>
    </row>
    <row r="42" spans="1:16" x14ac:dyDescent="0.3">
      <c r="A42" s="147" t="s">
        <v>284</v>
      </c>
      <c r="B42" s="145" t="s">
        <v>285</v>
      </c>
      <c r="C42" s="146" t="s">
        <v>32</v>
      </c>
      <c r="D42" s="224">
        <v>5</v>
      </c>
      <c r="E42" s="134">
        <v>27000</v>
      </c>
      <c r="F42" s="246">
        <f t="shared" si="11"/>
        <v>135000</v>
      </c>
      <c r="G42" s="134">
        <v>28000</v>
      </c>
      <c r="H42" s="135">
        <f t="shared" si="11"/>
        <v>140000</v>
      </c>
      <c r="I42" s="125">
        <v>28000</v>
      </c>
      <c r="J42" s="135">
        <f t="shared" si="11"/>
        <v>140000</v>
      </c>
      <c r="K42" s="125">
        <f t="shared" si="12"/>
        <v>27666.67</v>
      </c>
      <c r="L42" s="108">
        <f t="shared" si="13"/>
        <v>138333.34999999998</v>
      </c>
      <c r="M42" s="71">
        <f t="shared" si="14"/>
        <v>37770.537884000005</v>
      </c>
      <c r="N42" s="71">
        <f t="shared" si="2"/>
        <v>188852.6894</v>
      </c>
      <c r="P42" s="120"/>
    </row>
    <row r="43" spans="1:16" x14ac:dyDescent="0.3">
      <c r="A43" s="147" t="s">
        <v>286</v>
      </c>
      <c r="B43" s="145" t="s">
        <v>287</v>
      </c>
      <c r="C43" s="146" t="s">
        <v>32</v>
      </c>
      <c r="D43" s="224">
        <v>5</v>
      </c>
      <c r="E43" s="272">
        <v>96000</v>
      </c>
      <c r="F43" s="246">
        <f t="shared" si="11"/>
        <v>480000</v>
      </c>
      <c r="G43" s="134">
        <v>72000</v>
      </c>
      <c r="H43" s="135">
        <f t="shared" si="11"/>
        <v>360000</v>
      </c>
      <c r="I43" s="271">
        <v>74000</v>
      </c>
      <c r="J43" s="135">
        <f t="shared" si="11"/>
        <v>370000</v>
      </c>
      <c r="K43" s="125">
        <f t="shared" si="12"/>
        <v>80666.67</v>
      </c>
      <c r="L43" s="108">
        <f t="shared" si="13"/>
        <v>403333.35</v>
      </c>
      <c r="M43" s="71">
        <f t="shared" si="14"/>
        <v>110126.13788400001</v>
      </c>
      <c r="N43" s="71">
        <f t="shared" si="2"/>
        <v>550630.68940000003</v>
      </c>
      <c r="P43" s="120"/>
    </row>
    <row r="44" spans="1:16" ht="22.8" x14ac:dyDescent="0.3">
      <c r="A44" s="147" t="s">
        <v>288</v>
      </c>
      <c r="B44" s="145" t="s">
        <v>289</v>
      </c>
      <c r="C44" s="146" t="s">
        <v>25</v>
      </c>
      <c r="D44" s="224">
        <v>2.2000000000000002</v>
      </c>
      <c r="E44" s="134">
        <v>24000</v>
      </c>
      <c r="F44" s="246">
        <f t="shared" si="11"/>
        <v>52800</v>
      </c>
      <c r="G44" s="134">
        <v>26000</v>
      </c>
      <c r="H44" s="135">
        <f t="shared" si="11"/>
        <v>57200</v>
      </c>
      <c r="I44" s="125">
        <v>25000</v>
      </c>
      <c r="J44" s="135">
        <f t="shared" si="11"/>
        <v>55000</v>
      </c>
      <c r="K44" s="125">
        <f t="shared" si="12"/>
        <v>25000</v>
      </c>
      <c r="L44" s="108">
        <f t="shared" si="13"/>
        <v>55000.000000000007</v>
      </c>
      <c r="M44" s="71">
        <f t="shared" si="14"/>
        <v>34130</v>
      </c>
      <c r="N44" s="71">
        <f t="shared" si="2"/>
        <v>75086</v>
      </c>
      <c r="P44" s="120"/>
    </row>
    <row r="45" spans="1:16" ht="57" x14ac:dyDescent="0.3">
      <c r="A45" s="147" t="s">
        <v>290</v>
      </c>
      <c r="B45" s="145" t="s">
        <v>291</v>
      </c>
      <c r="C45" s="146" t="s">
        <v>25</v>
      </c>
      <c r="D45" s="224">
        <f>+D44</f>
        <v>2.2000000000000002</v>
      </c>
      <c r="E45" s="134">
        <v>1272000</v>
      </c>
      <c r="F45" s="246">
        <f t="shared" si="11"/>
        <v>2798400</v>
      </c>
      <c r="G45" s="134">
        <v>1336000</v>
      </c>
      <c r="H45" s="135">
        <f t="shared" si="11"/>
        <v>2939200</v>
      </c>
      <c r="I45" s="125">
        <v>1305000</v>
      </c>
      <c r="J45" s="135">
        <f t="shared" si="11"/>
        <v>2871000</v>
      </c>
      <c r="K45" s="125">
        <f t="shared" si="12"/>
        <v>1304333.33</v>
      </c>
      <c r="L45" s="108">
        <f t="shared" si="13"/>
        <v>2869533.3260000004</v>
      </c>
      <c r="M45" s="71">
        <f t="shared" si="14"/>
        <v>1780675.8621160001</v>
      </c>
      <c r="N45" s="71">
        <f t="shared" si="2"/>
        <v>3917486.8966999999</v>
      </c>
      <c r="P45" s="120"/>
    </row>
    <row r="46" spans="1:16" s="84" customFormat="1" x14ac:dyDescent="0.3">
      <c r="A46" s="208" t="s">
        <v>23</v>
      </c>
      <c r="B46" s="205" t="s">
        <v>65</v>
      </c>
      <c r="C46" s="206"/>
      <c r="D46" s="223"/>
      <c r="E46" s="230"/>
      <c r="F46" s="269">
        <f>SUM(F47:F49)</f>
        <v>58700000</v>
      </c>
      <c r="G46" s="230"/>
      <c r="H46" s="269">
        <f>SUM(H47:H49)</f>
        <v>61860000</v>
      </c>
      <c r="I46" s="227"/>
      <c r="J46" s="269">
        <f>SUM(J47:J49)</f>
        <v>60190000</v>
      </c>
      <c r="K46" s="206"/>
      <c r="L46" s="206"/>
      <c r="M46" s="71"/>
      <c r="N46" s="71"/>
      <c r="O46" s="116"/>
      <c r="P46" s="120">
        <f t="shared" si="4"/>
        <v>0</v>
      </c>
    </row>
    <row r="47" spans="1:16" x14ac:dyDescent="0.3">
      <c r="A47" s="147" t="s">
        <v>292</v>
      </c>
      <c r="B47" s="138" t="s">
        <v>293</v>
      </c>
      <c r="C47" s="139" t="s">
        <v>16</v>
      </c>
      <c r="D47" s="224">
        <v>500</v>
      </c>
      <c r="E47" s="134">
        <v>82000</v>
      </c>
      <c r="F47" s="246">
        <f t="shared" si="11"/>
        <v>41000000</v>
      </c>
      <c r="G47" s="150">
        <v>86000</v>
      </c>
      <c r="H47" s="135">
        <f t="shared" si="11"/>
        <v>43000000</v>
      </c>
      <c r="I47" s="125">
        <v>84000</v>
      </c>
      <c r="J47" s="135">
        <f t="shared" si="11"/>
        <v>42000000</v>
      </c>
      <c r="K47" s="125">
        <f t="shared" si="12"/>
        <v>84000</v>
      </c>
      <c r="L47" s="108">
        <f t="shared" ref="L47:L49" si="15">$D47*K47</f>
        <v>42000000</v>
      </c>
      <c r="M47" s="71">
        <f>+K47*(1+$K$79+$K$80+$K$81)+K47*$K$82*$K$81</f>
        <v>114676.80000000002</v>
      </c>
      <c r="N47" s="71">
        <f t="shared" si="2"/>
        <v>57338400</v>
      </c>
      <c r="P47" s="120">
        <f t="shared" si="4"/>
        <v>57338400</v>
      </c>
    </row>
    <row r="48" spans="1:16" x14ac:dyDescent="0.3">
      <c r="A48" s="147" t="s">
        <v>294</v>
      </c>
      <c r="B48" s="138" t="s">
        <v>295</v>
      </c>
      <c r="C48" s="139" t="s">
        <v>25</v>
      </c>
      <c r="D48" s="224">
        <v>180</v>
      </c>
      <c r="E48" s="134">
        <v>33000</v>
      </c>
      <c r="F48" s="246">
        <f t="shared" si="11"/>
        <v>5940000</v>
      </c>
      <c r="G48" s="150">
        <v>34000</v>
      </c>
      <c r="H48" s="135">
        <f t="shared" si="11"/>
        <v>6120000</v>
      </c>
      <c r="I48" s="125">
        <v>33000</v>
      </c>
      <c r="J48" s="135">
        <f t="shared" si="11"/>
        <v>5940000</v>
      </c>
      <c r="K48" s="125">
        <f t="shared" si="12"/>
        <v>33333.33</v>
      </c>
      <c r="L48" s="108">
        <f t="shared" si="15"/>
        <v>5999999.4000000004</v>
      </c>
      <c r="M48" s="71">
        <f>+K48*(1+$K$79+$K$80+$K$81)+K48*$K$82*$K$81</f>
        <v>45506.662116000007</v>
      </c>
      <c r="N48" s="71">
        <f t="shared" si="2"/>
        <v>8191199.1809</v>
      </c>
      <c r="P48" s="120">
        <f t="shared" si="4"/>
        <v>8191199.1809</v>
      </c>
    </row>
    <row r="49" spans="1:16" s="84" customFormat="1" ht="22.8" x14ac:dyDescent="0.3">
      <c r="A49" s="147" t="s">
        <v>296</v>
      </c>
      <c r="B49" s="145" t="s">
        <v>297</v>
      </c>
      <c r="C49" s="146" t="s">
        <v>16</v>
      </c>
      <c r="D49" s="224">
        <v>490</v>
      </c>
      <c r="E49" s="134">
        <v>24000</v>
      </c>
      <c r="F49" s="246">
        <f t="shared" si="11"/>
        <v>11760000</v>
      </c>
      <c r="G49" s="150">
        <v>26000</v>
      </c>
      <c r="H49" s="135">
        <f t="shared" si="11"/>
        <v>12740000</v>
      </c>
      <c r="I49" s="125">
        <v>25000</v>
      </c>
      <c r="J49" s="135">
        <f t="shared" si="11"/>
        <v>12250000</v>
      </c>
      <c r="K49" s="125">
        <f t="shared" si="12"/>
        <v>25000</v>
      </c>
      <c r="L49" s="108">
        <f t="shared" si="15"/>
        <v>12250000</v>
      </c>
      <c r="M49" s="71">
        <f>+K49*(1+$K$79+$K$80+$K$81)+K49*$K$82*$K$81</f>
        <v>34130</v>
      </c>
      <c r="N49" s="71">
        <f t="shared" si="2"/>
        <v>16723700</v>
      </c>
      <c r="O49" s="116"/>
      <c r="P49" s="120">
        <f t="shared" si="4"/>
        <v>16723700</v>
      </c>
    </row>
    <row r="50" spans="1:16" s="84" customFormat="1" x14ac:dyDescent="0.3">
      <c r="A50" s="208" t="s">
        <v>26</v>
      </c>
      <c r="B50" s="205" t="s">
        <v>72</v>
      </c>
      <c r="C50" s="206"/>
      <c r="D50" s="223"/>
      <c r="E50" s="230"/>
      <c r="F50" s="269">
        <f>F51</f>
        <v>732000</v>
      </c>
      <c r="G50" s="230"/>
      <c r="H50" s="269">
        <f>H51</f>
        <v>768000</v>
      </c>
      <c r="I50" s="227"/>
      <c r="J50" s="269">
        <f>J51</f>
        <v>750000</v>
      </c>
      <c r="K50" s="206"/>
      <c r="L50" s="206"/>
      <c r="M50" s="71"/>
      <c r="N50" s="71"/>
      <c r="O50" s="116"/>
      <c r="P50" s="120">
        <f t="shared" si="4"/>
        <v>0</v>
      </c>
    </row>
    <row r="51" spans="1:16" x14ac:dyDescent="0.3">
      <c r="A51" s="147" t="s">
        <v>298</v>
      </c>
      <c r="B51" s="138" t="s">
        <v>299</v>
      </c>
      <c r="C51" s="139" t="s">
        <v>32</v>
      </c>
      <c r="D51" s="152">
        <v>6</v>
      </c>
      <c r="E51" s="134">
        <v>122000</v>
      </c>
      <c r="F51" s="246">
        <f t="shared" si="11"/>
        <v>732000</v>
      </c>
      <c r="G51" s="150">
        <v>128000</v>
      </c>
      <c r="H51" s="135">
        <f t="shared" si="11"/>
        <v>768000</v>
      </c>
      <c r="I51" s="125">
        <v>125000</v>
      </c>
      <c r="J51" s="135">
        <f t="shared" si="11"/>
        <v>750000</v>
      </c>
      <c r="K51" s="125">
        <f t="shared" ref="K51:K77" si="16">ROUND(AVERAGE(G51,E51,I51),2)</f>
        <v>125000</v>
      </c>
      <c r="L51" s="108">
        <f t="shared" ref="L51:L77" si="17">$D51*K51</f>
        <v>750000</v>
      </c>
      <c r="M51" s="71">
        <f>+K51*(1+$K$79+$K$80+$K$81)+K51*$K$82*$K$81</f>
        <v>170650</v>
      </c>
      <c r="N51" s="71">
        <f t="shared" si="2"/>
        <v>1023900</v>
      </c>
      <c r="P51" s="120">
        <f t="shared" si="4"/>
        <v>1023900</v>
      </c>
    </row>
    <row r="52" spans="1:16" x14ac:dyDescent="0.3">
      <c r="A52" s="181">
        <v>2</v>
      </c>
      <c r="B52" s="182" t="s">
        <v>77</v>
      </c>
      <c r="C52" s="183"/>
      <c r="D52" s="222"/>
      <c r="E52" s="130"/>
      <c r="F52" s="264">
        <f>F53+F57+F60+F64</f>
        <v>33718000</v>
      </c>
      <c r="G52" s="130"/>
      <c r="H52" s="264">
        <f>H53+H57+H60+H64</f>
        <v>35492000</v>
      </c>
      <c r="I52" s="254"/>
      <c r="J52" s="264">
        <f>J53+J57+J60+J64</f>
        <v>34586000</v>
      </c>
      <c r="K52" s="124"/>
      <c r="L52" s="77"/>
      <c r="M52" s="71"/>
      <c r="N52" s="71"/>
      <c r="P52" s="120"/>
    </row>
    <row r="53" spans="1:16" x14ac:dyDescent="0.3">
      <c r="A53" s="208" t="s">
        <v>36</v>
      </c>
      <c r="B53" s="205" t="s">
        <v>79</v>
      </c>
      <c r="C53" s="206"/>
      <c r="D53" s="223"/>
      <c r="E53" s="230"/>
      <c r="F53" s="269">
        <f>SUM(F54:F56)</f>
        <v>10110000</v>
      </c>
      <c r="G53" s="230"/>
      <c r="H53" s="269">
        <f>SUM(H54:H56)</f>
        <v>10634000</v>
      </c>
      <c r="I53" s="227"/>
      <c r="J53" s="269">
        <f>SUM(J54:J56)</f>
        <v>10404000</v>
      </c>
      <c r="K53" s="206"/>
      <c r="L53" s="206"/>
      <c r="M53" s="71"/>
      <c r="N53" s="71"/>
      <c r="P53" s="120"/>
    </row>
    <row r="54" spans="1:16" ht="34.200000000000003" x14ac:dyDescent="0.3">
      <c r="A54" s="147" t="s">
        <v>164</v>
      </c>
      <c r="B54" s="198" t="s">
        <v>165</v>
      </c>
      <c r="C54" s="186" t="s">
        <v>32</v>
      </c>
      <c r="D54" s="225">
        <v>70</v>
      </c>
      <c r="E54" s="134">
        <v>15000</v>
      </c>
      <c r="F54" s="246">
        <f t="shared" si="11"/>
        <v>1050000</v>
      </c>
      <c r="G54" s="150">
        <v>16000</v>
      </c>
      <c r="H54" s="135">
        <f t="shared" si="11"/>
        <v>1120000</v>
      </c>
      <c r="I54" s="125">
        <v>16000</v>
      </c>
      <c r="J54" s="135">
        <f t="shared" si="11"/>
        <v>1120000</v>
      </c>
      <c r="K54" s="125">
        <f t="shared" si="16"/>
        <v>15666.67</v>
      </c>
      <c r="L54" s="108">
        <f>$D54*K54</f>
        <v>1096666.8999999999</v>
      </c>
      <c r="M54" s="71">
        <f>+K54*(1+$K$79+$K$80+$K$81)+K54*$K$82*$K$81</f>
        <v>21388.137884000003</v>
      </c>
      <c r="N54" s="71">
        <f>ROUND(M54*D54,4)</f>
        <v>1497169.6518999999</v>
      </c>
      <c r="P54" s="120"/>
    </row>
    <row r="55" spans="1:16" ht="91.2" x14ac:dyDescent="0.3">
      <c r="A55" s="147" t="s">
        <v>166</v>
      </c>
      <c r="B55" s="198" t="s">
        <v>300</v>
      </c>
      <c r="C55" s="186" t="s">
        <v>32</v>
      </c>
      <c r="D55" s="225">
        <v>40</v>
      </c>
      <c r="E55" s="134">
        <v>201000</v>
      </c>
      <c r="F55" s="246">
        <f t="shared" si="11"/>
        <v>8040000</v>
      </c>
      <c r="G55" s="150">
        <v>211000</v>
      </c>
      <c r="H55" s="135">
        <f t="shared" si="11"/>
        <v>8440000</v>
      </c>
      <c r="I55" s="125">
        <v>206000</v>
      </c>
      <c r="J55" s="135">
        <f t="shared" si="11"/>
        <v>8240000</v>
      </c>
      <c r="K55" s="125">
        <f t="shared" si="16"/>
        <v>206000</v>
      </c>
      <c r="L55" s="108">
        <f t="shared" ref="L55:L63" si="18">$D55*K55</f>
        <v>8240000</v>
      </c>
      <c r="M55" s="71">
        <f>+K55*(1+$K$79+$K$80+$K$81)+K55*$K$82*$K$81</f>
        <v>281231.2</v>
      </c>
      <c r="N55" s="71">
        <f t="shared" ref="N55:N63" si="19">ROUND(M55*D55,4)</f>
        <v>11249248</v>
      </c>
      <c r="P55" s="120"/>
    </row>
    <row r="56" spans="1:16" ht="79.8" x14ac:dyDescent="0.3">
      <c r="A56" s="147" t="s">
        <v>301</v>
      </c>
      <c r="B56" s="198" t="s">
        <v>302</v>
      </c>
      <c r="C56" s="186" t="s">
        <v>32</v>
      </c>
      <c r="D56" s="225">
        <v>6</v>
      </c>
      <c r="E56" s="134">
        <v>170000</v>
      </c>
      <c r="F56" s="246">
        <f t="shared" si="11"/>
        <v>1020000</v>
      </c>
      <c r="G56" s="150">
        <v>179000</v>
      </c>
      <c r="H56" s="135">
        <f t="shared" si="11"/>
        <v>1074000</v>
      </c>
      <c r="I56" s="125">
        <v>174000</v>
      </c>
      <c r="J56" s="135">
        <f t="shared" si="11"/>
        <v>1044000</v>
      </c>
      <c r="K56" s="125">
        <f t="shared" si="16"/>
        <v>174333.33</v>
      </c>
      <c r="L56" s="108">
        <f t="shared" si="18"/>
        <v>1045999.98</v>
      </c>
      <c r="M56" s="71">
        <f>+K56*(1+$K$79+$K$80+$K$81)+K56*$K$82*$K$81</f>
        <v>237999.862116</v>
      </c>
      <c r="N56" s="71">
        <f t="shared" si="19"/>
        <v>1427999.1727</v>
      </c>
      <c r="P56" s="120"/>
    </row>
    <row r="57" spans="1:16" x14ac:dyDescent="0.3">
      <c r="A57" s="208" t="s">
        <v>39</v>
      </c>
      <c r="B57" s="205" t="s">
        <v>83</v>
      </c>
      <c r="C57" s="206"/>
      <c r="D57" s="223"/>
      <c r="E57" s="231"/>
      <c r="F57" s="266">
        <f>SUM(F58:F59)</f>
        <v>1186000</v>
      </c>
      <c r="G57" s="231"/>
      <c r="H57" s="266">
        <f>SUM(H58:H59)</f>
        <v>1240000</v>
      </c>
      <c r="I57" s="228"/>
      <c r="J57" s="266">
        <f>SUM(J58:J59)</f>
        <v>1214000</v>
      </c>
      <c r="K57" s="207"/>
      <c r="L57" s="207"/>
      <c r="M57" s="71"/>
      <c r="N57" s="71">
        <f t="shared" si="19"/>
        <v>0</v>
      </c>
      <c r="P57" s="120"/>
    </row>
    <row r="58" spans="1:16" ht="71.400000000000006" x14ac:dyDescent="0.3">
      <c r="A58" s="147" t="s">
        <v>168</v>
      </c>
      <c r="B58" s="209" t="s">
        <v>303</v>
      </c>
      <c r="C58" s="186" t="s">
        <v>32</v>
      </c>
      <c r="D58" s="225">
        <v>10</v>
      </c>
      <c r="E58" s="134">
        <v>69000</v>
      </c>
      <c r="F58" s="246">
        <f t="shared" si="11"/>
        <v>690000</v>
      </c>
      <c r="G58" s="150">
        <v>72000</v>
      </c>
      <c r="H58" s="135">
        <f t="shared" si="11"/>
        <v>720000</v>
      </c>
      <c r="I58" s="125">
        <v>71000</v>
      </c>
      <c r="J58" s="135">
        <f t="shared" si="11"/>
        <v>710000</v>
      </c>
      <c r="K58" s="125">
        <f t="shared" si="16"/>
        <v>70666.67</v>
      </c>
      <c r="L58" s="108">
        <f t="shared" si="18"/>
        <v>706666.7</v>
      </c>
      <c r="M58" s="71">
        <f>+K58*(1+$K$79+$K$80+$K$81)+K58*$K$82*$K$81</f>
        <v>96474.137884000011</v>
      </c>
      <c r="N58" s="71">
        <f t="shared" si="19"/>
        <v>964741.37879999995</v>
      </c>
      <c r="P58" s="120"/>
    </row>
    <row r="59" spans="1:16" ht="81.599999999999994" x14ac:dyDescent="0.3">
      <c r="A59" s="147" t="s">
        <v>170</v>
      </c>
      <c r="B59" s="210" t="s">
        <v>304</v>
      </c>
      <c r="C59" s="186" t="s">
        <v>32</v>
      </c>
      <c r="D59" s="225">
        <v>8</v>
      </c>
      <c r="E59" s="134">
        <v>62000</v>
      </c>
      <c r="F59" s="246">
        <f t="shared" si="11"/>
        <v>496000</v>
      </c>
      <c r="G59" s="150">
        <v>65000</v>
      </c>
      <c r="H59" s="135">
        <f t="shared" si="11"/>
        <v>520000</v>
      </c>
      <c r="I59" s="125">
        <v>63000</v>
      </c>
      <c r="J59" s="135">
        <f t="shared" si="11"/>
        <v>504000</v>
      </c>
      <c r="K59" s="125">
        <f t="shared" si="16"/>
        <v>63333.33</v>
      </c>
      <c r="L59" s="108">
        <f t="shared" si="18"/>
        <v>506666.64</v>
      </c>
      <c r="M59" s="71">
        <f>+K59*(1+$K$79+$K$80+$K$81)+K59*$K$82*$K$81</f>
        <v>86462.662116000007</v>
      </c>
      <c r="N59" s="71">
        <f t="shared" si="19"/>
        <v>691701.29689999996</v>
      </c>
      <c r="P59" s="120"/>
    </row>
    <row r="60" spans="1:16" ht="14.4" x14ac:dyDescent="0.3">
      <c r="A60" s="208" t="s">
        <v>41</v>
      </c>
      <c r="B60" s="211" t="s">
        <v>172</v>
      </c>
      <c r="C60" s="212"/>
      <c r="D60" s="226"/>
      <c r="E60" s="233"/>
      <c r="F60" s="267">
        <f>SUM(F61:F63)</f>
        <v>2432000</v>
      </c>
      <c r="G60" s="233"/>
      <c r="H60" s="267">
        <f>SUM(H61:H63)</f>
        <v>2552000</v>
      </c>
      <c r="I60" s="229"/>
      <c r="J60" s="267">
        <f>SUM(J61:J63)</f>
        <v>2492000</v>
      </c>
      <c r="K60" s="212"/>
      <c r="L60" s="212"/>
      <c r="M60" s="71"/>
      <c r="N60" s="71"/>
      <c r="P60" s="120"/>
    </row>
    <row r="61" spans="1:16" ht="121.95" customHeight="1" x14ac:dyDescent="0.3">
      <c r="A61" s="147" t="s">
        <v>173</v>
      </c>
      <c r="B61" s="198" t="s">
        <v>174</v>
      </c>
      <c r="C61" s="213" t="s">
        <v>32</v>
      </c>
      <c r="D61" s="225">
        <v>6</v>
      </c>
      <c r="E61" s="134">
        <v>67000</v>
      </c>
      <c r="F61" s="246">
        <f t="shared" si="11"/>
        <v>402000</v>
      </c>
      <c r="G61" s="150">
        <v>70000</v>
      </c>
      <c r="H61" s="135">
        <f t="shared" si="11"/>
        <v>420000</v>
      </c>
      <c r="I61" s="125">
        <v>69000</v>
      </c>
      <c r="J61" s="135">
        <f t="shared" si="11"/>
        <v>414000</v>
      </c>
      <c r="K61" s="125">
        <f t="shared" si="16"/>
        <v>68666.67</v>
      </c>
      <c r="L61" s="108">
        <f t="shared" si="18"/>
        <v>412000.02</v>
      </c>
      <c r="M61" s="71">
        <f>+K61*(1+$K$79+$K$80+$K$81)+K61*$K$82*$K$81</f>
        <v>93743.737884000016</v>
      </c>
      <c r="N61" s="71">
        <f t="shared" si="19"/>
        <v>562462.42729999998</v>
      </c>
      <c r="P61" s="120"/>
    </row>
    <row r="62" spans="1:16" ht="111" customHeight="1" x14ac:dyDescent="0.3">
      <c r="A62" s="147" t="s">
        <v>175</v>
      </c>
      <c r="B62" s="214" t="s">
        <v>305</v>
      </c>
      <c r="C62" s="213" t="s">
        <v>32</v>
      </c>
      <c r="D62" s="225">
        <v>10</v>
      </c>
      <c r="E62" s="134">
        <v>116000</v>
      </c>
      <c r="F62" s="246">
        <f t="shared" si="11"/>
        <v>1160000</v>
      </c>
      <c r="G62" s="150">
        <v>122000</v>
      </c>
      <c r="H62" s="135">
        <f t="shared" si="11"/>
        <v>1220000</v>
      </c>
      <c r="I62" s="125">
        <v>119000</v>
      </c>
      <c r="J62" s="135">
        <f t="shared" si="11"/>
        <v>1190000</v>
      </c>
      <c r="K62" s="125">
        <f t="shared" si="16"/>
        <v>119000</v>
      </c>
      <c r="L62" s="108">
        <f t="shared" si="18"/>
        <v>1190000</v>
      </c>
      <c r="M62" s="71">
        <f>+K62*(1+$K$79+$K$80+$K$81)+K62*$K$82*$K$81</f>
        <v>162458.79999999999</v>
      </c>
      <c r="N62" s="71">
        <f t="shared" si="19"/>
        <v>1624588</v>
      </c>
      <c r="P62" s="120"/>
    </row>
    <row r="63" spans="1:16" ht="57" x14ac:dyDescent="0.3">
      <c r="A63" s="147" t="s">
        <v>177</v>
      </c>
      <c r="B63" s="215" t="s">
        <v>183</v>
      </c>
      <c r="C63" s="213" t="s">
        <v>190</v>
      </c>
      <c r="D63" s="225">
        <v>6</v>
      </c>
      <c r="E63" s="216">
        <v>145000</v>
      </c>
      <c r="F63" s="273">
        <f>ROUND($D63*E63,2)</f>
        <v>870000</v>
      </c>
      <c r="G63" s="216">
        <v>152000</v>
      </c>
      <c r="H63" s="135">
        <f t="shared" si="11"/>
        <v>912000</v>
      </c>
      <c r="I63" s="218">
        <v>148000</v>
      </c>
      <c r="J63" s="217">
        <f t="shared" si="11"/>
        <v>888000</v>
      </c>
      <c r="K63" s="218">
        <f t="shared" si="16"/>
        <v>148333.32999999999</v>
      </c>
      <c r="L63" s="219">
        <f t="shared" si="18"/>
        <v>889999.98</v>
      </c>
      <c r="M63" s="71">
        <f>+K63*(1+$K$79+$K$80+$K$81)+K63*$K$82*$K$81</f>
        <v>202504.66211599999</v>
      </c>
      <c r="N63" s="71">
        <f t="shared" si="19"/>
        <v>1215027.9727</v>
      </c>
      <c r="P63" s="120"/>
    </row>
    <row r="64" spans="1:16" x14ac:dyDescent="0.3">
      <c r="A64" s="208" t="s">
        <v>43</v>
      </c>
      <c r="B64" s="205" t="s">
        <v>87</v>
      </c>
      <c r="C64" s="206"/>
      <c r="D64" s="223"/>
      <c r="E64" s="231"/>
      <c r="F64" s="268">
        <f>SUM(F65:F74)</f>
        <v>19990000</v>
      </c>
      <c r="G64" s="231"/>
      <c r="H64" s="268">
        <f>SUM(H65:H74)</f>
        <v>21066000</v>
      </c>
      <c r="I64" s="228"/>
      <c r="J64" s="268">
        <f>SUM(J65:J74)</f>
        <v>20476000</v>
      </c>
      <c r="K64" s="207"/>
      <c r="L64" s="207"/>
      <c r="M64" s="71"/>
      <c r="N64" s="71"/>
      <c r="P64" s="120"/>
    </row>
    <row r="65" spans="1:16" ht="34.200000000000003" x14ac:dyDescent="0.3">
      <c r="A65" s="147" t="s">
        <v>180</v>
      </c>
      <c r="B65" s="138" t="s">
        <v>187</v>
      </c>
      <c r="C65" s="186" t="s">
        <v>32</v>
      </c>
      <c r="D65" s="225">
        <v>1</v>
      </c>
      <c r="E65" s="216">
        <v>151000</v>
      </c>
      <c r="F65" s="273">
        <f>ROUND($D65*E65,2)</f>
        <v>151000</v>
      </c>
      <c r="G65" s="216">
        <v>159000</v>
      </c>
      <c r="H65" s="135">
        <f t="shared" si="11"/>
        <v>159000</v>
      </c>
      <c r="I65" s="218">
        <v>155000</v>
      </c>
      <c r="J65" s="217">
        <f t="shared" si="11"/>
        <v>155000</v>
      </c>
      <c r="K65" s="218">
        <f t="shared" si="16"/>
        <v>155000</v>
      </c>
      <c r="L65" s="219">
        <f t="shared" ref="L65:L68" si="20">$D65*K65</f>
        <v>155000</v>
      </c>
      <c r="M65" s="71">
        <f>+K65*(1+$K$79+$K$80+$K$81)+K65*$K$82*$K$81</f>
        <v>211606</v>
      </c>
      <c r="N65" s="71">
        <f t="shared" ref="N65:N68" si="21">ROUND(M65*D65,4)</f>
        <v>211606</v>
      </c>
      <c r="P65" s="120"/>
    </row>
    <row r="66" spans="1:16" ht="284.39999999999998" customHeight="1" x14ac:dyDescent="0.3">
      <c r="A66" s="147" t="s">
        <v>182</v>
      </c>
      <c r="B66" s="198" t="s">
        <v>306</v>
      </c>
      <c r="C66" s="186" t="s">
        <v>32</v>
      </c>
      <c r="D66" s="225">
        <v>1</v>
      </c>
      <c r="E66" s="216">
        <v>5846000</v>
      </c>
      <c r="F66" s="273">
        <f t="shared" ref="F66:F74" si="22">ROUND($D66*E66,2)</f>
        <v>5846000</v>
      </c>
      <c r="G66" s="216">
        <v>6137000</v>
      </c>
      <c r="H66" s="135">
        <f t="shared" si="11"/>
        <v>6137000</v>
      </c>
      <c r="I66" s="218">
        <v>5995000</v>
      </c>
      <c r="J66" s="217">
        <f t="shared" si="11"/>
        <v>5995000</v>
      </c>
      <c r="K66" s="218">
        <f t="shared" si="16"/>
        <v>5992666.6699999999</v>
      </c>
      <c r="L66" s="219">
        <f t="shared" si="20"/>
        <v>5992666.6699999999</v>
      </c>
      <c r="M66" s="71">
        <f>+K66*(1+$K$79+$K$80+$K$81)+K66*$K$82*$K$81</f>
        <v>8181188.5378840007</v>
      </c>
      <c r="N66" s="71">
        <f t="shared" si="21"/>
        <v>8181188.5378999999</v>
      </c>
      <c r="P66" s="120"/>
    </row>
    <row r="67" spans="1:16" ht="45.6" x14ac:dyDescent="0.3">
      <c r="A67" s="147" t="s">
        <v>184</v>
      </c>
      <c r="B67" s="198" t="s">
        <v>307</v>
      </c>
      <c r="C67" s="186" t="s">
        <v>25</v>
      </c>
      <c r="D67" s="225">
        <v>30</v>
      </c>
      <c r="E67" s="216">
        <v>82000</v>
      </c>
      <c r="F67" s="273">
        <f t="shared" si="22"/>
        <v>2460000</v>
      </c>
      <c r="G67" s="216">
        <v>86000</v>
      </c>
      <c r="H67" s="135">
        <f t="shared" si="11"/>
        <v>2580000</v>
      </c>
      <c r="I67" s="218">
        <v>84000</v>
      </c>
      <c r="J67" s="217">
        <f t="shared" si="11"/>
        <v>2520000</v>
      </c>
      <c r="K67" s="218">
        <f t="shared" si="16"/>
        <v>84000</v>
      </c>
      <c r="L67" s="219">
        <f t="shared" si="20"/>
        <v>2520000</v>
      </c>
      <c r="M67" s="71">
        <f>+K67*(1+$K$79+$K$80+$K$81)+K67*$K$82*$K$81</f>
        <v>114676.80000000002</v>
      </c>
      <c r="N67" s="71">
        <f t="shared" si="21"/>
        <v>3440304</v>
      </c>
      <c r="P67" s="120"/>
    </row>
    <row r="68" spans="1:16" ht="68.400000000000006" x14ac:dyDescent="0.3">
      <c r="A68" s="147" t="s">
        <v>308</v>
      </c>
      <c r="B68" s="198" t="s">
        <v>309</v>
      </c>
      <c r="C68" s="186" t="s">
        <v>25</v>
      </c>
      <c r="D68" s="225">
        <v>30</v>
      </c>
      <c r="E68" s="216">
        <v>50000</v>
      </c>
      <c r="F68" s="273">
        <f t="shared" si="22"/>
        <v>1500000</v>
      </c>
      <c r="G68" s="216">
        <v>52000</v>
      </c>
      <c r="H68" s="135">
        <f t="shared" si="11"/>
        <v>1560000</v>
      </c>
      <c r="I68" s="218">
        <v>51000</v>
      </c>
      <c r="J68" s="217">
        <f t="shared" si="11"/>
        <v>1530000</v>
      </c>
      <c r="K68" s="218">
        <f t="shared" si="16"/>
        <v>51000</v>
      </c>
      <c r="L68" s="219">
        <f t="shared" si="20"/>
        <v>1530000</v>
      </c>
      <c r="M68" s="71">
        <f>+K68*(1+$K$79+$K$80+$K$81)+K68*$K$82*$K$81</f>
        <v>69625.2</v>
      </c>
      <c r="N68" s="71">
        <f t="shared" si="21"/>
        <v>2088756</v>
      </c>
      <c r="P68" s="120"/>
    </row>
    <row r="69" spans="1:16" ht="45.6" x14ac:dyDescent="0.3">
      <c r="A69" s="147" t="s">
        <v>310</v>
      </c>
      <c r="B69" s="198" t="s">
        <v>311</v>
      </c>
      <c r="C69" s="186" t="s">
        <v>25</v>
      </c>
      <c r="D69" s="225">
        <v>140</v>
      </c>
      <c r="E69" s="216">
        <v>24000</v>
      </c>
      <c r="F69" s="273">
        <f t="shared" si="22"/>
        <v>3360000</v>
      </c>
      <c r="G69" s="216">
        <v>26000</v>
      </c>
      <c r="H69" s="135">
        <f t="shared" si="11"/>
        <v>3640000</v>
      </c>
      <c r="I69" s="218">
        <v>25000</v>
      </c>
      <c r="J69" s="217">
        <f t="shared" si="11"/>
        <v>3500000</v>
      </c>
      <c r="K69" s="218">
        <f t="shared" si="16"/>
        <v>25000</v>
      </c>
      <c r="L69" s="219">
        <f t="shared" ref="L69:L74" si="23">$D69*K69</f>
        <v>3500000</v>
      </c>
      <c r="M69" s="71">
        <f t="shared" ref="M69:M74" si="24">+K69*(1+$K$79+$K$80+$K$81)+K69*$K$82*$K$81</f>
        <v>34130</v>
      </c>
      <c r="N69" s="71">
        <f t="shared" ref="N69:N74" si="25">ROUND(M69*D69,4)</f>
        <v>4778200</v>
      </c>
      <c r="P69" s="120"/>
    </row>
    <row r="70" spans="1:16" ht="45.6" x14ac:dyDescent="0.3">
      <c r="A70" s="147" t="s">
        <v>312</v>
      </c>
      <c r="B70" s="198" t="s">
        <v>313</v>
      </c>
      <c r="C70" s="186" t="s">
        <v>25</v>
      </c>
      <c r="D70" s="225">
        <v>80</v>
      </c>
      <c r="E70" s="216">
        <v>33000</v>
      </c>
      <c r="F70" s="273">
        <f t="shared" si="22"/>
        <v>2640000</v>
      </c>
      <c r="G70" s="216">
        <v>34000</v>
      </c>
      <c r="H70" s="135">
        <f t="shared" si="11"/>
        <v>2720000</v>
      </c>
      <c r="I70" s="218">
        <v>33000</v>
      </c>
      <c r="J70" s="217">
        <f t="shared" si="11"/>
        <v>2640000</v>
      </c>
      <c r="K70" s="218">
        <f t="shared" si="16"/>
        <v>33333.33</v>
      </c>
      <c r="L70" s="219">
        <f t="shared" si="23"/>
        <v>2666666.4000000004</v>
      </c>
      <c r="M70" s="71">
        <f t="shared" si="24"/>
        <v>45506.662116000007</v>
      </c>
      <c r="N70" s="71">
        <f t="shared" si="25"/>
        <v>3640532.9693</v>
      </c>
      <c r="P70" s="120"/>
    </row>
    <row r="71" spans="1:16" ht="68.400000000000006" x14ac:dyDescent="0.3">
      <c r="A71" s="147" t="s">
        <v>314</v>
      </c>
      <c r="B71" s="198" t="s">
        <v>206</v>
      </c>
      <c r="C71" s="186" t="s">
        <v>25</v>
      </c>
      <c r="D71" s="225">
        <v>60</v>
      </c>
      <c r="E71" s="216">
        <v>26000</v>
      </c>
      <c r="F71" s="273">
        <f t="shared" si="22"/>
        <v>1560000</v>
      </c>
      <c r="G71" s="216">
        <v>28000</v>
      </c>
      <c r="H71" s="135">
        <f t="shared" si="11"/>
        <v>1680000</v>
      </c>
      <c r="I71" s="218">
        <v>27000</v>
      </c>
      <c r="J71" s="217">
        <f>ROUND($D71*I71,2)</f>
        <v>1620000</v>
      </c>
      <c r="K71" s="218">
        <f t="shared" si="16"/>
        <v>27000</v>
      </c>
      <c r="L71" s="219">
        <f t="shared" si="23"/>
        <v>1620000</v>
      </c>
      <c r="M71" s="71">
        <f t="shared" si="24"/>
        <v>36860.400000000001</v>
      </c>
      <c r="N71" s="71">
        <f t="shared" si="25"/>
        <v>2211624</v>
      </c>
      <c r="P71" s="120"/>
    </row>
    <row r="72" spans="1:16" ht="68.400000000000006" x14ac:dyDescent="0.3">
      <c r="A72" s="147" t="s">
        <v>315</v>
      </c>
      <c r="B72" s="198" t="s">
        <v>316</v>
      </c>
      <c r="C72" s="186" t="s">
        <v>25</v>
      </c>
      <c r="D72" s="225">
        <v>35</v>
      </c>
      <c r="E72" s="216">
        <v>21000</v>
      </c>
      <c r="F72" s="273">
        <f t="shared" si="22"/>
        <v>735000</v>
      </c>
      <c r="G72" s="216">
        <v>22000</v>
      </c>
      <c r="H72" s="135">
        <f t="shared" si="11"/>
        <v>770000</v>
      </c>
      <c r="I72" s="218">
        <v>21000</v>
      </c>
      <c r="J72" s="217">
        <f t="shared" si="11"/>
        <v>735000</v>
      </c>
      <c r="K72" s="218">
        <f t="shared" si="16"/>
        <v>21333.33</v>
      </c>
      <c r="L72" s="219">
        <f t="shared" si="23"/>
        <v>746666.55</v>
      </c>
      <c r="M72" s="71">
        <f t="shared" si="24"/>
        <v>29124.262116000005</v>
      </c>
      <c r="N72" s="71">
        <f t="shared" si="25"/>
        <v>1019349.1740999999</v>
      </c>
      <c r="P72" s="120"/>
    </row>
    <row r="73" spans="1:16" ht="34.200000000000003" x14ac:dyDescent="0.3">
      <c r="A73" s="147" t="s">
        <v>317</v>
      </c>
      <c r="B73" s="198" t="s">
        <v>318</v>
      </c>
      <c r="C73" s="197" t="s">
        <v>25</v>
      </c>
      <c r="D73" s="225">
        <v>35</v>
      </c>
      <c r="E73" s="216">
        <v>42000</v>
      </c>
      <c r="F73" s="273">
        <f t="shared" si="22"/>
        <v>1470000</v>
      </c>
      <c r="G73" s="216">
        <v>44000</v>
      </c>
      <c r="H73" s="135">
        <f t="shared" si="11"/>
        <v>1540000</v>
      </c>
      <c r="I73" s="218">
        <v>43000</v>
      </c>
      <c r="J73" s="217">
        <f>ROUND($D73*I73,2)</f>
        <v>1505000</v>
      </c>
      <c r="K73" s="218">
        <f t="shared" si="16"/>
        <v>43000</v>
      </c>
      <c r="L73" s="219">
        <f t="shared" si="23"/>
        <v>1505000</v>
      </c>
      <c r="M73" s="71">
        <f t="shared" si="24"/>
        <v>58703.600000000006</v>
      </c>
      <c r="N73" s="71">
        <f t="shared" si="25"/>
        <v>2054626</v>
      </c>
      <c r="P73" s="120"/>
    </row>
    <row r="74" spans="1:16" ht="34.200000000000003" x14ac:dyDescent="0.3">
      <c r="A74" s="147" t="s">
        <v>319</v>
      </c>
      <c r="B74" s="138" t="s">
        <v>320</v>
      </c>
      <c r="C74" s="197" t="s">
        <v>32</v>
      </c>
      <c r="D74" s="225">
        <v>4</v>
      </c>
      <c r="E74" s="216">
        <v>67000</v>
      </c>
      <c r="F74" s="273">
        <f t="shared" si="22"/>
        <v>268000</v>
      </c>
      <c r="G74" s="216">
        <v>70000</v>
      </c>
      <c r="H74" s="135">
        <f t="shared" si="11"/>
        <v>280000</v>
      </c>
      <c r="I74" s="218">
        <v>69000</v>
      </c>
      <c r="J74" s="217">
        <f t="shared" si="11"/>
        <v>276000</v>
      </c>
      <c r="K74" s="218">
        <f t="shared" si="16"/>
        <v>68666.67</v>
      </c>
      <c r="L74" s="219">
        <f t="shared" si="23"/>
        <v>274666.68</v>
      </c>
      <c r="M74" s="71">
        <f t="shared" si="24"/>
        <v>93743.737884000016</v>
      </c>
      <c r="N74" s="71">
        <f t="shared" si="25"/>
        <v>374974.95150000002</v>
      </c>
      <c r="P74" s="120"/>
    </row>
    <row r="75" spans="1:16" x14ac:dyDescent="0.3">
      <c r="A75" s="181">
        <v>3</v>
      </c>
      <c r="B75" s="182" t="s">
        <v>219</v>
      </c>
      <c r="C75" s="183"/>
      <c r="D75" s="222"/>
      <c r="E75" s="130"/>
      <c r="F75" s="264">
        <f>SUM(F76:F77)</f>
        <v>3632000</v>
      </c>
      <c r="G75" s="130"/>
      <c r="H75" s="264">
        <f>SUM(H76:H77)</f>
        <v>3803000</v>
      </c>
      <c r="I75" s="254"/>
      <c r="J75" s="264">
        <f>SUM(J76:J77)</f>
        <v>3738000</v>
      </c>
      <c r="K75" s="124"/>
      <c r="L75" s="77"/>
      <c r="M75" s="71"/>
      <c r="N75" s="71"/>
      <c r="P75" s="120"/>
    </row>
    <row r="76" spans="1:16" ht="22.8" x14ac:dyDescent="0.3">
      <c r="A76" s="147" t="s">
        <v>52</v>
      </c>
      <c r="B76" s="138" t="s">
        <v>104</v>
      </c>
      <c r="C76" s="139" t="s">
        <v>38</v>
      </c>
      <c r="D76" s="152">
        <v>40</v>
      </c>
      <c r="E76" s="134">
        <v>65000</v>
      </c>
      <c r="F76" s="246">
        <f t="shared" si="11"/>
        <v>2600000</v>
      </c>
      <c r="G76" s="150">
        <v>68000</v>
      </c>
      <c r="H76" s="135">
        <f t="shared" si="11"/>
        <v>2720000</v>
      </c>
      <c r="I76" s="125">
        <v>67000</v>
      </c>
      <c r="J76" s="135">
        <f t="shared" si="11"/>
        <v>2680000</v>
      </c>
      <c r="K76" s="125">
        <f t="shared" si="16"/>
        <v>66666.67</v>
      </c>
      <c r="L76" s="108">
        <f t="shared" si="17"/>
        <v>2666666.7999999998</v>
      </c>
      <c r="M76" s="71">
        <f>+K76*(1+$K$79+$K$80+$K$81)+K76*$K$82*$K$81</f>
        <v>91013.337884000008</v>
      </c>
      <c r="N76" s="71">
        <f t="shared" si="2"/>
        <v>3640533.5153999999</v>
      </c>
      <c r="P76" s="120">
        <f t="shared" si="4"/>
        <v>3640533.5153999999</v>
      </c>
    </row>
    <row r="77" spans="1:16" ht="12.6" thickBot="1" x14ac:dyDescent="0.35">
      <c r="A77" s="147" t="s">
        <v>321</v>
      </c>
      <c r="B77" s="138" t="s">
        <v>106</v>
      </c>
      <c r="C77" s="139" t="s">
        <v>32</v>
      </c>
      <c r="D77" s="152">
        <v>1</v>
      </c>
      <c r="E77" s="134">
        <v>1032000</v>
      </c>
      <c r="F77" s="246">
        <f t="shared" si="11"/>
        <v>1032000</v>
      </c>
      <c r="G77" s="257">
        <v>1083000</v>
      </c>
      <c r="H77" s="258">
        <f t="shared" si="11"/>
        <v>1083000</v>
      </c>
      <c r="I77" s="125">
        <v>1058000</v>
      </c>
      <c r="J77" s="135">
        <f t="shared" si="11"/>
        <v>1058000</v>
      </c>
      <c r="K77" s="125">
        <f t="shared" si="16"/>
        <v>1057666.67</v>
      </c>
      <c r="L77" s="108">
        <f t="shared" si="17"/>
        <v>1057666.67</v>
      </c>
      <c r="M77" s="71">
        <f>+K77*(1+$K$79+$K$80+$K$81)+K77*$K$82*$K$81</f>
        <v>1443926.537884</v>
      </c>
      <c r="N77" s="71">
        <f t="shared" si="2"/>
        <v>1443926.5379000001</v>
      </c>
      <c r="P77" s="120">
        <f t="shared" si="4"/>
        <v>1443926.5379000001</v>
      </c>
    </row>
    <row r="78" spans="1:16" s="87" customFormat="1" x14ac:dyDescent="0.2">
      <c r="A78" s="314" t="s">
        <v>220</v>
      </c>
      <c r="B78" s="315"/>
      <c r="C78" s="315"/>
      <c r="D78" s="315"/>
      <c r="E78" s="335">
        <f>F5+F52+F75</f>
        <v>355909050</v>
      </c>
      <c r="F78" s="336"/>
      <c r="G78" s="335">
        <f>H5+H52+H75</f>
        <v>373497580</v>
      </c>
      <c r="H78" s="336"/>
      <c r="I78" s="335">
        <f>J5+J52+J75</f>
        <v>364442780</v>
      </c>
      <c r="J78" s="336"/>
      <c r="K78" s="285">
        <f>+ROUND(SUM(L7:L77),4)</f>
        <v>364616468.5711</v>
      </c>
      <c r="L78" s="286"/>
      <c r="N78" s="119">
        <f>+SUM(N7:N77)</f>
        <v>497774402.89339983</v>
      </c>
      <c r="O78" s="117"/>
      <c r="P78" s="120">
        <f t="shared" si="4"/>
        <v>497774402.89339983</v>
      </c>
    </row>
    <row r="79" spans="1:16" s="86" customFormat="1" x14ac:dyDescent="0.2">
      <c r="A79" s="318"/>
      <c r="B79" s="319"/>
      <c r="C79" s="320"/>
      <c r="D79" s="123" t="s">
        <v>221</v>
      </c>
      <c r="E79" s="136">
        <v>0.25</v>
      </c>
      <c r="F79" s="141">
        <f>E$78*E79</f>
        <v>88977262.5</v>
      </c>
      <c r="G79" s="127">
        <v>0.25</v>
      </c>
      <c r="H79" s="137">
        <f>G$78*G79</f>
        <v>93374395</v>
      </c>
      <c r="I79" s="136">
        <v>0.25</v>
      </c>
      <c r="J79" s="137">
        <f>I$78*I79</f>
        <v>91110695</v>
      </c>
      <c r="K79" s="127">
        <f>ROUND(AVERAGE(E79,G79,I79),4)</f>
        <v>0.25</v>
      </c>
      <c r="L79" s="109">
        <f>ROUND(K$78*K79,2)</f>
        <v>91154117.140000001</v>
      </c>
      <c r="M79" s="85"/>
      <c r="N79" s="85"/>
      <c r="O79" s="117"/>
      <c r="P79" s="120">
        <f t="shared" si="4"/>
        <v>0</v>
      </c>
    </row>
    <row r="80" spans="1:16" s="86" customFormat="1" x14ac:dyDescent="0.2">
      <c r="A80" s="318"/>
      <c r="B80" s="319"/>
      <c r="C80" s="320"/>
      <c r="D80" s="123" t="s">
        <v>222</v>
      </c>
      <c r="E80" s="136">
        <v>0.02</v>
      </c>
      <c r="F80" s="141">
        <f>E$78*E80</f>
        <v>7118181</v>
      </c>
      <c r="G80" s="127">
        <v>0.02</v>
      </c>
      <c r="H80" s="137">
        <f>G$78*G80</f>
        <v>7469951.6000000006</v>
      </c>
      <c r="I80" s="136">
        <v>0.02</v>
      </c>
      <c r="J80" s="137">
        <f>I$78*I80</f>
        <v>7288855.6000000006</v>
      </c>
      <c r="K80" s="127">
        <f>ROUND(AVERAGE(E80,G80,I80),4)</f>
        <v>0.02</v>
      </c>
      <c r="L80" s="109">
        <f>ROUND(K$78*K80,2)</f>
        <v>7292329.3700000001</v>
      </c>
      <c r="M80" s="85"/>
      <c r="N80" s="85"/>
      <c r="O80" s="117"/>
      <c r="P80" s="120">
        <f t="shared" si="4"/>
        <v>0</v>
      </c>
    </row>
    <row r="81" spans="1:16" s="86" customFormat="1" x14ac:dyDescent="0.2">
      <c r="A81" s="318"/>
      <c r="B81" s="319"/>
      <c r="C81" s="320"/>
      <c r="D81" s="123" t="s">
        <v>223</v>
      </c>
      <c r="E81" s="136">
        <v>0.08</v>
      </c>
      <c r="F81" s="141">
        <f>E$78*E81</f>
        <v>28472724</v>
      </c>
      <c r="G81" s="127">
        <v>0.08</v>
      </c>
      <c r="H81" s="137">
        <f>G$78*G81</f>
        <v>29879806.400000002</v>
      </c>
      <c r="I81" s="136">
        <v>0.08</v>
      </c>
      <c r="J81" s="137">
        <f>I$78*I81</f>
        <v>29155422.400000002</v>
      </c>
      <c r="K81" s="127">
        <f>ROUND(AVERAGE(E81,G81,I81),4)</f>
        <v>0.08</v>
      </c>
      <c r="L81" s="109">
        <f>ROUND(K$78*K81,2)</f>
        <v>29169317.489999998</v>
      </c>
      <c r="M81" s="85"/>
      <c r="N81" s="85"/>
      <c r="O81" s="117"/>
      <c r="P81" s="120">
        <f t="shared" si="4"/>
        <v>0</v>
      </c>
    </row>
    <row r="82" spans="1:16" s="86" customFormat="1" x14ac:dyDescent="0.2">
      <c r="A82" s="318"/>
      <c r="B82" s="319"/>
      <c r="C82" s="320"/>
      <c r="D82" s="123" t="s">
        <v>224</v>
      </c>
      <c r="E82" s="136">
        <v>0.19</v>
      </c>
      <c r="F82" s="141">
        <f>+F81*E82</f>
        <v>5409817.5600000005</v>
      </c>
      <c r="G82" s="127">
        <v>0.19</v>
      </c>
      <c r="H82" s="137">
        <f>+H81*G82</f>
        <v>5677163.2160000009</v>
      </c>
      <c r="I82" s="136">
        <v>0.19</v>
      </c>
      <c r="J82" s="137">
        <f>+J81*I82</f>
        <v>5539530.2560000001</v>
      </c>
      <c r="K82" s="127">
        <v>0.19</v>
      </c>
      <c r="L82" s="109">
        <f>ROUND(L$81*K82,2)</f>
        <v>5542170.3200000003</v>
      </c>
      <c r="M82" s="85"/>
      <c r="N82" s="85"/>
      <c r="O82" s="117"/>
      <c r="P82" s="120">
        <f t="shared" si="4"/>
        <v>0</v>
      </c>
    </row>
    <row r="83" spans="1:16" s="87" customFormat="1" ht="12.6" thickBot="1" x14ac:dyDescent="0.25">
      <c r="A83" s="314" t="s">
        <v>7</v>
      </c>
      <c r="B83" s="315"/>
      <c r="C83" s="315"/>
      <c r="D83" s="315"/>
      <c r="E83" s="316">
        <f>+E78+F79+F80+F81+F82</f>
        <v>485887035.06</v>
      </c>
      <c r="F83" s="297"/>
      <c r="G83" s="296">
        <f>+G78+H79+H80+H81+H82</f>
        <v>509898896.21600002</v>
      </c>
      <c r="H83" s="297"/>
      <c r="I83" s="316">
        <f>+I78+J79+J80+J81+J82</f>
        <v>497537283.25599998</v>
      </c>
      <c r="J83" s="297"/>
      <c r="K83" s="287">
        <f>ROUND(K78+L79+L80+L81+L82,2)</f>
        <v>497774402.88999999</v>
      </c>
      <c r="L83" s="288"/>
      <c r="M83" s="85"/>
      <c r="N83" s="85"/>
      <c r="O83" s="117"/>
      <c r="P83" s="120">
        <f t="shared" si="4"/>
        <v>0</v>
      </c>
    </row>
    <row r="84" spans="1:16" x14ac:dyDescent="0.2">
      <c r="A84" s="325"/>
      <c r="B84" s="326"/>
      <c r="C84" s="326"/>
      <c r="D84" s="326"/>
      <c r="E84" s="327"/>
      <c r="F84" s="327"/>
      <c r="G84" s="327"/>
      <c r="H84" s="327"/>
      <c r="I84" s="327"/>
      <c r="J84" s="328"/>
      <c r="K84" s="88"/>
      <c r="O84" s="117"/>
      <c r="P84" s="86"/>
    </row>
    <row r="85" spans="1:16" s="91" customFormat="1" ht="12.6" thickBot="1" x14ac:dyDescent="0.25">
      <c r="A85" s="321" t="s">
        <v>225</v>
      </c>
      <c r="B85" s="322"/>
      <c r="C85" s="322"/>
      <c r="D85" s="322"/>
      <c r="E85" s="322"/>
      <c r="F85" s="322"/>
      <c r="G85" s="323"/>
      <c r="H85" s="323"/>
      <c r="I85" s="322"/>
      <c r="J85" s="333"/>
      <c r="K85" s="90"/>
      <c r="L85" s="90"/>
      <c r="M85" s="85"/>
      <c r="N85" s="85"/>
      <c r="O85" s="117"/>
      <c r="P85" s="86"/>
    </row>
    <row r="86" spans="1:16" s="91" customFormat="1" x14ac:dyDescent="0.2">
      <c r="A86" s="92" t="s">
        <v>2</v>
      </c>
      <c r="B86" s="93" t="s">
        <v>3</v>
      </c>
      <c r="C86" s="92" t="s">
        <v>4</v>
      </c>
      <c r="D86" s="94" t="s">
        <v>5</v>
      </c>
      <c r="E86" s="95" t="s">
        <v>226</v>
      </c>
      <c r="F86" s="259" t="s">
        <v>227</v>
      </c>
      <c r="G86" s="157" t="s">
        <v>226</v>
      </c>
      <c r="H86" s="158" t="s">
        <v>227</v>
      </c>
      <c r="I86" s="154" t="s">
        <v>226</v>
      </c>
      <c r="J86" s="96" t="s">
        <v>227</v>
      </c>
      <c r="K86" s="95" t="s">
        <v>226</v>
      </c>
      <c r="L86" s="96" t="s">
        <v>227</v>
      </c>
      <c r="M86" s="85"/>
      <c r="N86" s="85"/>
      <c r="O86" s="118"/>
    </row>
    <row r="87" spans="1:16" s="81" customFormat="1" x14ac:dyDescent="0.3">
      <c r="A87" s="208">
        <v>4</v>
      </c>
      <c r="B87" s="205" t="s">
        <v>72</v>
      </c>
      <c r="C87" s="206"/>
      <c r="D87" s="207"/>
      <c r="E87" s="207"/>
      <c r="F87" s="223"/>
      <c r="G87" s="231"/>
      <c r="H87" s="232"/>
      <c r="I87" s="228"/>
      <c r="J87" s="207"/>
      <c r="K87" s="207"/>
      <c r="L87" s="207"/>
      <c r="M87" s="80"/>
      <c r="N87" s="80"/>
      <c r="O87" s="114"/>
    </row>
    <row r="88" spans="1:16" ht="130.94999999999999" customHeight="1" x14ac:dyDescent="0.3">
      <c r="A88" s="147" t="s">
        <v>55</v>
      </c>
      <c r="B88" s="198" t="s">
        <v>228</v>
      </c>
      <c r="C88" s="186" t="s">
        <v>32</v>
      </c>
      <c r="D88" s="187">
        <v>4</v>
      </c>
      <c r="E88" s="106">
        <v>2667000</v>
      </c>
      <c r="F88" s="260">
        <f t="shared" ref="F88:F90" si="26">ROUND($D88*E88,2)</f>
        <v>10668000</v>
      </c>
      <c r="G88" s="241">
        <v>2800000</v>
      </c>
      <c r="H88" s="162">
        <f t="shared" ref="H88:H90" si="27">ROUND($D88*G88,2)</f>
        <v>11200000</v>
      </c>
      <c r="I88" s="156">
        <v>2735000</v>
      </c>
      <c r="J88" s="72">
        <f t="shared" ref="J88:J90" si="28">ROUND($D88*I88,2)</f>
        <v>10940000</v>
      </c>
      <c r="K88" s="106">
        <f>ROUND(AVERAGE(G88,E88,I88),2)</f>
        <v>2734000</v>
      </c>
      <c r="L88" s="72">
        <f t="shared" ref="L88:L90" si="29">ROUND($D88*K88,2)</f>
        <v>10936000</v>
      </c>
      <c r="M88" s="71">
        <f>+K88+K88*$K$92</f>
        <v>3253460</v>
      </c>
      <c r="N88" s="71">
        <f>ROUND(M88*D88,4)</f>
        <v>13013840</v>
      </c>
    </row>
    <row r="89" spans="1:16" ht="142.94999999999999" customHeight="1" x14ac:dyDescent="0.3">
      <c r="A89" s="147" t="s">
        <v>57</v>
      </c>
      <c r="B89" s="198" t="s">
        <v>229</v>
      </c>
      <c r="C89" s="186" t="s">
        <v>32</v>
      </c>
      <c r="D89" s="187">
        <v>2</v>
      </c>
      <c r="E89" s="106">
        <v>3252000</v>
      </c>
      <c r="F89" s="260">
        <f t="shared" si="26"/>
        <v>6504000</v>
      </c>
      <c r="G89" s="241">
        <v>3413000</v>
      </c>
      <c r="H89" s="162">
        <f t="shared" si="27"/>
        <v>6826000</v>
      </c>
      <c r="I89" s="156">
        <v>3334000</v>
      </c>
      <c r="J89" s="72">
        <f t="shared" si="28"/>
        <v>6668000</v>
      </c>
      <c r="K89" s="106">
        <f>ROUND(AVERAGE(G89,E89,I89),2)</f>
        <v>3333000</v>
      </c>
      <c r="L89" s="72">
        <f t="shared" si="29"/>
        <v>6666000</v>
      </c>
      <c r="M89" s="71">
        <f>+K89+K89*$K$92</f>
        <v>3966270</v>
      </c>
      <c r="N89" s="71">
        <f>ROUND(M89*D89,4)</f>
        <v>7932540</v>
      </c>
    </row>
    <row r="90" spans="1:16" ht="43.2" customHeight="1" thickBot="1" x14ac:dyDescent="0.35">
      <c r="A90" s="147" t="s">
        <v>59</v>
      </c>
      <c r="B90" s="138" t="s">
        <v>322</v>
      </c>
      <c r="C90" s="139" t="s">
        <v>32</v>
      </c>
      <c r="D90" s="187">
        <v>4</v>
      </c>
      <c r="E90" s="106">
        <v>2304000</v>
      </c>
      <c r="F90" s="260">
        <f t="shared" si="26"/>
        <v>9216000</v>
      </c>
      <c r="G90" s="244">
        <v>2419000</v>
      </c>
      <c r="H90" s="243">
        <f t="shared" si="27"/>
        <v>9676000</v>
      </c>
      <c r="I90" s="156">
        <v>2363000</v>
      </c>
      <c r="J90" s="72">
        <f t="shared" si="28"/>
        <v>9452000</v>
      </c>
      <c r="K90" s="106">
        <f t="shared" ref="K90" si="30">ROUND(AVERAGE(G90,E90,I90),2)</f>
        <v>2362000</v>
      </c>
      <c r="L90" s="72">
        <f t="shared" si="29"/>
        <v>9448000</v>
      </c>
      <c r="M90" s="71">
        <f>+K90+K90*$K$92</f>
        <v>2810780</v>
      </c>
      <c r="N90" s="71">
        <f t="shared" ref="N90" si="31">ROUND(M90*D90,4)</f>
        <v>11243120</v>
      </c>
    </row>
    <row r="91" spans="1:16" s="87" customFormat="1" x14ac:dyDescent="0.2">
      <c r="A91" s="314" t="s">
        <v>220</v>
      </c>
      <c r="B91" s="315"/>
      <c r="C91" s="315"/>
      <c r="D91" s="331"/>
      <c r="E91" s="332">
        <f>SUM(F88:F90)</f>
        <v>26388000</v>
      </c>
      <c r="F91" s="332"/>
      <c r="G91" s="334">
        <f>SUM(H88:H90)</f>
        <v>27702000</v>
      </c>
      <c r="H91" s="334"/>
      <c r="I91" s="288">
        <f>SUM(J88:J90)</f>
        <v>27060000</v>
      </c>
      <c r="J91" s="288"/>
      <c r="K91" s="288">
        <f>ROUND(SUM(L88:L90),2)</f>
        <v>27050000</v>
      </c>
      <c r="L91" s="288"/>
      <c r="M91" s="288">
        <f>ROUND(SUM(N88:N90),2)</f>
        <v>32189500</v>
      </c>
      <c r="N91" s="329"/>
      <c r="O91" s="110"/>
    </row>
    <row r="92" spans="1:16" s="86" customFormat="1" x14ac:dyDescent="0.2">
      <c r="A92" s="318"/>
      <c r="B92" s="319"/>
      <c r="C92" s="320"/>
      <c r="D92" s="97" t="s">
        <v>224</v>
      </c>
      <c r="E92" s="142">
        <v>0.19</v>
      </c>
      <c r="F92" s="143">
        <f>E91*E92</f>
        <v>5013720</v>
      </c>
      <c r="G92" s="98">
        <v>0.19</v>
      </c>
      <c r="H92" s="109">
        <f>G91*G92</f>
        <v>5263380</v>
      </c>
      <c r="I92" s="98">
        <v>0.19</v>
      </c>
      <c r="J92" s="109">
        <f>I91*I92</f>
        <v>5141400</v>
      </c>
      <c r="K92" s="99">
        <f>+AVERAGE(G92,E92,I92)</f>
        <v>0.19000000000000003</v>
      </c>
      <c r="L92" s="109">
        <f>+ROUND(K91*K92,2)</f>
        <v>5139500</v>
      </c>
      <c r="M92" s="85"/>
      <c r="N92" s="85"/>
      <c r="O92" s="110"/>
    </row>
    <row r="93" spans="1:16" s="87" customFormat="1" x14ac:dyDescent="0.2">
      <c r="A93" s="314" t="s">
        <v>7</v>
      </c>
      <c r="B93" s="315"/>
      <c r="C93" s="315"/>
      <c r="D93" s="331"/>
      <c r="E93" s="332">
        <f>+F92+E91</f>
        <v>31401720</v>
      </c>
      <c r="F93" s="332"/>
      <c r="G93" s="288">
        <f>+H92+G91</f>
        <v>32965380</v>
      </c>
      <c r="H93" s="288"/>
      <c r="I93" s="288">
        <f>+J92+I91</f>
        <v>32201400</v>
      </c>
      <c r="J93" s="288"/>
      <c r="K93" s="288">
        <f>ROUND(L92+K91,2)</f>
        <v>32189500</v>
      </c>
      <c r="L93" s="288"/>
      <c r="M93" s="85"/>
      <c r="N93" s="85"/>
      <c r="O93" s="110"/>
    </row>
    <row r="94" spans="1:16" s="91" customFormat="1" x14ac:dyDescent="0.2">
      <c r="A94" s="311"/>
      <c r="B94" s="312"/>
      <c r="C94" s="312"/>
      <c r="D94" s="313"/>
      <c r="E94" s="330">
        <f>+E93+E83</f>
        <v>517288755.06</v>
      </c>
      <c r="F94" s="330"/>
      <c r="G94" s="284">
        <f>+G93+G83</f>
        <v>542864276.21600008</v>
      </c>
      <c r="H94" s="284"/>
      <c r="I94" s="330">
        <f>+I93+I83</f>
        <v>529738683.25599998</v>
      </c>
      <c r="J94" s="330"/>
      <c r="K94" s="284">
        <f>+K93+K83</f>
        <v>529963902.88999999</v>
      </c>
      <c r="L94" s="284"/>
      <c r="M94" s="85"/>
      <c r="N94" s="85">
        <f>+M91+N78</f>
        <v>529963902.89339983</v>
      </c>
      <c r="O94" s="118"/>
    </row>
    <row r="95" spans="1:16" ht="11.4" x14ac:dyDescent="0.3">
      <c r="A95" s="74"/>
      <c r="B95" s="74"/>
      <c r="C95" s="74"/>
      <c r="D95" s="74"/>
      <c r="E95" s="74"/>
      <c r="F95" s="74"/>
      <c r="G95" s="74"/>
      <c r="H95" s="74"/>
      <c r="I95" s="74"/>
      <c r="J95" s="74"/>
      <c r="K95" s="74"/>
      <c r="L95" s="74"/>
    </row>
    <row r="96" spans="1:16" ht="11.4" x14ac:dyDescent="0.3">
      <c r="A96" s="74"/>
      <c r="B96" s="74"/>
      <c r="C96" s="74"/>
      <c r="D96" s="74"/>
      <c r="E96" s="74"/>
      <c r="F96" s="74"/>
      <c r="G96" s="74"/>
      <c r="H96" s="74"/>
      <c r="I96" s="74"/>
      <c r="J96" s="74"/>
      <c r="K96" s="74"/>
      <c r="L96" s="74"/>
    </row>
    <row r="97" spans="1:12" ht="11.4" x14ac:dyDescent="0.3">
      <c r="A97" s="74"/>
      <c r="B97" s="74"/>
      <c r="C97" s="74"/>
      <c r="D97" s="74"/>
      <c r="E97" s="74"/>
      <c r="F97" s="74"/>
      <c r="G97" s="74"/>
      <c r="H97" s="166">
        <f>K94+'Viviendas Fiscales'!L102</f>
        <v>853824437.63</v>
      </c>
      <c r="I97" s="74"/>
      <c r="J97" s="74"/>
      <c r="K97" s="74"/>
      <c r="L97" s="74"/>
    </row>
    <row r="98" spans="1:12" ht="11.4" x14ac:dyDescent="0.3">
      <c r="A98" s="74"/>
      <c r="B98" s="74"/>
      <c r="C98" s="74"/>
      <c r="D98" s="74"/>
      <c r="E98" s="74"/>
      <c r="F98" s="74"/>
      <c r="G98" s="74"/>
      <c r="H98" s="74"/>
      <c r="I98" s="74"/>
      <c r="J98" s="74"/>
      <c r="K98" s="74"/>
      <c r="L98" s="74"/>
    </row>
    <row r="99" spans="1:12" ht="11.4" x14ac:dyDescent="0.3">
      <c r="A99" s="74"/>
      <c r="B99" s="74"/>
      <c r="C99" s="74"/>
      <c r="D99" s="74"/>
      <c r="E99" s="74"/>
      <c r="F99" s="74"/>
      <c r="G99" s="74"/>
      <c r="H99" s="74"/>
      <c r="I99" s="74"/>
      <c r="J99" s="74"/>
      <c r="K99" s="74"/>
      <c r="L99" s="74"/>
    </row>
    <row r="100" spans="1:12" ht="11.4" x14ac:dyDescent="0.2">
      <c r="A100" s="74"/>
      <c r="B100" s="74"/>
      <c r="C100" s="74"/>
      <c r="D100" s="74"/>
      <c r="E100" s="74"/>
      <c r="F100" s="74"/>
      <c r="G100" s="74"/>
      <c r="H100" s="74"/>
      <c r="I100" s="74"/>
      <c r="J100" s="74"/>
      <c r="L100" s="74"/>
    </row>
    <row r="101" spans="1:12" ht="11.4" x14ac:dyDescent="0.3">
      <c r="A101" s="74"/>
      <c r="B101" s="74"/>
      <c r="C101" s="74"/>
      <c r="D101" s="74"/>
      <c r="E101" s="74"/>
      <c r="F101" s="74"/>
      <c r="G101" s="74"/>
      <c r="H101" s="74"/>
      <c r="I101" s="74"/>
      <c r="J101" s="74"/>
      <c r="K101" s="74"/>
      <c r="L101" s="74"/>
    </row>
    <row r="102" spans="1:12" ht="11.4" x14ac:dyDescent="0.3">
      <c r="A102" s="74"/>
      <c r="B102" s="74"/>
      <c r="C102" s="74"/>
      <c r="D102" s="74"/>
      <c r="E102" s="74"/>
      <c r="F102" s="74"/>
      <c r="G102" s="74"/>
      <c r="H102" s="74"/>
      <c r="I102" s="74"/>
      <c r="J102" s="74"/>
      <c r="K102" s="74"/>
      <c r="L102" s="74"/>
    </row>
    <row r="103" spans="1:12" ht="11.4" x14ac:dyDescent="0.3">
      <c r="A103" s="74"/>
      <c r="B103" s="74"/>
      <c r="C103" s="74"/>
      <c r="D103" s="74"/>
      <c r="E103" s="74"/>
      <c r="F103" s="74"/>
      <c r="G103" s="74"/>
      <c r="H103" s="74"/>
      <c r="I103" s="74"/>
      <c r="J103" s="74"/>
      <c r="K103" s="74"/>
      <c r="L103" s="74"/>
    </row>
    <row r="104" spans="1:12" ht="11.4" x14ac:dyDescent="0.3">
      <c r="A104" s="74"/>
      <c r="B104" s="74"/>
      <c r="C104" s="74"/>
      <c r="D104" s="74"/>
      <c r="E104" s="74"/>
      <c r="F104" s="74"/>
      <c r="G104" s="74"/>
      <c r="H104" s="74"/>
      <c r="I104" s="74"/>
      <c r="J104" s="74"/>
      <c r="K104" s="74"/>
      <c r="L104" s="74"/>
    </row>
    <row r="105" spans="1:12" ht="11.4" x14ac:dyDescent="0.3">
      <c r="A105" s="74"/>
      <c r="B105" s="74"/>
      <c r="C105" s="74"/>
      <c r="D105" s="74"/>
      <c r="E105" s="74"/>
      <c r="F105" s="74"/>
      <c r="G105" s="74"/>
      <c r="H105" s="74"/>
      <c r="I105" s="74"/>
      <c r="J105" s="74"/>
      <c r="K105" s="74"/>
      <c r="L105" s="74"/>
    </row>
    <row r="106" spans="1:12" ht="11.4" x14ac:dyDescent="0.3">
      <c r="A106" s="74"/>
      <c r="B106" s="74"/>
      <c r="C106" s="74"/>
      <c r="D106" s="74"/>
      <c r="E106" s="74"/>
      <c r="F106" s="74"/>
      <c r="G106" s="74"/>
      <c r="H106" s="74"/>
      <c r="I106" s="74"/>
      <c r="J106" s="74"/>
      <c r="K106" s="74"/>
      <c r="L106" s="74"/>
    </row>
    <row r="107" spans="1:12" ht="11.4" x14ac:dyDescent="0.3">
      <c r="A107" s="74"/>
      <c r="B107" s="74"/>
      <c r="C107" s="74"/>
      <c r="D107" s="74"/>
      <c r="E107" s="74"/>
      <c r="F107" s="74"/>
      <c r="G107" s="74"/>
      <c r="H107" s="74"/>
      <c r="I107" s="74"/>
      <c r="J107" s="74"/>
      <c r="K107" s="74"/>
      <c r="L107" s="74"/>
    </row>
    <row r="108" spans="1:12" ht="11.4" x14ac:dyDescent="0.3">
      <c r="A108" s="74"/>
      <c r="B108" s="74"/>
      <c r="C108" s="74"/>
      <c r="D108" s="74"/>
      <c r="E108" s="74"/>
      <c r="F108" s="74"/>
      <c r="G108" s="74"/>
      <c r="H108" s="74"/>
      <c r="I108" s="74"/>
      <c r="J108" s="74"/>
      <c r="K108" s="74"/>
      <c r="L108" s="74"/>
    </row>
    <row r="109" spans="1:12" ht="11.4" x14ac:dyDescent="0.3">
      <c r="A109" s="74"/>
      <c r="B109" s="74"/>
      <c r="C109" s="74"/>
      <c r="D109" s="74"/>
      <c r="E109" s="74"/>
      <c r="F109" s="74"/>
      <c r="G109" s="74"/>
      <c r="H109" s="74"/>
      <c r="I109" s="74"/>
      <c r="J109" s="74"/>
      <c r="K109" s="74"/>
      <c r="L109" s="74"/>
    </row>
    <row r="110" spans="1:12" ht="11.4" x14ac:dyDescent="0.3">
      <c r="A110" s="74"/>
      <c r="B110" s="74"/>
      <c r="C110" s="74"/>
      <c r="D110" s="74"/>
      <c r="E110" s="74"/>
      <c r="F110" s="74"/>
      <c r="G110" s="74"/>
      <c r="H110" s="74"/>
      <c r="I110" s="74"/>
      <c r="J110" s="74"/>
      <c r="K110" s="74"/>
      <c r="L110" s="74"/>
    </row>
    <row r="111" spans="1:12" x14ac:dyDescent="0.2">
      <c r="E111" s="104"/>
      <c r="F111" s="104"/>
    </row>
    <row r="112" spans="1:12" x14ac:dyDescent="0.2">
      <c r="E112" s="105"/>
      <c r="F112" s="105"/>
    </row>
    <row r="114" spans="5:6" x14ac:dyDescent="0.2">
      <c r="E114" s="105"/>
      <c r="F114" s="105"/>
    </row>
  </sheetData>
  <mergeCells count="42">
    <mergeCell ref="A79:C79"/>
    <mergeCell ref="A1:L2"/>
    <mergeCell ref="A3:A4"/>
    <mergeCell ref="B3:B4"/>
    <mergeCell ref="C3:C4"/>
    <mergeCell ref="D3:D4"/>
    <mergeCell ref="E3:F3"/>
    <mergeCell ref="G3:H3"/>
    <mergeCell ref="I3:J3"/>
    <mergeCell ref="K3:L3"/>
    <mergeCell ref="A78:D78"/>
    <mergeCell ref="E78:F78"/>
    <mergeCell ref="G78:H78"/>
    <mergeCell ref="I78:J78"/>
    <mergeCell ref="K78:L78"/>
    <mergeCell ref="A80:C80"/>
    <mergeCell ref="A81:C81"/>
    <mergeCell ref="A82:C82"/>
    <mergeCell ref="A83:D83"/>
    <mergeCell ref="E83:F83"/>
    <mergeCell ref="I83:J83"/>
    <mergeCell ref="K83:L83"/>
    <mergeCell ref="A84:J84"/>
    <mergeCell ref="A85:J85"/>
    <mergeCell ref="A91:D91"/>
    <mergeCell ref="E91:F91"/>
    <mergeCell ref="G91:H91"/>
    <mergeCell ref="I91:J91"/>
    <mergeCell ref="K91:L91"/>
    <mergeCell ref="G83:H83"/>
    <mergeCell ref="M91:N91"/>
    <mergeCell ref="A92:C92"/>
    <mergeCell ref="A93:D93"/>
    <mergeCell ref="E93:F93"/>
    <mergeCell ref="G93:H93"/>
    <mergeCell ref="I93:J93"/>
    <mergeCell ref="K93:L93"/>
    <mergeCell ref="A94:D94"/>
    <mergeCell ref="E94:F94"/>
    <mergeCell ref="G94:H94"/>
    <mergeCell ref="I94:J94"/>
    <mergeCell ref="K94:L94"/>
  </mergeCells>
  <phoneticPr fontId="17" type="noConversion"/>
  <pageMargins left="0.7" right="0.7" top="0.75" bottom="0.75" header="0.3" footer="0.3"/>
  <pageSetup scale="28" orientation="portrait" r:id="rId1"/>
  <rowBreaks count="1" manualBreakCount="1">
    <brk id="61" max="1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2D10E3-17F7-41D6-91DA-60952A7D2C80}">
  <dimension ref="A1:Q122"/>
  <sheetViews>
    <sheetView view="pageBreakPreview" zoomScale="80" zoomScaleNormal="100" zoomScaleSheetLayoutView="80" workbookViewId="0">
      <selection activeCell="J106" sqref="J106"/>
    </sheetView>
  </sheetViews>
  <sheetFormatPr baseColWidth="10" defaultColWidth="11.44140625" defaultRowHeight="12" x14ac:dyDescent="0.2"/>
  <cols>
    <col min="1" max="2" width="10.6640625" style="100" customWidth="1"/>
    <col min="3" max="3" width="47.33203125" style="101" customWidth="1"/>
    <col min="4" max="4" width="11.88671875" style="102" customWidth="1"/>
    <col min="5" max="5" width="12.88671875" style="103" customWidth="1"/>
    <col min="6" max="7" width="17.88671875" style="89" customWidth="1"/>
    <col min="8" max="8" width="18" style="89" customWidth="1"/>
    <col min="9" max="9" width="20.33203125" style="89" bestFit="1" customWidth="1"/>
    <col min="10" max="11" width="20.33203125" style="89" customWidth="1"/>
    <col min="12" max="12" width="21.109375" style="89" customWidth="1"/>
    <col min="13" max="13" width="17.88671875" style="89" customWidth="1"/>
    <col min="14" max="15" width="19" style="85" customWidth="1"/>
    <col min="16" max="16" width="16.5546875" style="110" bestFit="1" customWidth="1"/>
    <col min="17" max="17" width="16.33203125" style="74" bestFit="1" customWidth="1"/>
    <col min="18" max="16384" width="11.44140625" style="74"/>
  </cols>
  <sheetData>
    <row r="1" spans="1:17" ht="12" customHeight="1" x14ac:dyDescent="0.3">
      <c r="A1" s="300" t="s">
        <v>107</v>
      </c>
      <c r="B1" s="300"/>
      <c r="C1" s="300"/>
      <c r="D1" s="300"/>
      <c r="E1" s="300"/>
      <c r="F1" s="300"/>
      <c r="G1" s="300"/>
      <c r="H1" s="300"/>
      <c r="I1" s="300"/>
      <c r="J1" s="300"/>
      <c r="K1" s="300"/>
      <c r="L1" s="300"/>
      <c r="M1" s="300"/>
      <c r="N1" s="73"/>
      <c r="O1" s="73"/>
    </row>
    <row r="2" spans="1:17" ht="12" customHeight="1" thickBot="1" x14ac:dyDescent="0.35">
      <c r="A2" s="300"/>
      <c r="B2" s="300"/>
      <c r="C2" s="300"/>
      <c r="D2" s="300"/>
      <c r="E2" s="300"/>
      <c r="F2" s="301"/>
      <c r="G2" s="301"/>
      <c r="H2" s="301"/>
      <c r="I2" s="301"/>
      <c r="J2" s="301"/>
      <c r="K2" s="301"/>
      <c r="L2" s="300"/>
      <c r="M2" s="300"/>
      <c r="N2" s="73"/>
      <c r="O2" s="73"/>
    </row>
    <row r="3" spans="1:17" s="75" customFormat="1" ht="18.600000000000001" customHeight="1" x14ac:dyDescent="0.3">
      <c r="A3" s="309" t="s">
        <v>2</v>
      </c>
      <c r="B3" s="167"/>
      <c r="C3" s="309" t="s">
        <v>108</v>
      </c>
      <c r="D3" s="309" t="s">
        <v>109</v>
      </c>
      <c r="E3" s="310" t="s">
        <v>5</v>
      </c>
      <c r="F3" s="302" t="s">
        <v>110</v>
      </c>
      <c r="G3" s="308"/>
      <c r="H3" s="302" t="s">
        <v>111</v>
      </c>
      <c r="I3" s="308"/>
      <c r="J3" s="302" t="s">
        <v>232</v>
      </c>
      <c r="K3" s="308"/>
      <c r="L3" s="306" t="s">
        <v>8</v>
      </c>
      <c r="M3" s="307"/>
      <c r="N3" s="73"/>
      <c r="O3" s="73"/>
      <c r="P3" s="111"/>
    </row>
    <row r="4" spans="1:17" s="76" customFormat="1" ht="40.950000000000003" customHeight="1" x14ac:dyDescent="0.3">
      <c r="A4" s="309"/>
      <c r="B4" s="167"/>
      <c r="C4" s="309"/>
      <c r="D4" s="309"/>
      <c r="E4" s="310"/>
      <c r="F4" s="128" t="s">
        <v>6</v>
      </c>
      <c r="G4" s="129" t="s">
        <v>7</v>
      </c>
      <c r="H4" s="128" t="s">
        <v>6</v>
      </c>
      <c r="I4" s="129" t="s">
        <v>7</v>
      </c>
      <c r="J4" s="128" t="s">
        <v>6</v>
      </c>
      <c r="K4" s="129" t="s">
        <v>7</v>
      </c>
      <c r="L4" s="122" t="s">
        <v>113</v>
      </c>
      <c r="M4" s="70" t="s">
        <v>114</v>
      </c>
      <c r="N4" s="73"/>
      <c r="O4" s="73"/>
      <c r="P4" s="112"/>
    </row>
    <row r="5" spans="1:17" s="79" customFormat="1" x14ac:dyDescent="0.3">
      <c r="A5" s="168">
        <v>1</v>
      </c>
      <c r="B5" s="168"/>
      <c r="C5" s="169" t="s">
        <v>115</v>
      </c>
      <c r="D5" s="170"/>
      <c r="E5" s="236"/>
      <c r="F5" s="130"/>
      <c r="G5" s="131"/>
      <c r="H5" s="130"/>
      <c r="I5" s="131"/>
      <c r="J5" s="130"/>
      <c r="K5" s="131"/>
      <c r="L5" s="124"/>
      <c r="M5" s="77"/>
      <c r="N5" s="78"/>
      <c r="O5" s="78"/>
      <c r="P5" s="113"/>
    </row>
    <row r="6" spans="1:17" x14ac:dyDescent="0.3">
      <c r="A6" s="234" t="s">
        <v>11</v>
      </c>
      <c r="B6" s="234"/>
      <c r="C6" s="235" t="s">
        <v>116</v>
      </c>
      <c r="D6" s="234"/>
      <c r="E6" s="237"/>
      <c r="F6" s="239"/>
      <c r="G6" s="240"/>
      <c r="H6" s="239"/>
      <c r="I6" s="240"/>
      <c r="J6" s="239"/>
      <c r="K6" s="240"/>
      <c r="L6" s="238"/>
      <c r="M6" s="234"/>
      <c r="N6" s="71">
        <f>+L6*(1+$L$88+$L$89+$L$90)+L6*$L$91*$L$90</f>
        <v>0</v>
      </c>
      <c r="O6" s="71">
        <f t="shared" ref="O6:O86" si="0">ROUND(N6*E6,4)</f>
        <v>0</v>
      </c>
      <c r="Q6" s="120">
        <f>+O6-P6</f>
        <v>0</v>
      </c>
    </row>
    <row r="7" spans="1:17" s="83" customFormat="1" ht="57" x14ac:dyDescent="0.2">
      <c r="A7" s="147" t="s">
        <v>14</v>
      </c>
      <c r="B7" s="147">
        <v>502</v>
      </c>
      <c r="C7" s="144" t="s">
        <v>235</v>
      </c>
      <c r="D7" s="139" t="s">
        <v>25</v>
      </c>
      <c r="E7" s="152">
        <v>15</v>
      </c>
      <c r="F7" s="134">
        <v>55000</v>
      </c>
      <c r="G7" s="135">
        <f t="shared" ref="G7:K29" si="1">ROUND($E7*F7,2)</f>
        <v>825000</v>
      </c>
      <c r="H7" s="150">
        <v>58000</v>
      </c>
      <c r="I7" s="135">
        <f t="shared" si="1"/>
        <v>870000</v>
      </c>
      <c r="J7" s="134">
        <v>57000</v>
      </c>
      <c r="K7" s="135">
        <f t="shared" si="1"/>
        <v>855000</v>
      </c>
      <c r="L7" s="125">
        <f t="shared" ref="L7:L29" si="2">ROUND(AVERAGE(H7,F7,J7),2)</f>
        <v>56666.67</v>
      </c>
      <c r="M7" s="108">
        <f t="shared" ref="M7:M8" si="3">$E7*L7</f>
        <v>850000.04999999993</v>
      </c>
      <c r="N7" s="71">
        <f>+L7*(1+$L$88+$L$89+$L$90)+L7*$L$91*$L$90</f>
        <v>77361.337883999993</v>
      </c>
      <c r="O7" s="121">
        <f t="shared" si="0"/>
        <v>1160420.0682999999</v>
      </c>
      <c r="P7" s="115"/>
      <c r="Q7" s="120">
        <f t="shared" ref="Q7:Q92" si="4">+O7-P7</f>
        <v>1160420.0682999999</v>
      </c>
    </row>
    <row r="8" spans="1:17" s="83" customFormat="1" ht="45.6" x14ac:dyDescent="0.2">
      <c r="A8" s="147" t="s">
        <v>17</v>
      </c>
      <c r="B8" s="147">
        <v>502</v>
      </c>
      <c r="C8" s="144" t="s">
        <v>236</v>
      </c>
      <c r="D8" s="139" t="s">
        <v>25</v>
      </c>
      <c r="E8" s="152">
        <v>12</v>
      </c>
      <c r="F8" s="134">
        <v>33000</v>
      </c>
      <c r="G8" s="135">
        <f t="shared" si="1"/>
        <v>396000</v>
      </c>
      <c r="H8" s="150">
        <v>34000</v>
      </c>
      <c r="I8" s="135">
        <f t="shared" si="1"/>
        <v>408000</v>
      </c>
      <c r="J8" s="134">
        <v>33000</v>
      </c>
      <c r="K8" s="135">
        <f t="shared" si="1"/>
        <v>396000</v>
      </c>
      <c r="L8" s="125">
        <f t="shared" si="2"/>
        <v>33333.33</v>
      </c>
      <c r="M8" s="108">
        <f t="shared" si="3"/>
        <v>399999.96</v>
      </c>
      <c r="N8" s="71">
        <f>+L8*(1+$L$88+$L$89+$L$90)+L8*$L$91*$L$90</f>
        <v>45506.662116000007</v>
      </c>
      <c r="O8" s="71">
        <f t="shared" si="0"/>
        <v>546079.94539999997</v>
      </c>
      <c r="P8" s="115"/>
      <c r="Q8" s="120">
        <f t="shared" si="4"/>
        <v>546079.94539999997</v>
      </c>
    </row>
    <row r="9" spans="1:17" s="81" customFormat="1" x14ac:dyDescent="0.3">
      <c r="A9" s="234" t="s">
        <v>14</v>
      </c>
      <c r="B9" s="234"/>
      <c r="C9" s="235" t="s">
        <v>132</v>
      </c>
      <c r="D9" s="234"/>
      <c r="E9" s="237"/>
      <c r="F9" s="239"/>
      <c r="G9" s="240"/>
      <c r="H9" s="239"/>
      <c r="I9" s="240"/>
      <c r="J9" s="239"/>
      <c r="K9" s="240"/>
      <c r="L9" s="238"/>
      <c r="M9" s="234"/>
      <c r="N9" s="71"/>
      <c r="O9" s="71">
        <f t="shared" si="0"/>
        <v>0</v>
      </c>
      <c r="P9" s="114"/>
      <c r="Q9" s="120">
        <f t="shared" si="4"/>
        <v>0</v>
      </c>
    </row>
    <row r="10" spans="1:17" ht="159.6" x14ac:dyDescent="0.3">
      <c r="A10" s="147" t="s">
        <v>133</v>
      </c>
      <c r="B10" s="147" t="s">
        <v>323</v>
      </c>
      <c r="C10" s="138" t="s">
        <v>324</v>
      </c>
      <c r="D10" s="139" t="s">
        <v>16</v>
      </c>
      <c r="E10" s="152">
        <f>2.74*2.24</f>
        <v>6.1376000000000008</v>
      </c>
      <c r="F10" s="134">
        <v>107000</v>
      </c>
      <c r="G10" s="135">
        <f t="shared" si="1"/>
        <v>656723.19999999995</v>
      </c>
      <c r="H10" s="150">
        <v>112000</v>
      </c>
      <c r="I10" s="135">
        <f t="shared" si="1"/>
        <v>687411.19999999995</v>
      </c>
      <c r="J10" s="134">
        <v>110000</v>
      </c>
      <c r="K10" s="135">
        <f t="shared" si="1"/>
        <v>675136</v>
      </c>
      <c r="L10" s="125">
        <f t="shared" si="2"/>
        <v>109666.67</v>
      </c>
      <c r="M10" s="108">
        <f t="shared" ref="M10:M13" si="5">$E10*L10</f>
        <v>673090.15379200003</v>
      </c>
      <c r="N10" s="71">
        <f>+L10*(1+$L$88+$L$89+$L$90)+L10*$L$91*$L$90</f>
        <v>149716.93788400001</v>
      </c>
      <c r="O10" s="71">
        <f t="shared" si="0"/>
        <v>918902.67799999996</v>
      </c>
      <c r="Q10" s="120">
        <f t="shared" si="4"/>
        <v>918902.67799999996</v>
      </c>
    </row>
    <row r="11" spans="1:17" ht="79.8" x14ac:dyDescent="0.3">
      <c r="A11" s="147" t="s">
        <v>135</v>
      </c>
      <c r="B11" s="147" t="s">
        <v>323</v>
      </c>
      <c r="C11" s="138" t="s">
        <v>325</v>
      </c>
      <c r="D11" s="139" t="s">
        <v>16</v>
      </c>
      <c r="E11" s="152">
        <v>460</v>
      </c>
      <c r="F11" s="134">
        <v>27000</v>
      </c>
      <c r="G11" s="135">
        <f t="shared" si="1"/>
        <v>12420000</v>
      </c>
      <c r="H11" s="150">
        <v>28000</v>
      </c>
      <c r="I11" s="135">
        <f t="shared" si="1"/>
        <v>12880000</v>
      </c>
      <c r="J11" s="134">
        <v>28000</v>
      </c>
      <c r="K11" s="135">
        <f t="shared" si="1"/>
        <v>12880000</v>
      </c>
      <c r="L11" s="125">
        <f t="shared" si="2"/>
        <v>27666.67</v>
      </c>
      <c r="M11" s="108">
        <f t="shared" si="5"/>
        <v>12726668.199999999</v>
      </c>
      <c r="N11" s="71">
        <f>+L11*(1+$L$88+$L$89+$L$90)+L11*$L$91*$L$90</f>
        <v>37770.537884000005</v>
      </c>
      <c r="O11" s="71">
        <f t="shared" si="0"/>
        <v>17374447.426600002</v>
      </c>
      <c r="Q11" s="120"/>
    </row>
    <row r="12" spans="1:17" ht="57" x14ac:dyDescent="0.3">
      <c r="A12" s="147" t="s">
        <v>137</v>
      </c>
      <c r="B12" s="147" t="s">
        <v>323</v>
      </c>
      <c r="C12" s="138" t="s">
        <v>326</v>
      </c>
      <c r="D12" s="139" t="s">
        <v>16</v>
      </c>
      <c r="E12" s="152">
        <v>78</v>
      </c>
      <c r="F12" s="134">
        <v>27000</v>
      </c>
      <c r="G12" s="135">
        <f t="shared" si="1"/>
        <v>2106000</v>
      </c>
      <c r="H12" s="150">
        <v>28000</v>
      </c>
      <c r="I12" s="135">
        <f t="shared" si="1"/>
        <v>2184000</v>
      </c>
      <c r="J12" s="134">
        <v>28000</v>
      </c>
      <c r="K12" s="135">
        <f t="shared" si="1"/>
        <v>2184000</v>
      </c>
      <c r="L12" s="125">
        <f t="shared" si="2"/>
        <v>27666.67</v>
      </c>
      <c r="M12" s="108">
        <f t="shared" si="5"/>
        <v>2158000.2599999998</v>
      </c>
      <c r="N12" s="71">
        <f>+L12*(1+$L$88+$L$89+$L$90)+L12*$L$91*$L$90</f>
        <v>37770.537884000005</v>
      </c>
      <c r="O12" s="71">
        <f t="shared" si="0"/>
        <v>2946101.9550000001</v>
      </c>
      <c r="Q12" s="120"/>
    </row>
    <row r="13" spans="1:17" ht="79.8" x14ac:dyDescent="0.3">
      <c r="A13" s="147" t="s">
        <v>140</v>
      </c>
      <c r="B13" s="147" t="s">
        <v>323</v>
      </c>
      <c r="C13" s="145" t="s">
        <v>327</v>
      </c>
      <c r="D13" s="146" t="s">
        <v>25</v>
      </c>
      <c r="E13" s="224">
        <v>39.799999999999997</v>
      </c>
      <c r="F13" s="134">
        <v>74000</v>
      </c>
      <c r="G13" s="135">
        <f t="shared" si="1"/>
        <v>2945200</v>
      </c>
      <c r="H13" s="150">
        <v>78000</v>
      </c>
      <c r="I13" s="135">
        <f t="shared" si="1"/>
        <v>3104400</v>
      </c>
      <c r="J13" s="134">
        <v>76000</v>
      </c>
      <c r="K13" s="135">
        <f t="shared" si="1"/>
        <v>3024800</v>
      </c>
      <c r="L13" s="125">
        <f t="shared" si="2"/>
        <v>76000</v>
      </c>
      <c r="M13" s="108">
        <f t="shared" si="5"/>
        <v>3024800</v>
      </c>
      <c r="N13" s="71">
        <f>+L13*(1+$L$88+$L$89+$L$90)+L13*$L$91*$L$90</f>
        <v>103755.2</v>
      </c>
      <c r="O13" s="71">
        <f t="shared" si="0"/>
        <v>4129456.96</v>
      </c>
      <c r="Q13" s="120"/>
    </row>
    <row r="14" spans="1:17" x14ac:dyDescent="0.3">
      <c r="A14" s="234" t="s">
        <v>17</v>
      </c>
      <c r="B14" s="234"/>
      <c r="C14" s="235" t="s">
        <v>242</v>
      </c>
      <c r="D14" s="234"/>
      <c r="E14" s="237"/>
      <c r="F14" s="239"/>
      <c r="G14" s="240"/>
      <c r="H14" s="239"/>
      <c r="I14" s="240"/>
      <c r="J14" s="239"/>
      <c r="K14" s="240"/>
      <c r="L14" s="238"/>
      <c r="M14" s="234"/>
      <c r="N14" s="71"/>
      <c r="O14" s="71">
        <f t="shared" si="0"/>
        <v>0</v>
      </c>
      <c r="Q14" s="120">
        <f t="shared" si="4"/>
        <v>0</v>
      </c>
    </row>
    <row r="15" spans="1:17" ht="40.200000000000003" customHeight="1" x14ac:dyDescent="0.3">
      <c r="A15" s="147" t="s">
        <v>144</v>
      </c>
      <c r="B15" s="147">
        <v>603</v>
      </c>
      <c r="C15" s="148" t="s">
        <v>328</v>
      </c>
      <c r="D15" s="146" t="s">
        <v>32</v>
      </c>
      <c r="E15" s="224">
        <v>1</v>
      </c>
      <c r="F15" s="134">
        <v>67000</v>
      </c>
      <c r="G15" s="135">
        <f t="shared" si="1"/>
        <v>67000</v>
      </c>
      <c r="H15" s="150">
        <v>70000</v>
      </c>
      <c r="I15" s="135">
        <f>ROUND($E15*H15,2)</f>
        <v>70000</v>
      </c>
      <c r="J15" s="134">
        <v>69000</v>
      </c>
      <c r="K15" s="135">
        <f t="shared" si="1"/>
        <v>69000</v>
      </c>
      <c r="L15" s="125">
        <f t="shared" si="2"/>
        <v>68666.67</v>
      </c>
      <c r="M15" s="108">
        <f t="shared" ref="M15:M25" si="6">$E15*L15</f>
        <v>68666.67</v>
      </c>
      <c r="N15" s="71">
        <f t="shared" ref="N15:N25" si="7">+L15*(1+$L$88+$L$89+$L$90)+L15*$L$91*$L$90</f>
        <v>93743.737884000016</v>
      </c>
      <c r="O15" s="71">
        <f t="shared" si="0"/>
        <v>93743.737899999993</v>
      </c>
      <c r="Q15" s="120">
        <f t="shared" si="4"/>
        <v>93743.737899999993</v>
      </c>
    </row>
    <row r="16" spans="1:17" ht="57.6" customHeight="1" x14ac:dyDescent="0.3">
      <c r="A16" s="147" t="s">
        <v>147</v>
      </c>
      <c r="B16" s="147">
        <v>603</v>
      </c>
      <c r="C16" s="148" t="s">
        <v>329</v>
      </c>
      <c r="D16" s="146" t="s">
        <v>32</v>
      </c>
      <c r="E16" s="224">
        <v>3</v>
      </c>
      <c r="F16" s="134">
        <v>187000</v>
      </c>
      <c r="G16" s="135">
        <f t="shared" si="1"/>
        <v>561000</v>
      </c>
      <c r="H16" s="150">
        <v>197000</v>
      </c>
      <c r="I16" s="135">
        <f t="shared" ref="I16:I25" si="8">ROUND($E16*H16,2)</f>
        <v>591000</v>
      </c>
      <c r="J16" s="134">
        <v>192000</v>
      </c>
      <c r="K16" s="135">
        <f t="shared" si="1"/>
        <v>576000</v>
      </c>
      <c r="L16" s="125">
        <f t="shared" si="2"/>
        <v>192000</v>
      </c>
      <c r="M16" s="108">
        <f t="shared" si="6"/>
        <v>576000</v>
      </c>
      <c r="N16" s="71">
        <f t="shared" si="7"/>
        <v>262118.40000000002</v>
      </c>
      <c r="O16" s="71">
        <f t="shared" si="0"/>
        <v>786355.19999999995</v>
      </c>
      <c r="Q16" s="120"/>
    </row>
    <row r="17" spans="1:17" ht="57.6" customHeight="1" x14ac:dyDescent="0.3">
      <c r="A17" s="147" t="s">
        <v>245</v>
      </c>
      <c r="B17" s="147">
        <v>603</v>
      </c>
      <c r="C17" s="145" t="s">
        <v>330</v>
      </c>
      <c r="D17" s="146" t="s">
        <v>32</v>
      </c>
      <c r="E17" s="224">
        <v>1</v>
      </c>
      <c r="F17" s="134">
        <v>332000</v>
      </c>
      <c r="G17" s="135">
        <f t="shared" si="1"/>
        <v>332000</v>
      </c>
      <c r="H17" s="150">
        <v>349000</v>
      </c>
      <c r="I17" s="135">
        <f t="shared" si="8"/>
        <v>349000</v>
      </c>
      <c r="J17" s="134">
        <v>341000</v>
      </c>
      <c r="K17" s="135">
        <f t="shared" si="1"/>
        <v>341000</v>
      </c>
      <c r="L17" s="125">
        <f t="shared" si="2"/>
        <v>340666.67</v>
      </c>
      <c r="M17" s="108">
        <f t="shared" si="6"/>
        <v>340666.67</v>
      </c>
      <c r="N17" s="71">
        <f t="shared" si="7"/>
        <v>465078.13788399997</v>
      </c>
      <c r="O17" s="71">
        <f t="shared" si="0"/>
        <v>465078.13789999997</v>
      </c>
      <c r="Q17" s="120"/>
    </row>
    <row r="18" spans="1:17" ht="40.200000000000003" customHeight="1" x14ac:dyDescent="0.3">
      <c r="A18" s="147" t="s">
        <v>247</v>
      </c>
      <c r="B18" s="147">
        <v>603</v>
      </c>
      <c r="C18" s="148" t="s">
        <v>331</v>
      </c>
      <c r="D18" s="146" t="s">
        <v>32</v>
      </c>
      <c r="E18" s="224">
        <v>1</v>
      </c>
      <c r="F18" s="134">
        <v>82000</v>
      </c>
      <c r="G18" s="135">
        <f t="shared" si="1"/>
        <v>82000</v>
      </c>
      <c r="H18" s="150">
        <v>86000</v>
      </c>
      <c r="I18" s="135">
        <f t="shared" si="8"/>
        <v>86000</v>
      </c>
      <c r="J18" s="134">
        <v>84000</v>
      </c>
      <c r="K18" s="135">
        <f t="shared" si="1"/>
        <v>84000</v>
      </c>
      <c r="L18" s="125">
        <f t="shared" si="2"/>
        <v>84000</v>
      </c>
      <c r="M18" s="108">
        <f t="shared" si="6"/>
        <v>84000</v>
      </c>
      <c r="N18" s="71">
        <f t="shared" si="7"/>
        <v>114676.80000000002</v>
      </c>
      <c r="O18" s="71">
        <f t="shared" si="0"/>
        <v>114676.8</v>
      </c>
      <c r="Q18" s="120"/>
    </row>
    <row r="19" spans="1:17" ht="79.8" x14ac:dyDescent="0.3">
      <c r="A19" s="147" t="s">
        <v>249</v>
      </c>
      <c r="B19" s="147">
        <v>603</v>
      </c>
      <c r="C19" s="145" t="s">
        <v>332</v>
      </c>
      <c r="D19" s="146" t="s">
        <v>32</v>
      </c>
      <c r="E19" s="224">
        <f>+E18</f>
        <v>1</v>
      </c>
      <c r="F19" s="134">
        <v>847000</v>
      </c>
      <c r="G19" s="135">
        <f t="shared" si="1"/>
        <v>847000</v>
      </c>
      <c r="H19" s="150">
        <v>889000</v>
      </c>
      <c r="I19" s="135">
        <f t="shared" si="8"/>
        <v>889000</v>
      </c>
      <c r="J19" s="134">
        <v>869000</v>
      </c>
      <c r="K19" s="135">
        <f t="shared" si="1"/>
        <v>869000</v>
      </c>
      <c r="L19" s="125">
        <f t="shared" si="2"/>
        <v>868333.33</v>
      </c>
      <c r="M19" s="108">
        <f t="shared" si="6"/>
        <v>868333.33</v>
      </c>
      <c r="N19" s="71">
        <f t="shared" si="7"/>
        <v>1185448.662116</v>
      </c>
      <c r="O19" s="71">
        <f t="shared" si="0"/>
        <v>1185448.6621000001</v>
      </c>
      <c r="Q19" s="120"/>
    </row>
    <row r="20" spans="1:17" ht="57" customHeight="1" x14ac:dyDescent="0.3">
      <c r="A20" s="147" t="s">
        <v>251</v>
      </c>
      <c r="B20" s="147">
        <v>603</v>
      </c>
      <c r="C20" s="145" t="s">
        <v>333</v>
      </c>
      <c r="D20" s="146" t="s">
        <v>32</v>
      </c>
      <c r="E20" s="224">
        <f>+E19</f>
        <v>1</v>
      </c>
      <c r="F20" s="134">
        <v>136000</v>
      </c>
      <c r="G20" s="135">
        <f t="shared" si="1"/>
        <v>136000</v>
      </c>
      <c r="H20" s="150">
        <v>142000</v>
      </c>
      <c r="I20" s="135">
        <f t="shared" si="8"/>
        <v>142000</v>
      </c>
      <c r="J20" s="134">
        <v>139000</v>
      </c>
      <c r="K20" s="135">
        <f t="shared" si="1"/>
        <v>139000</v>
      </c>
      <c r="L20" s="125">
        <f t="shared" si="2"/>
        <v>139000</v>
      </c>
      <c r="M20" s="108">
        <f t="shared" si="6"/>
        <v>139000</v>
      </c>
      <c r="N20" s="71">
        <f t="shared" si="7"/>
        <v>189762.8</v>
      </c>
      <c r="O20" s="71">
        <f t="shared" si="0"/>
        <v>189762.8</v>
      </c>
      <c r="Q20" s="120"/>
    </row>
    <row r="21" spans="1:17" ht="52.2" customHeight="1" x14ac:dyDescent="0.3">
      <c r="A21" s="147" t="s">
        <v>253</v>
      </c>
      <c r="B21" s="147">
        <v>603</v>
      </c>
      <c r="C21" s="138" t="s">
        <v>334</v>
      </c>
      <c r="D21" s="139" t="s">
        <v>32</v>
      </c>
      <c r="E21" s="152">
        <v>2</v>
      </c>
      <c r="F21" s="134">
        <v>160000</v>
      </c>
      <c r="G21" s="135">
        <f t="shared" si="1"/>
        <v>320000</v>
      </c>
      <c r="H21" s="150">
        <v>168000</v>
      </c>
      <c r="I21" s="135">
        <f t="shared" si="8"/>
        <v>336000</v>
      </c>
      <c r="J21" s="134">
        <v>164000</v>
      </c>
      <c r="K21" s="135">
        <f t="shared" si="1"/>
        <v>328000</v>
      </c>
      <c r="L21" s="125">
        <f t="shared" si="2"/>
        <v>164000</v>
      </c>
      <c r="M21" s="108">
        <f t="shared" si="6"/>
        <v>328000</v>
      </c>
      <c r="N21" s="71">
        <f t="shared" si="7"/>
        <v>223892.80000000002</v>
      </c>
      <c r="O21" s="71">
        <f t="shared" si="0"/>
        <v>447785.6</v>
      </c>
      <c r="Q21" s="120"/>
    </row>
    <row r="22" spans="1:17" ht="40.200000000000003" customHeight="1" x14ac:dyDescent="0.3">
      <c r="A22" s="147" t="s">
        <v>255</v>
      </c>
      <c r="B22" s="147" t="s">
        <v>323</v>
      </c>
      <c r="C22" s="138" t="s">
        <v>335</v>
      </c>
      <c r="D22" s="139" t="s">
        <v>32</v>
      </c>
      <c r="E22" s="152">
        <v>2</v>
      </c>
      <c r="F22" s="134">
        <v>107000</v>
      </c>
      <c r="G22" s="135">
        <f t="shared" si="1"/>
        <v>214000</v>
      </c>
      <c r="H22" s="150">
        <v>112000</v>
      </c>
      <c r="I22" s="135">
        <f t="shared" si="8"/>
        <v>224000</v>
      </c>
      <c r="J22" s="134">
        <v>110000</v>
      </c>
      <c r="K22" s="135">
        <f t="shared" si="1"/>
        <v>220000</v>
      </c>
      <c r="L22" s="125">
        <f t="shared" si="2"/>
        <v>109666.67</v>
      </c>
      <c r="M22" s="108">
        <f t="shared" si="6"/>
        <v>219333.34</v>
      </c>
      <c r="N22" s="71">
        <f t="shared" si="7"/>
        <v>149716.93788400001</v>
      </c>
      <c r="O22" s="71">
        <f t="shared" si="0"/>
        <v>299433.87579999998</v>
      </c>
      <c r="Q22" s="120"/>
    </row>
    <row r="23" spans="1:17" ht="40.200000000000003" customHeight="1" x14ac:dyDescent="0.3">
      <c r="A23" s="147" t="s">
        <v>336</v>
      </c>
      <c r="B23" s="147" t="s">
        <v>323</v>
      </c>
      <c r="C23" s="138" t="s">
        <v>246</v>
      </c>
      <c r="D23" s="139" t="s">
        <v>32</v>
      </c>
      <c r="E23" s="152">
        <v>2</v>
      </c>
      <c r="F23" s="134">
        <v>170000</v>
      </c>
      <c r="G23" s="135">
        <f t="shared" si="1"/>
        <v>340000</v>
      </c>
      <c r="H23" s="150">
        <v>179000</v>
      </c>
      <c r="I23" s="135">
        <f t="shared" si="8"/>
        <v>358000</v>
      </c>
      <c r="J23" s="134">
        <v>174000</v>
      </c>
      <c r="K23" s="135">
        <f t="shared" si="1"/>
        <v>348000</v>
      </c>
      <c r="L23" s="125">
        <f t="shared" si="2"/>
        <v>174333.33</v>
      </c>
      <c r="M23" s="108">
        <f t="shared" si="6"/>
        <v>348666.66</v>
      </c>
      <c r="N23" s="71">
        <f t="shared" si="7"/>
        <v>237999.862116</v>
      </c>
      <c r="O23" s="71">
        <f t="shared" si="0"/>
        <v>475999.7242</v>
      </c>
      <c r="Q23" s="120"/>
    </row>
    <row r="24" spans="1:17" ht="26.4" customHeight="1" x14ac:dyDescent="0.3">
      <c r="A24" s="147" t="s">
        <v>337</v>
      </c>
      <c r="B24" s="147" t="s">
        <v>323</v>
      </c>
      <c r="C24" s="145" t="s">
        <v>338</v>
      </c>
      <c r="D24" s="146" t="s">
        <v>32</v>
      </c>
      <c r="E24" s="224">
        <v>4</v>
      </c>
      <c r="F24" s="134">
        <v>33000</v>
      </c>
      <c r="G24" s="135">
        <f t="shared" si="1"/>
        <v>132000</v>
      </c>
      <c r="H24" s="150">
        <v>34000</v>
      </c>
      <c r="I24" s="135">
        <f t="shared" si="8"/>
        <v>136000</v>
      </c>
      <c r="J24" s="134">
        <v>33000</v>
      </c>
      <c r="K24" s="135">
        <f t="shared" si="1"/>
        <v>132000</v>
      </c>
      <c r="L24" s="125">
        <f t="shared" si="2"/>
        <v>33333.33</v>
      </c>
      <c r="M24" s="108">
        <f t="shared" si="6"/>
        <v>133333.32</v>
      </c>
      <c r="N24" s="71">
        <f t="shared" si="7"/>
        <v>45506.662116000007</v>
      </c>
      <c r="O24" s="71">
        <f t="shared" si="0"/>
        <v>182026.64850000001</v>
      </c>
      <c r="Q24" s="120"/>
    </row>
    <row r="25" spans="1:17" ht="45.6" x14ac:dyDescent="0.3">
      <c r="A25" s="147" t="s">
        <v>339</v>
      </c>
      <c r="B25" s="147" t="s">
        <v>323</v>
      </c>
      <c r="C25" s="145" t="s">
        <v>340</v>
      </c>
      <c r="D25" s="146" t="s">
        <v>32</v>
      </c>
      <c r="E25" s="224">
        <f>+E24</f>
        <v>4</v>
      </c>
      <c r="F25" s="134">
        <v>246000</v>
      </c>
      <c r="G25" s="135">
        <f t="shared" si="1"/>
        <v>984000</v>
      </c>
      <c r="H25" s="150">
        <v>258000</v>
      </c>
      <c r="I25" s="135">
        <f t="shared" si="8"/>
        <v>1032000</v>
      </c>
      <c r="J25" s="134">
        <v>252000</v>
      </c>
      <c r="K25" s="135">
        <f t="shared" si="1"/>
        <v>1008000</v>
      </c>
      <c r="L25" s="125">
        <f t="shared" si="2"/>
        <v>252000</v>
      </c>
      <c r="M25" s="108">
        <f t="shared" si="6"/>
        <v>1008000</v>
      </c>
      <c r="N25" s="71">
        <f t="shared" si="7"/>
        <v>344030.4</v>
      </c>
      <c r="O25" s="71">
        <f t="shared" si="0"/>
        <v>1376121.6</v>
      </c>
      <c r="Q25" s="120"/>
    </row>
    <row r="26" spans="1:17" s="81" customFormat="1" x14ac:dyDescent="0.3">
      <c r="A26" s="234" t="s">
        <v>19</v>
      </c>
      <c r="B26" s="234"/>
      <c r="C26" s="235" t="s">
        <v>51</v>
      </c>
      <c r="D26" s="234"/>
      <c r="E26" s="237"/>
      <c r="F26" s="239"/>
      <c r="G26" s="240"/>
      <c r="H26" s="239"/>
      <c r="I26" s="240"/>
      <c r="J26" s="239"/>
      <c r="K26" s="240"/>
      <c r="L26" s="238"/>
      <c r="M26" s="234"/>
      <c r="N26" s="71"/>
      <c r="O26" s="71">
        <f t="shared" si="0"/>
        <v>0</v>
      </c>
      <c r="P26" s="114"/>
      <c r="Q26" s="120">
        <f t="shared" si="4"/>
        <v>0</v>
      </c>
    </row>
    <row r="27" spans="1:17" ht="22.95" customHeight="1" x14ac:dyDescent="0.3">
      <c r="A27" s="147" t="s">
        <v>150</v>
      </c>
      <c r="B27" s="147" t="s">
        <v>323</v>
      </c>
      <c r="C27" s="138" t="s">
        <v>146</v>
      </c>
      <c r="D27" s="139" t="s">
        <v>16</v>
      </c>
      <c r="E27" s="152">
        <f>3.3*4.03+2.8*6.1+52+40</f>
        <v>122.37899999999999</v>
      </c>
      <c r="F27" s="134">
        <v>10000</v>
      </c>
      <c r="G27" s="135">
        <f t="shared" si="1"/>
        <v>1223790</v>
      </c>
      <c r="H27" s="150">
        <v>10000</v>
      </c>
      <c r="I27" s="135">
        <f t="shared" si="1"/>
        <v>1223790</v>
      </c>
      <c r="J27" s="134">
        <v>10000</v>
      </c>
      <c r="K27" s="135">
        <f t="shared" si="1"/>
        <v>1223790</v>
      </c>
      <c r="L27" s="125">
        <f t="shared" si="2"/>
        <v>10000</v>
      </c>
      <c r="M27" s="108">
        <f t="shared" ref="M27:M29" si="9">$E27*L27</f>
        <v>1223790</v>
      </c>
      <c r="N27" s="71">
        <f>+L27*(1+$L$88+$L$89+$L$90)+L27*$L$91*$L$90</f>
        <v>13652</v>
      </c>
      <c r="O27" s="71">
        <f t="shared" si="0"/>
        <v>1670718.108</v>
      </c>
      <c r="Q27" s="120">
        <f t="shared" si="4"/>
        <v>1670718.108</v>
      </c>
    </row>
    <row r="28" spans="1:17" ht="22.95" customHeight="1" x14ac:dyDescent="0.3">
      <c r="A28" s="147" t="s">
        <v>151</v>
      </c>
      <c r="B28" s="147"/>
      <c r="C28" s="138" t="s">
        <v>341</v>
      </c>
      <c r="D28" s="139" t="s">
        <v>342</v>
      </c>
      <c r="E28" s="152">
        <v>25</v>
      </c>
      <c r="F28" s="134">
        <v>15000</v>
      </c>
      <c r="G28" s="135">
        <f t="shared" si="1"/>
        <v>375000</v>
      </c>
      <c r="H28" s="150">
        <v>16000</v>
      </c>
      <c r="I28" s="135">
        <f t="shared" si="1"/>
        <v>400000</v>
      </c>
      <c r="J28" s="134">
        <v>16000</v>
      </c>
      <c r="K28" s="135">
        <f t="shared" si="1"/>
        <v>400000</v>
      </c>
      <c r="L28" s="125">
        <f t="shared" si="2"/>
        <v>15666.67</v>
      </c>
      <c r="M28" s="108">
        <f t="shared" si="9"/>
        <v>391666.75</v>
      </c>
      <c r="N28" s="71">
        <f>+L28*(1+$L$88+$L$89+$L$90)+L28*$L$91*$L$90</f>
        <v>21388.137884000003</v>
      </c>
      <c r="O28" s="71">
        <f t="shared" si="0"/>
        <v>534703.44709999999</v>
      </c>
      <c r="Q28" s="120"/>
    </row>
    <row r="29" spans="1:17" ht="57" x14ac:dyDescent="0.3">
      <c r="A29" s="147" t="s">
        <v>153</v>
      </c>
      <c r="B29" s="147" t="s">
        <v>323</v>
      </c>
      <c r="C29" s="138" t="s">
        <v>343</v>
      </c>
      <c r="D29" s="139" t="s">
        <v>16</v>
      </c>
      <c r="E29" s="152">
        <f>(37*25)-320</f>
        <v>605</v>
      </c>
      <c r="F29" s="134">
        <v>62000</v>
      </c>
      <c r="G29" s="135">
        <f t="shared" si="1"/>
        <v>37510000</v>
      </c>
      <c r="H29" s="150">
        <v>65000</v>
      </c>
      <c r="I29" s="135">
        <f t="shared" si="1"/>
        <v>39325000</v>
      </c>
      <c r="J29" s="134">
        <v>63000</v>
      </c>
      <c r="K29" s="135">
        <f t="shared" si="1"/>
        <v>38115000</v>
      </c>
      <c r="L29" s="125">
        <f t="shared" si="2"/>
        <v>63333.33</v>
      </c>
      <c r="M29" s="108">
        <f t="shared" si="9"/>
        <v>38316664.649999999</v>
      </c>
      <c r="N29" s="71">
        <f>+L29*(1+$L$88+$L$89+$L$90)+L29*$L$91*$L$90</f>
        <v>86462.662116000007</v>
      </c>
      <c r="O29" s="71">
        <f t="shared" si="0"/>
        <v>52309910.580200002</v>
      </c>
      <c r="Q29" s="120">
        <f t="shared" si="4"/>
        <v>52309910.580200002</v>
      </c>
    </row>
    <row r="30" spans="1:17" s="81" customFormat="1" x14ac:dyDescent="0.3">
      <c r="A30" s="234" t="s">
        <v>21</v>
      </c>
      <c r="B30" s="234"/>
      <c r="C30" s="235" t="s">
        <v>258</v>
      </c>
      <c r="D30" s="234"/>
      <c r="E30" s="237"/>
      <c r="F30" s="239"/>
      <c r="G30" s="240"/>
      <c r="H30" s="239"/>
      <c r="I30" s="240"/>
      <c r="J30" s="239"/>
      <c r="K30" s="240"/>
      <c r="L30" s="238"/>
      <c r="M30" s="234"/>
      <c r="N30" s="71"/>
      <c r="O30" s="71">
        <f t="shared" si="0"/>
        <v>0</v>
      </c>
      <c r="P30" s="114"/>
      <c r="Q30" s="120">
        <f t="shared" si="4"/>
        <v>0</v>
      </c>
    </row>
    <row r="31" spans="1:17" ht="45.6" x14ac:dyDescent="0.3">
      <c r="A31" s="147" t="s">
        <v>259</v>
      </c>
      <c r="B31" s="147"/>
      <c r="C31" s="145" t="s">
        <v>344</v>
      </c>
      <c r="D31" s="146" t="s">
        <v>16</v>
      </c>
      <c r="E31" s="152">
        <v>24</v>
      </c>
      <c r="F31" s="134">
        <v>55000</v>
      </c>
      <c r="G31" s="135">
        <f t="shared" ref="G31:K86" si="10">ROUND($E31*F31,2)</f>
        <v>1320000</v>
      </c>
      <c r="H31" s="150">
        <v>58000</v>
      </c>
      <c r="I31" s="135">
        <f t="shared" si="10"/>
        <v>1392000</v>
      </c>
      <c r="J31" s="134">
        <v>57000</v>
      </c>
      <c r="K31" s="135">
        <f t="shared" si="10"/>
        <v>1368000</v>
      </c>
      <c r="L31" s="125">
        <f t="shared" ref="L31:L58" si="11">ROUND(AVERAGE(H31,F31,J31),2)</f>
        <v>56666.67</v>
      </c>
      <c r="M31" s="108">
        <f t="shared" ref="M31:M51" si="12">$E31*L31</f>
        <v>1360000.08</v>
      </c>
      <c r="N31" s="71">
        <f t="shared" ref="N31:N51" si="13">+L31*(1+$L$88+$L$89+$L$90)+L31*$L$91*$L$90</f>
        <v>77361.337883999993</v>
      </c>
      <c r="O31" s="71">
        <f t="shared" si="0"/>
        <v>1856672.1092000001</v>
      </c>
      <c r="Q31" s="120">
        <f t="shared" si="4"/>
        <v>1856672.1092000001</v>
      </c>
    </row>
    <row r="32" spans="1:17" ht="91.95" customHeight="1" x14ac:dyDescent="0.3">
      <c r="A32" s="147" t="s">
        <v>261</v>
      </c>
      <c r="B32" s="147"/>
      <c r="C32" s="145" t="s">
        <v>345</v>
      </c>
      <c r="D32" s="146" t="s">
        <v>16</v>
      </c>
      <c r="E32" s="152">
        <v>42</v>
      </c>
      <c r="F32" s="134">
        <v>676000</v>
      </c>
      <c r="G32" s="135">
        <f t="shared" si="10"/>
        <v>28392000</v>
      </c>
      <c r="H32" s="150">
        <v>710000</v>
      </c>
      <c r="I32" s="135">
        <f t="shared" si="10"/>
        <v>29820000</v>
      </c>
      <c r="J32" s="134">
        <v>693000</v>
      </c>
      <c r="K32" s="135">
        <f t="shared" si="10"/>
        <v>29106000</v>
      </c>
      <c r="L32" s="125">
        <f t="shared" si="11"/>
        <v>693000</v>
      </c>
      <c r="M32" s="108">
        <f t="shared" si="12"/>
        <v>29106000</v>
      </c>
      <c r="N32" s="71">
        <f t="shared" si="13"/>
        <v>946083.60000000009</v>
      </c>
      <c r="O32" s="71">
        <f t="shared" si="0"/>
        <v>39735511.200000003</v>
      </c>
      <c r="Q32" s="120"/>
    </row>
    <row r="33" spans="1:17" ht="80.400000000000006" customHeight="1" x14ac:dyDescent="0.3">
      <c r="A33" s="147" t="s">
        <v>263</v>
      </c>
      <c r="B33" s="147"/>
      <c r="C33" s="145" t="s">
        <v>346</v>
      </c>
      <c r="D33" s="146" t="s">
        <v>16</v>
      </c>
      <c r="E33" s="152">
        <f>(0.7*2.05+1.92*0.97)*2+1.5*2+4*2*2+6.1*2</f>
        <v>37.794799999999995</v>
      </c>
      <c r="F33" s="134">
        <v>107000</v>
      </c>
      <c r="G33" s="135">
        <f t="shared" si="10"/>
        <v>4044043.6</v>
      </c>
      <c r="H33" s="150">
        <v>112000</v>
      </c>
      <c r="I33" s="135">
        <f t="shared" si="10"/>
        <v>4233017.5999999996</v>
      </c>
      <c r="J33" s="134">
        <v>110000</v>
      </c>
      <c r="K33" s="135">
        <f t="shared" si="10"/>
        <v>4157428</v>
      </c>
      <c r="L33" s="125">
        <f t="shared" si="11"/>
        <v>109666.67</v>
      </c>
      <c r="M33" s="108">
        <f t="shared" si="12"/>
        <v>4144829.8593159993</v>
      </c>
      <c r="N33" s="71">
        <f t="shared" si="13"/>
        <v>149716.93788400001</v>
      </c>
      <c r="O33" s="71">
        <f t="shared" si="0"/>
        <v>5658521.7238999996</v>
      </c>
      <c r="Q33" s="120"/>
    </row>
    <row r="34" spans="1:17" ht="125.4" x14ac:dyDescent="0.3">
      <c r="A34" s="147" t="s">
        <v>265</v>
      </c>
      <c r="B34" s="147"/>
      <c r="C34" s="145" t="s">
        <v>347</v>
      </c>
      <c r="D34" s="146" t="s">
        <v>32</v>
      </c>
      <c r="E34" s="152">
        <v>2</v>
      </c>
      <c r="F34" s="134">
        <v>1100000</v>
      </c>
      <c r="G34" s="135">
        <f t="shared" si="10"/>
        <v>2200000</v>
      </c>
      <c r="H34" s="150">
        <v>1155000</v>
      </c>
      <c r="I34" s="135">
        <f t="shared" si="10"/>
        <v>2310000</v>
      </c>
      <c r="J34" s="134">
        <v>1128000</v>
      </c>
      <c r="K34" s="135">
        <f t="shared" si="10"/>
        <v>2256000</v>
      </c>
      <c r="L34" s="125">
        <f t="shared" si="11"/>
        <v>1127666.67</v>
      </c>
      <c r="M34" s="108">
        <f t="shared" si="12"/>
        <v>2255333.34</v>
      </c>
      <c r="N34" s="71">
        <f t="shared" si="13"/>
        <v>1539490.537884</v>
      </c>
      <c r="O34" s="71">
        <f t="shared" si="0"/>
        <v>3078981.0758000002</v>
      </c>
      <c r="Q34" s="120"/>
    </row>
    <row r="35" spans="1:17" ht="22.8" x14ac:dyDescent="0.3">
      <c r="A35" s="147" t="s">
        <v>268</v>
      </c>
      <c r="B35" s="147"/>
      <c r="C35" s="138" t="s">
        <v>262</v>
      </c>
      <c r="D35" s="139" t="s">
        <v>25</v>
      </c>
      <c r="E35" s="152">
        <f>+E33</f>
        <v>37.794799999999995</v>
      </c>
      <c r="F35" s="134">
        <v>170000</v>
      </c>
      <c r="G35" s="135">
        <f t="shared" si="10"/>
        <v>6425116</v>
      </c>
      <c r="H35" s="150">
        <v>179000</v>
      </c>
      <c r="I35" s="135">
        <f t="shared" si="10"/>
        <v>6765269.2000000002</v>
      </c>
      <c r="J35" s="134">
        <v>174000</v>
      </c>
      <c r="K35" s="135">
        <f t="shared" si="10"/>
        <v>6576295.2000000002</v>
      </c>
      <c r="L35" s="125">
        <f t="shared" si="11"/>
        <v>174333.33</v>
      </c>
      <c r="M35" s="108">
        <f t="shared" si="12"/>
        <v>6588893.3406839985</v>
      </c>
      <c r="N35" s="71">
        <f t="shared" si="13"/>
        <v>237999.862116</v>
      </c>
      <c r="O35" s="71">
        <f t="shared" si="0"/>
        <v>8995157.1886999998</v>
      </c>
      <c r="Q35" s="120"/>
    </row>
    <row r="36" spans="1:17" ht="22.8" x14ac:dyDescent="0.3">
      <c r="A36" s="147" t="s">
        <v>270</v>
      </c>
      <c r="B36" s="147"/>
      <c r="C36" s="145" t="s">
        <v>348</v>
      </c>
      <c r="D36" s="146" t="s">
        <v>16</v>
      </c>
      <c r="E36" s="224">
        <f>0.6*0.7*5</f>
        <v>2.1</v>
      </c>
      <c r="F36" s="134">
        <v>170000</v>
      </c>
      <c r="G36" s="135">
        <f t="shared" si="10"/>
        <v>357000</v>
      </c>
      <c r="H36" s="150">
        <v>179000</v>
      </c>
      <c r="I36" s="135">
        <f t="shared" si="10"/>
        <v>375900</v>
      </c>
      <c r="J36" s="134">
        <v>174000</v>
      </c>
      <c r="K36" s="135">
        <f t="shared" si="10"/>
        <v>365400</v>
      </c>
      <c r="L36" s="125">
        <f t="shared" si="11"/>
        <v>174333.33</v>
      </c>
      <c r="M36" s="108">
        <f t="shared" si="12"/>
        <v>366099.99300000002</v>
      </c>
      <c r="N36" s="71">
        <f t="shared" si="13"/>
        <v>237999.862116</v>
      </c>
      <c r="O36" s="71">
        <f t="shared" si="0"/>
        <v>499799.71039999998</v>
      </c>
      <c r="Q36" s="120"/>
    </row>
    <row r="37" spans="1:17" ht="22.8" x14ac:dyDescent="0.3">
      <c r="A37" s="147" t="s">
        <v>272</v>
      </c>
      <c r="B37" s="147"/>
      <c r="C37" s="145" t="s">
        <v>349</v>
      </c>
      <c r="D37" s="146" t="s">
        <v>267</v>
      </c>
      <c r="E37" s="224">
        <f>+(1.06+1.07)*1.8</f>
        <v>3.8340000000000001</v>
      </c>
      <c r="F37" s="134">
        <v>76000</v>
      </c>
      <c r="G37" s="135">
        <f t="shared" si="10"/>
        <v>291384</v>
      </c>
      <c r="H37" s="150">
        <v>80000</v>
      </c>
      <c r="I37" s="135">
        <f t="shared" si="10"/>
        <v>306720</v>
      </c>
      <c r="J37" s="134">
        <v>78000</v>
      </c>
      <c r="K37" s="135">
        <f t="shared" si="10"/>
        <v>299052</v>
      </c>
      <c r="L37" s="125">
        <f t="shared" si="11"/>
        <v>78000</v>
      </c>
      <c r="M37" s="108">
        <f t="shared" si="12"/>
        <v>299052</v>
      </c>
      <c r="N37" s="71">
        <f t="shared" si="13"/>
        <v>106485.6</v>
      </c>
      <c r="O37" s="71">
        <f t="shared" si="0"/>
        <v>408265.7904</v>
      </c>
      <c r="Q37" s="120"/>
    </row>
    <row r="38" spans="1:17" ht="34.200000000000003" x14ac:dyDescent="0.3">
      <c r="A38" s="147" t="s">
        <v>274</v>
      </c>
      <c r="B38" s="147"/>
      <c r="C38" s="145" t="s">
        <v>350</v>
      </c>
      <c r="D38" s="146" t="s">
        <v>32</v>
      </c>
      <c r="E38" s="224">
        <f>+E37</f>
        <v>3.8340000000000001</v>
      </c>
      <c r="F38" s="134">
        <v>499000</v>
      </c>
      <c r="G38" s="135">
        <f t="shared" si="10"/>
        <v>1913166</v>
      </c>
      <c r="H38" s="150">
        <v>523000</v>
      </c>
      <c r="I38" s="135">
        <f t="shared" si="10"/>
        <v>2005182</v>
      </c>
      <c r="J38" s="134">
        <v>511000</v>
      </c>
      <c r="K38" s="135">
        <f t="shared" si="10"/>
        <v>1959174</v>
      </c>
      <c r="L38" s="125">
        <f t="shared" si="11"/>
        <v>511000</v>
      </c>
      <c r="M38" s="108">
        <f t="shared" si="12"/>
        <v>1959174</v>
      </c>
      <c r="N38" s="71">
        <f t="shared" si="13"/>
        <v>697617.2</v>
      </c>
      <c r="O38" s="71">
        <f t="shared" si="0"/>
        <v>2674664.3448000001</v>
      </c>
      <c r="Q38" s="120"/>
    </row>
    <row r="39" spans="1:17" ht="22.8" x14ac:dyDescent="0.3">
      <c r="A39" s="147" t="s">
        <v>276</v>
      </c>
      <c r="B39" s="147"/>
      <c r="C39" s="145" t="s">
        <v>351</v>
      </c>
      <c r="D39" s="146" t="s">
        <v>32</v>
      </c>
      <c r="E39" s="224">
        <v>1</v>
      </c>
      <c r="F39" s="134">
        <v>82000</v>
      </c>
      <c r="G39" s="135">
        <f t="shared" si="10"/>
        <v>82000</v>
      </c>
      <c r="H39" s="150">
        <v>86000</v>
      </c>
      <c r="I39" s="135">
        <f t="shared" si="10"/>
        <v>86000</v>
      </c>
      <c r="J39" s="134">
        <v>84000</v>
      </c>
      <c r="K39" s="135">
        <f t="shared" si="10"/>
        <v>84000</v>
      </c>
      <c r="L39" s="125">
        <f t="shared" si="11"/>
        <v>84000</v>
      </c>
      <c r="M39" s="108">
        <f t="shared" si="12"/>
        <v>84000</v>
      </c>
      <c r="N39" s="71">
        <f t="shared" si="13"/>
        <v>114676.80000000002</v>
      </c>
      <c r="O39" s="71">
        <f t="shared" si="0"/>
        <v>114676.8</v>
      </c>
      <c r="Q39" s="120"/>
    </row>
    <row r="40" spans="1:17" ht="91.2" x14ac:dyDescent="0.3">
      <c r="A40" s="147" t="s">
        <v>278</v>
      </c>
      <c r="B40" s="147"/>
      <c r="C40" s="145" t="s">
        <v>352</v>
      </c>
      <c r="D40" s="146" t="s">
        <v>32</v>
      </c>
      <c r="E40" s="224">
        <f>+E39</f>
        <v>1</v>
      </c>
      <c r="F40" s="134">
        <v>1591000</v>
      </c>
      <c r="G40" s="135">
        <f t="shared" si="10"/>
        <v>1591000</v>
      </c>
      <c r="H40" s="150">
        <v>1670000</v>
      </c>
      <c r="I40" s="135">
        <f t="shared" si="10"/>
        <v>1670000</v>
      </c>
      <c r="J40" s="134">
        <v>1631000</v>
      </c>
      <c r="K40" s="135">
        <f t="shared" si="10"/>
        <v>1631000</v>
      </c>
      <c r="L40" s="125">
        <f t="shared" si="11"/>
        <v>1630666.67</v>
      </c>
      <c r="M40" s="108">
        <f t="shared" si="12"/>
        <v>1630666.67</v>
      </c>
      <c r="N40" s="71">
        <f t="shared" si="13"/>
        <v>2226186.1378840003</v>
      </c>
      <c r="O40" s="71">
        <f t="shared" si="0"/>
        <v>2226186.1379</v>
      </c>
      <c r="Q40" s="120"/>
    </row>
    <row r="41" spans="1:17" x14ac:dyDescent="0.3">
      <c r="A41" s="147" t="s">
        <v>280</v>
      </c>
      <c r="B41" s="147"/>
      <c r="C41" s="145" t="s">
        <v>353</v>
      </c>
      <c r="D41" s="146" t="s">
        <v>32</v>
      </c>
      <c r="E41" s="224">
        <f>+E42+E43</f>
        <v>4</v>
      </c>
      <c r="F41" s="134">
        <v>36000</v>
      </c>
      <c r="G41" s="135">
        <f t="shared" si="10"/>
        <v>144000</v>
      </c>
      <c r="H41" s="150">
        <v>38000</v>
      </c>
      <c r="I41" s="135">
        <f t="shared" si="10"/>
        <v>152000</v>
      </c>
      <c r="J41" s="134">
        <v>37000</v>
      </c>
      <c r="K41" s="135">
        <f t="shared" si="10"/>
        <v>148000</v>
      </c>
      <c r="L41" s="125">
        <f t="shared" si="11"/>
        <v>37000</v>
      </c>
      <c r="M41" s="108">
        <f t="shared" si="12"/>
        <v>148000</v>
      </c>
      <c r="N41" s="71">
        <f t="shared" si="13"/>
        <v>50512.4</v>
      </c>
      <c r="O41" s="71">
        <f t="shared" si="0"/>
        <v>202049.6</v>
      </c>
      <c r="Q41" s="120"/>
    </row>
    <row r="42" spans="1:17" ht="34.200000000000003" x14ac:dyDescent="0.3">
      <c r="A42" s="147" t="s">
        <v>282</v>
      </c>
      <c r="B42" s="147"/>
      <c r="C42" s="145" t="s">
        <v>354</v>
      </c>
      <c r="D42" s="146" t="s">
        <v>32</v>
      </c>
      <c r="E42" s="224">
        <f>+E40</f>
        <v>1</v>
      </c>
      <c r="F42" s="134">
        <v>489000</v>
      </c>
      <c r="G42" s="135">
        <f t="shared" si="10"/>
        <v>489000</v>
      </c>
      <c r="H42" s="150">
        <v>513000</v>
      </c>
      <c r="I42" s="135">
        <f t="shared" si="10"/>
        <v>513000</v>
      </c>
      <c r="J42" s="134">
        <v>501000</v>
      </c>
      <c r="K42" s="135">
        <f t="shared" si="10"/>
        <v>501000</v>
      </c>
      <c r="L42" s="125">
        <f t="shared" si="11"/>
        <v>501000</v>
      </c>
      <c r="M42" s="108">
        <f t="shared" si="12"/>
        <v>501000</v>
      </c>
      <c r="N42" s="71">
        <f t="shared" si="13"/>
        <v>683965.2</v>
      </c>
      <c r="O42" s="71">
        <f t="shared" si="0"/>
        <v>683965.2</v>
      </c>
      <c r="Q42" s="120"/>
    </row>
    <row r="43" spans="1:17" ht="34.200000000000003" x14ac:dyDescent="0.3">
      <c r="A43" s="147" t="s">
        <v>284</v>
      </c>
      <c r="B43" s="147"/>
      <c r="C43" s="145" t="s">
        <v>355</v>
      </c>
      <c r="D43" s="146" t="s">
        <v>32</v>
      </c>
      <c r="E43" s="224">
        <v>3</v>
      </c>
      <c r="F43" s="134">
        <v>600000</v>
      </c>
      <c r="G43" s="135">
        <f t="shared" si="10"/>
        <v>1800000</v>
      </c>
      <c r="H43" s="150">
        <v>630000</v>
      </c>
      <c r="I43" s="135">
        <f t="shared" si="10"/>
        <v>1890000</v>
      </c>
      <c r="J43" s="134">
        <v>615000</v>
      </c>
      <c r="K43" s="135">
        <f t="shared" si="10"/>
        <v>1845000</v>
      </c>
      <c r="L43" s="125">
        <f t="shared" si="11"/>
        <v>615000</v>
      </c>
      <c r="M43" s="108">
        <f t="shared" si="12"/>
        <v>1845000</v>
      </c>
      <c r="N43" s="71">
        <f t="shared" si="13"/>
        <v>839598</v>
      </c>
      <c r="O43" s="71">
        <f t="shared" si="0"/>
        <v>2518794</v>
      </c>
      <c r="Q43" s="120"/>
    </row>
    <row r="44" spans="1:17" ht="91.2" x14ac:dyDescent="0.3">
      <c r="A44" s="147" t="s">
        <v>286</v>
      </c>
      <c r="B44" s="147"/>
      <c r="C44" s="138" t="s">
        <v>356</v>
      </c>
      <c r="D44" s="139" t="s">
        <v>16</v>
      </c>
      <c r="E44" s="152">
        <f>1.1*0.6+2.07*2.67</f>
        <v>6.1868999999999996</v>
      </c>
      <c r="F44" s="134">
        <v>246000</v>
      </c>
      <c r="G44" s="135">
        <f t="shared" si="10"/>
        <v>1521977.4</v>
      </c>
      <c r="H44" s="150">
        <v>258000</v>
      </c>
      <c r="I44" s="135">
        <f t="shared" si="10"/>
        <v>1596220.2</v>
      </c>
      <c r="J44" s="134">
        <v>252000</v>
      </c>
      <c r="K44" s="135">
        <f t="shared" si="10"/>
        <v>1559098.8</v>
      </c>
      <c r="L44" s="125">
        <f t="shared" si="11"/>
        <v>252000</v>
      </c>
      <c r="M44" s="108">
        <f t="shared" si="12"/>
        <v>1559098.7999999998</v>
      </c>
      <c r="N44" s="71">
        <f t="shared" si="13"/>
        <v>344030.4</v>
      </c>
      <c r="O44" s="71">
        <f t="shared" si="0"/>
        <v>2128481.6817999999</v>
      </c>
      <c r="Q44" s="120"/>
    </row>
    <row r="45" spans="1:17" ht="57" x14ac:dyDescent="0.3">
      <c r="A45" s="147" t="s">
        <v>288</v>
      </c>
      <c r="B45" s="147"/>
      <c r="C45" s="138" t="s">
        <v>357</v>
      </c>
      <c r="D45" s="139" t="s">
        <v>16</v>
      </c>
      <c r="E45" s="152">
        <f>+E46</f>
        <v>11.426</v>
      </c>
      <c r="F45" s="134">
        <v>33000</v>
      </c>
      <c r="G45" s="135">
        <f t="shared" si="10"/>
        <v>377058</v>
      </c>
      <c r="H45" s="150">
        <v>34000</v>
      </c>
      <c r="I45" s="135">
        <f t="shared" si="10"/>
        <v>388484</v>
      </c>
      <c r="J45" s="134">
        <v>33000</v>
      </c>
      <c r="K45" s="135">
        <f t="shared" si="10"/>
        <v>377058</v>
      </c>
      <c r="L45" s="125">
        <f t="shared" si="11"/>
        <v>33333.33</v>
      </c>
      <c r="M45" s="108">
        <f t="shared" si="12"/>
        <v>380866.62858000002</v>
      </c>
      <c r="N45" s="71">
        <f t="shared" si="13"/>
        <v>45506.662116000007</v>
      </c>
      <c r="O45" s="71">
        <f t="shared" si="0"/>
        <v>519959.1213</v>
      </c>
      <c r="Q45" s="120"/>
    </row>
    <row r="46" spans="1:17" ht="79.8" x14ac:dyDescent="0.3">
      <c r="A46" s="147" t="s">
        <v>290</v>
      </c>
      <c r="B46" s="147"/>
      <c r="C46" s="138" t="s">
        <v>358</v>
      </c>
      <c r="D46" s="139" t="s">
        <v>16</v>
      </c>
      <c r="E46" s="152">
        <f>1.4*2.5*2+2*1.1+1.06*2.1</f>
        <v>11.426</v>
      </c>
      <c r="F46" s="134">
        <v>676000</v>
      </c>
      <c r="G46" s="135">
        <f t="shared" si="10"/>
        <v>7723976</v>
      </c>
      <c r="H46" s="150">
        <v>710000</v>
      </c>
      <c r="I46" s="135">
        <f t="shared" si="10"/>
        <v>8112460</v>
      </c>
      <c r="J46" s="134">
        <v>693000</v>
      </c>
      <c r="K46" s="135">
        <f t="shared" si="10"/>
        <v>7918218</v>
      </c>
      <c r="L46" s="125">
        <f t="shared" si="11"/>
        <v>693000</v>
      </c>
      <c r="M46" s="108">
        <f t="shared" si="12"/>
        <v>7918218</v>
      </c>
      <c r="N46" s="71">
        <f t="shared" si="13"/>
        <v>946083.60000000009</v>
      </c>
      <c r="O46" s="71">
        <f t="shared" si="0"/>
        <v>10809951.2136</v>
      </c>
      <c r="Q46" s="120"/>
    </row>
    <row r="47" spans="1:17" ht="45.6" x14ac:dyDescent="0.3">
      <c r="A47" s="147" t="s">
        <v>359</v>
      </c>
      <c r="B47" s="147"/>
      <c r="C47" s="145" t="s">
        <v>279</v>
      </c>
      <c r="D47" s="139" t="s">
        <v>32</v>
      </c>
      <c r="E47" s="152">
        <v>1</v>
      </c>
      <c r="F47" s="134">
        <v>1100000</v>
      </c>
      <c r="G47" s="135">
        <f t="shared" si="10"/>
        <v>1100000</v>
      </c>
      <c r="H47" s="150">
        <v>1155000</v>
      </c>
      <c r="I47" s="135">
        <f t="shared" si="10"/>
        <v>1155000</v>
      </c>
      <c r="J47" s="134">
        <v>1128000</v>
      </c>
      <c r="K47" s="135">
        <f t="shared" si="10"/>
        <v>1128000</v>
      </c>
      <c r="L47" s="125">
        <f t="shared" si="11"/>
        <v>1127666.67</v>
      </c>
      <c r="M47" s="108">
        <f t="shared" si="12"/>
        <v>1127666.67</v>
      </c>
      <c r="N47" s="71">
        <f t="shared" si="13"/>
        <v>1539490.537884</v>
      </c>
      <c r="O47" s="71">
        <f t="shared" si="0"/>
        <v>1539490.5379000001</v>
      </c>
      <c r="Q47" s="120"/>
    </row>
    <row r="48" spans="1:17" ht="57" x14ac:dyDescent="0.3">
      <c r="A48" s="147" t="s">
        <v>360</v>
      </c>
      <c r="B48" s="147"/>
      <c r="C48" s="145" t="s">
        <v>361</v>
      </c>
      <c r="D48" s="139" t="s">
        <v>32</v>
      </c>
      <c r="E48" s="152">
        <v>1</v>
      </c>
      <c r="F48" s="134">
        <v>170000</v>
      </c>
      <c r="G48" s="135">
        <f t="shared" si="10"/>
        <v>170000</v>
      </c>
      <c r="H48" s="150">
        <v>179000</v>
      </c>
      <c r="I48" s="135">
        <f t="shared" si="10"/>
        <v>179000</v>
      </c>
      <c r="J48" s="134">
        <v>174000</v>
      </c>
      <c r="K48" s="135">
        <f t="shared" si="10"/>
        <v>174000</v>
      </c>
      <c r="L48" s="125">
        <f t="shared" si="11"/>
        <v>174333.33</v>
      </c>
      <c r="M48" s="108">
        <f t="shared" si="12"/>
        <v>174333.33</v>
      </c>
      <c r="N48" s="71">
        <f t="shared" si="13"/>
        <v>237999.862116</v>
      </c>
      <c r="O48" s="71">
        <f t="shared" si="0"/>
        <v>237999.8621</v>
      </c>
      <c r="Q48" s="120"/>
    </row>
    <row r="49" spans="1:17" ht="91.2" x14ac:dyDescent="0.3">
      <c r="A49" s="147" t="s">
        <v>362</v>
      </c>
      <c r="B49" s="147"/>
      <c r="C49" s="145" t="s">
        <v>363</v>
      </c>
      <c r="D49" s="139" t="s">
        <v>32</v>
      </c>
      <c r="E49" s="152">
        <f>+E48</f>
        <v>1</v>
      </c>
      <c r="F49" s="134">
        <v>4169000</v>
      </c>
      <c r="G49" s="135">
        <f t="shared" si="10"/>
        <v>4169000</v>
      </c>
      <c r="H49" s="150">
        <v>4377000</v>
      </c>
      <c r="I49" s="135">
        <f t="shared" si="10"/>
        <v>4377000</v>
      </c>
      <c r="J49" s="134">
        <v>4275000</v>
      </c>
      <c r="K49" s="135">
        <f t="shared" si="10"/>
        <v>4275000</v>
      </c>
      <c r="L49" s="125">
        <f t="shared" si="11"/>
        <v>4273666.67</v>
      </c>
      <c r="M49" s="108">
        <f t="shared" si="12"/>
        <v>4273666.67</v>
      </c>
      <c r="N49" s="71">
        <f t="shared" si="13"/>
        <v>5834409.7378840009</v>
      </c>
      <c r="O49" s="71">
        <f t="shared" si="0"/>
        <v>5834409.7379000001</v>
      </c>
      <c r="Q49" s="120"/>
    </row>
    <row r="50" spans="1:17" ht="45.6" x14ac:dyDescent="0.3">
      <c r="A50" s="147" t="s">
        <v>364</v>
      </c>
      <c r="B50" s="147"/>
      <c r="C50" s="145" t="s">
        <v>365</v>
      </c>
      <c r="D50" s="139" t="s">
        <v>32</v>
      </c>
      <c r="E50" s="152">
        <v>1</v>
      </c>
      <c r="F50" s="134">
        <v>170000</v>
      </c>
      <c r="G50" s="135">
        <f t="shared" si="10"/>
        <v>170000</v>
      </c>
      <c r="H50" s="150">
        <v>179000</v>
      </c>
      <c r="I50" s="135">
        <f t="shared" si="10"/>
        <v>179000</v>
      </c>
      <c r="J50" s="134">
        <v>174000</v>
      </c>
      <c r="K50" s="135">
        <f t="shared" si="10"/>
        <v>174000</v>
      </c>
      <c r="L50" s="125">
        <f t="shared" si="11"/>
        <v>174333.33</v>
      </c>
      <c r="M50" s="108">
        <f t="shared" si="12"/>
        <v>174333.33</v>
      </c>
      <c r="N50" s="71">
        <f t="shared" si="13"/>
        <v>237999.862116</v>
      </c>
      <c r="O50" s="71">
        <f t="shared" si="0"/>
        <v>237999.8621</v>
      </c>
      <c r="Q50" s="120"/>
    </row>
    <row r="51" spans="1:17" ht="79.8" x14ac:dyDescent="0.3">
      <c r="A51" s="147" t="s">
        <v>366</v>
      </c>
      <c r="B51" s="147"/>
      <c r="C51" s="145" t="s">
        <v>367</v>
      </c>
      <c r="D51" s="139" t="s">
        <v>32</v>
      </c>
      <c r="E51" s="152">
        <f>+E50</f>
        <v>1</v>
      </c>
      <c r="F51" s="134">
        <v>2304000</v>
      </c>
      <c r="G51" s="135">
        <f t="shared" si="10"/>
        <v>2304000</v>
      </c>
      <c r="H51" s="150">
        <v>2419000</v>
      </c>
      <c r="I51" s="135">
        <f t="shared" si="10"/>
        <v>2419000</v>
      </c>
      <c r="J51" s="134">
        <v>2363000</v>
      </c>
      <c r="K51" s="135">
        <f t="shared" si="10"/>
        <v>2363000</v>
      </c>
      <c r="L51" s="125">
        <f t="shared" si="11"/>
        <v>2362000</v>
      </c>
      <c r="M51" s="108">
        <f t="shared" si="12"/>
        <v>2362000</v>
      </c>
      <c r="N51" s="71">
        <f t="shared" si="13"/>
        <v>3224602.4</v>
      </c>
      <c r="O51" s="71">
        <f t="shared" si="0"/>
        <v>3224602.4</v>
      </c>
      <c r="Q51" s="120"/>
    </row>
    <row r="52" spans="1:17" s="84" customFormat="1" x14ac:dyDescent="0.3">
      <c r="A52" s="234" t="s">
        <v>23</v>
      </c>
      <c r="B52" s="234"/>
      <c r="C52" s="235" t="s">
        <v>65</v>
      </c>
      <c r="D52" s="234"/>
      <c r="E52" s="237"/>
      <c r="F52" s="239"/>
      <c r="G52" s="240"/>
      <c r="H52" s="239"/>
      <c r="I52" s="240"/>
      <c r="J52" s="239"/>
      <c r="K52" s="240"/>
      <c r="L52" s="238"/>
      <c r="M52" s="234"/>
      <c r="N52" s="71"/>
      <c r="O52" s="71">
        <f t="shared" si="0"/>
        <v>0</v>
      </c>
      <c r="P52" s="116"/>
      <c r="Q52" s="120">
        <f t="shared" si="4"/>
        <v>0</v>
      </c>
    </row>
    <row r="53" spans="1:17" ht="22.8" x14ac:dyDescent="0.3">
      <c r="A53" s="147" t="s">
        <v>292</v>
      </c>
      <c r="B53" s="147"/>
      <c r="C53" s="145" t="s">
        <v>297</v>
      </c>
      <c r="D53" s="146" t="s">
        <v>16</v>
      </c>
      <c r="E53" s="224">
        <f>+E54</f>
        <v>153.76806250000001</v>
      </c>
      <c r="F53" s="134">
        <v>24000</v>
      </c>
      <c r="G53" s="135">
        <f t="shared" si="10"/>
        <v>3690433.5</v>
      </c>
      <c r="H53" s="150">
        <v>26000</v>
      </c>
      <c r="I53" s="135">
        <f t="shared" si="10"/>
        <v>3997969.63</v>
      </c>
      <c r="J53" s="134">
        <v>25000</v>
      </c>
      <c r="K53" s="135">
        <f t="shared" si="10"/>
        <v>3844201.56</v>
      </c>
      <c r="L53" s="125">
        <f t="shared" si="11"/>
        <v>25000</v>
      </c>
      <c r="M53" s="108">
        <f t="shared" ref="M53:M58" si="14">$E53*L53</f>
        <v>3844201.5625000005</v>
      </c>
      <c r="N53" s="71">
        <f t="shared" ref="N53:N58" si="15">+L53*(1+$L$88+$L$89+$L$90)+L53*$L$91*$L$90</f>
        <v>34130</v>
      </c>
      <c r="O53" s="71">
        <f t="shared" si="0"/>
        <v>5248103.9731000001</v>
      </c>
      <c r="Q53" s="120">
        <f t="shared" si="4"/>
        <v>5248103.9731000001</v>
      </c>
    </row>
    <row r="54" spans="1:17" ht="92.4" customHeight="1" x14ac:dyDescent="0.3">
      <c r="A54" s="147" t="s">
        <v>294</v>
      </c>
      <c r="B54" s="147"/>
      <c r="C54" s="138" t="s">
        <v>368</v>
      </c>
      <c r="D54" s="139" t="s">
        <v>16</v>
      </c>
      <c r="E54" s="224">
        <f>2.8*7.2*2+3.6*6.1+3.25*0.65*2.85*3.3+1.6*6.1+0.5*4+2.8*6.1+7.13*6</f>
        <v>153.76806250000001</v>
      </c>
      <c r="F54" s="134">
        <v>134000</v>
      </c>
      <c r="G54" s="135">
        <f t="shared" si="10"/>
        <v>20604920.379999999</v>
      </c>
      <c r="H54" s="150">
        <v>141000</v>
      </c>
      <c r="I54" s="135">
        <f t="shared" si="10"/>
        <v>21681296.809999999</v>
      </c>
      <c r="J54" s="134">
        <v>137000</v>
      </c>
      <c r="K54" s="135">
        <f t="shared" si="10"/>
        <v>21066224.559999999</v>
      </c>
      <c r="L54" s="125">
        <f t="shared" si="11"/>
        <v>137333.32999999999</v>
      </c>
      <c r="M54" s="108">
        <f t="shared" si="14"/>
        <v>21117480.070773125</v>
      </c>
      <c r="N54" s="71">
        <f t="shared" si="15"/>
        <v>187487.46211599998</v>
      </c>
      <c r="O54" s="71">
        <f t="shared" si="0"/>
        <v>28829583.792599998</v>
      </c>
      <c r="Q54" s="120"/>
    </row>
    <row r="55" spans="1:17" ht="79.8" x14ac:dyDescent="0.3">
      <c r="A55" s="147" t="s">
        <v>296</v>
      </c>
      <c r="B55" s="147"/>
      <c r="C55" s="138" t="s">
        <v>369</v>
      </c>
      <c r="D55" s="139" t="s">
        <v>25</v>
      </c>
      <c r="E55" s="224">
        <v>200</v>
      </c>
      <c r="F55" s="134">
        <v>42000</v>
      </c>
      <c r="G55" s="135">
        <f t="shared" si="10"/>
        <v>8400000</v>
      </c>
      <c r="H55" s="150">
        <v>44000</v>
      </c>
      <c r="I55" s="135">
        <f t="shared" si="10"/>
        <v>8800000</v>
      </c>
      <c r="J55" s="134">
        <v>43000</v>
      </c>
      <c r="K55" s="135">
        <f t="shared" si="10"/>
        <v>8600000</v>
      </c>
      <c r="L55" s="125">
        <f t="shared" si="11"/>
        <v>43000</v>
      </c>
      <c r="M55" s="108">
        <f t="shared" si="14"/>
        <v>8600000</v>
      </c>
      <c r="N55" s="71">
        <f t="shared" si="15"/>
        <v>58703.600000000006</v>
      </c>
      <c r="O55" s="71">
        <f t="shared" si="0"/>
        <v>11740720</v>
      </c>
      <c r="Q55" s="120"/>
    </row>
    <row r="56" spans="1:17" ht="79.8" x14ac:dyDescent="0.3">
      <c r="A56" s="147" t="s">
        <v>370</v>
      </c>
      <c r="B56" s="147"/>
      <c r="C56" s="148" t="s">
        <v>371</v>
      </c>
      <c r="D56" s="146" t="s">
        <v>16</v>
      </c>
      <c r="E56" s="224">
        <f>2.5*3*4</f>
        <v>30</v>
      </c>
      <c r="F56" s="134">
        <v>107000</v>
      </c>
      <c r="G56" s="135">
        <f t="shared" si="10"/>
        <v>3210000</v>
      </c>
      <c r="H56" s="150">
        <v>112000</v>
      </c>
      <c r="I56" s="135">
        <f t="shared" si="10"/>
        <v>3360000</v>
      </c>
      <c r="J56" s="134">
        <v>110000</v>
      </c>
      <c r="K56" s="135">
        <f t="shared" si="10"/>
        <v>3300000</v>
      </c>
      <c r="L56" s="125">
        <f t="shared" si="11"/>
        <v>109666.67</v>
      </c>
      <c r="M56" s="108">
        <f t="shared" si="14"/>
        <v>3290000.1</v>
      </c>
      <c r="N56" s="71">
        <f t="shared" si="15"/>
        <v>149716.93788400001</v>
      </c>
      <c r="O56" s="71">
        <f t="shared" si="0"/>
        <v>4491508.1365</v>
      </c>
      <c r="Q56" s="120"/>
    </row>
    <row r="57" spans="1:17" ht="79.8" x14ac:dyDescent="0.3">
      <c r="A57" s="147" t="s">
        <v>372</v>
      </c>
      <c r="B57" s="147"/>
      <c r="C57" s="145" t="s">
        <v>373</v>
      </c>
      <c r="D57" s="146" t="s">
        <v>16</v>
      </c>
      <c r="E57" s="224">
        <f>1.85*2.2+E58/3.5</f>
        <v>19.07</v>
      </c>
      <c r="F57" s="134">
        <v>107000</v>
      </c>
      <c r="G57" s="135">
        <f t="shared" si="10"/>
        <v>2040490</v>
      </c>
      <c r="H57" s="150">
        <v>112000</v>
      </c>
      <c r="I57" s="135">
        <f t="shared" si="10"/>
        <v>2135840</v>
      </c>
      <c r="J57" s="134">
        <v>110000</v>
      </c>
      <c r="K57" s="135">
        <f t="shared" si="10"/>
        <v>2097700</v>
      </c>
      <c r="L57" s="125">
        <f t="shared" si="11"/>
        <v>109666.67</v>
      </c>
      <c r="M57" s="108">
        <f t="shared" si="14"/>
        <v>2091343.3969000001</v>
      </c>
      <c r="N57" s="71">
        <f t="shared" si="15"/>
        <v>149716.93788400001</v>
      </c>
      <c r="O57" s="71">
        <f t="shared" si="0"/>
        <v>2855102.0054000001</v>
      </c>
      <c r="Q57" s="120"/>
    </row>
    <row r="58" spans="1:17" ht="79.8" x14ac:dyDescent="0.3">
      <c r="A58" s="147" t="s">
        <v>374</v>
      </c>
      <c r="B58" s="147"/>
      <c r="C58" s="148" t="s">
        <v>375</v>
      </c>
      <c r="D58" s="146" t="s">
        <v>16</v>
      </c>
      <c r="E58" s="224">
        <f>21*2.5</f>
        <v>52.5</v>
      </c>
      <c r="F58" s="134">
        <v>82000</v>
      </c>
      <c r="G58" s="135">
        <f t="shared" si="10"/>
        <v>4305000</v>
      </c>
      <c r="H58" s="150">
        <v>86000</v>
      </c>
      <c r="I58" s="135">
        <f t="shared" si="10"/>
        <v>4515000</v>
      </c>
      <c r="J58" s="134">
        <v>84000</v>
      </c>
      <c r="K58" s="135">
        <f t="shared" si="10"/>
        <v>4410000</v>
      </c>
      <c r="L58" s="125">
        <f t="shared" si="11"/>
        <v>84000</v>
      </c>
      <c r="M58" s="108">
        <f t="shared" si="14"/>
        <v>4410000</v>
      </c>
      <c r="N58" s="71">
        <f t="shared" si="15"/>
        <v>114676.80000000002</v>
      </c>
      <c r="O58" s="71">
        <f t="shared" si="0"/>
        <v>6020532</v>
      </c>
      <c r="Q58" s="120">
        <f t="shared" si="4"/>
        <v>6020532</v>
      </c>
    </row>
    <row r="59" spans="1:17" s="84" customFormat="1" x14ac:dyDescent="0.3">
      <c r="A59" s="234" t="s">
        <v>26</v>
      </c>
      <c r="B59" s="234"/>
      <c r="C59" s="235" t="s">
        <v>376</v>
      </c>
      <c r="D59" s="234"/>
      <c r="E59" s="237"/>
      <c r="F59" s="239"/>
      <c r="G59" s="240"/>
      <c r="H59" s="239"/>
      <c r="I59" s="240"/>
      <c r="J59" s="239"/>
      <c r="K59" s="240"/>
      <c r="L59" s="238"/>
      <c r="M59" s="234"/>
      <c r="N59" s="71"/>
      <c r="O59" s="71">
        <f t="shared" si="0"/>
        <v>0</v>
      </c>
      <c r="P59" s="116"/>
      <c r="Q59" s="120">
        <f t="shared" si="4"/>
        <v>0</v>
      </c>
    </row>
    <row r="60" spans="1:17" x14ac:dyDescent="0.3">
      <c r="A60" s="147" t="s">
        <v>298</v>
      </c>
      <c r="B60" s="147"/>
      <c r="C60" s="148" t="s">
        <v>377</v>
      </c>
      <c r="D60" s="146" t="s">
        <v>25</v>
      </c>
      <c r="E60" s="224">
        <v>4</v>
      </c>
      <c r="F60" s="134">
        <v>160000</v>
      </c>
      <c r="G60" s="135">
        <f t="shared" si="10"/>
        <v>640000</v>
      </c>
      <c r="H60" s="134">
        <v>168000</v>
      </c>
      <c r="I60" s="135">
        <f t="shared" si="10"/>
        <v>672000</v>
      </c>
      <c r="J60" s="134">
        <v>164000</v>
      </c>
      <c r="K60" s="135">
        <f t="shared" si="10"/>
        <v>656000</v>
      </c>
      <c r="L60" s="125">
        <f t="shared" ref="L60:L86" si="16">ROUND(AVERAGE(H60,F60,J60),2)</f>
        <v>164000</v>
      </c>
      <c r="M60" s="108">
        <f t="shared" ref="M60:M86" si="17">$E60*L60</f>
        <v>656000</v>
      </c>
      <c r="N60" s="71">
        <f t="shared" ref="N60:N66" si="18">+L60*(1+$L$88+$L$89+$L$90)+L60*$L$91*$L$90</f>
        <v>223892.80000000002</v>
      </c>
      <c r="O60" s="71">
        <f t="shared" si="0"/>
        <v>895571.2</v>
      </c>
      <c r="Q60" s="120">
        <f t="shared" si="4"/>
        <v>895571.2</v>
      </c>
    </row>
    <row r="61" spans="1:17" x14ac:dyDescent="0.3">
      <c r="A61" s="181">
        <v>2</v>
      </c>
      <c r="B61" s="181"/>
      <c r="C61" s="182" t="s">
        <v>77</v>
      </c>
      <c r="D61" s="183"/>
      <c r="E61" s="222"/>
      <c r="F61" s="130"/>
      <c r="G61" s="131">
        <f t="shared" si="10"/>
        <v>0</v>
      </c>
      <c r="H61" s="130"/>
      <c r="I61" s="131">
        <f t="shared" si="10"/>
        <v>0</v>
      </c>
      <c r="J61" s="130"/>
      <c r="K61" s="131">
        <f t="shared" si="10"/>
        <v>0</v>
      </c>
      <c r="L61" s="124"/>
      <c r="M61" s="77">
        <f t="shared" si="17"/>
        <v>0</v>
      </c>
      <c r="N61" s="71">
        <f t="shared" si="18"/>
        <v>0</v>
      </c>
      <c r="O61" s="71">
        <f t="shared" si="0"/>
        <v>0</v>
      </c>
      <c r="Q61" s="120"/>
    </row>
    <row r="62" spans="1:17" x14ac:dyDescent="0.3">
      <c r="A62" s="234" t="s">
        <v>36</v>
      </c>
      <c r="B62" s="234"/>
      <c r="C62" s="235" t="s">
        <v>79</v>
      </c>
      <c r="D62" s="234"/>
      <c r="E62" s="237"/>
      <c r="F62" s="239"/>
      <c r="G62" s="240"/>
      <c r="H62" s="239"/>
      <c r="I62" s="240"/>
      <c r="J62" s="239"/>
      <c r="K62" s="240"/>
      <c r="L62" s="238"/>
      <c r="M62" s="234"/>
      <c r="N62" s="71">
        <f t="shared" si="18"/>
        <v>0</v>
      </c>
      <c r="O62" s="71">
        <f t="shared" si="0"/>
        <v>0</v>
      </c>
      <c r="Q62" s="120"/>
    </row>
    <row r="63" spans="1:17" ht="34.200000000000003" x14ac:dyDescent="0.3">
      <c r="A63" s="147" t="s">
        <v>164</v>
      </c>
      <c r="B63" s="147"/>
      <c r="C63" s="138" t="s">
        <v>378</v>
      </c>
      <c r="D63" s="139" t="s">
        <v>32</v>
      </c>
      <c r="E63" s="152">
        <v>50</v>
      </c>
      <c r="F63" s="134">
        <v>15000</v>
      </c>
      <c r="G63" s="135">
        <f t="shared" si="10"/>
        <v>750000</v>
      </c>
      <c r="H63" s="150">
        <v>16000</v>
      </c>
      <c r="I63" s="135">
        <f t="shared" si="10"/>
        <v>800000</v>
      </c>
      <c r="J63" s="134">
        <v>16000</v>
      </c>
      <c r="K63" s="135">
        <f t="shared" si="10"/>
        <v>800000</v>
      </c>
      <c r="L63" s="125">
        <f t="shared" si="16"/>
        <v>15666.67</v>
      </c>
      <c r="M63" s="108">
        <f t="shared" si="17"/>
        <v>783333.5</v>
      </c>
      <c r="N63" s="71">
        <f t="shared" si="18"/>
        <v>21388.137884000003</v>
      </c>
      <c r="O63" s="71">
        <f t="shared" si="0"/>
        <v>1069406.8942</v>
      </c>
      <c r="Q63" s="120"/>
    </row>
    <row r="64" spans="1:17" ht="91.2" x14ac:dyDescent="0.3">
      <c r="A64" s="147" t="s">
        <v>166</v>
      </c>
      <c r="B64" s="147"/>
      <c r="C64" s="138" t="s">
        <v>379</v>
      </c>
      <c r="D64" s="139" t="s">
        <v>32</v>
      </c>
      <c r="E64" s="152">
        <v>30</v>
      </c>
      <c r="F64" s="134">
        <v>201000</v>
      </c>
      <c r="G64" s="135">
        <f t="shared" si="10"/>
        <v>6030000</v>
      </c>
      <c r="H64" s="150">
        <v>211000</v>
      </c>
      <c r="I64" s="135">
        <f t="shared" si="10"/>
        <v>6330000</v>
      </c>
      <c r="J64" s="134">
        <v>206000</v>
      </c>
      <c r="K64" s="135">
        <f t="shared" si="10"/>
        <v>6180000</v>
      </c>
      <c r="L64" s="125">
        <f t="shared" si="16"/>
        <v>206000</v>
      </c>
      <c r="M64" s="108">
        <f t="shared" si="17"/>
        <v>6180000</v>
      </c>
      <c r="N64" s="71">
        <f t="shared" si="18"/>
        <v>281231.2</v>
      </c>
      <c r="O64" s="71">
        <f t="shared" si="0"/>
        <v>8436936</v>
      </c>
      <c r="Q64" s="120"/>
    </row>
    <row r="65" spans="1:17" x14ac:dyDescent="0.3">
      <c r="A65" s="234" t="s">
        <v>39</v>
      </c>
      <c r="B65" s="234"/>
      <c r="C65" s="235" t="s">
        <v>83</v>
      </c>
      <c r="D65" s="234"/>
      <c r="E65" s="237"/>
      <c r="F65" s="239"/>
      <c r="G65" s="240"/>
      <c r="H65" s="239"/>
      <c r="I65" s="240"/>
      <c r="J65" s="239"/>
      <c r="K65" s="240"/>
      <c r="L65" s="238"/>
      <c r="M65" s="234"/>
      <c r="N65" s="71">
        <f t="shared" si="18"/>
        <v>0</v>
      </c>
      <c r="O65" s="71">
        <f t="shared" si="0"/>
        <v>0</v>
      </c>
      <c r="Q65" s="120"/>
    </row>
    <row r="66" spans="1:17" ht="91.2" x14ac:dyDescent="0.3">
      <c r="A66" s="147" t="s">
        <v>168</v>
      </c>
      <c r="B66" s="147"/>
      <c r="C66" s="138" t="s">
        <v>380</v>
      </c>
      <c r="D66" s="139" t="s">
        <v>32</v>
      </c>
      <c r="E66" s="152">
        <v>6</v>
      </c>
      <c r="F66" s="134">
        <v>69000</v>
      </c>
      <c r="G66" s="135">
        <f t="shared" si="10"/>
        <v>414000</v>
      </c>
      <c r="H66" s="150">
        <v>72000</v>
      </c>
      <c r="I66" s="135">
        <f t="shared" si="10"/>
        <v>432000</v>
      </c>
      <c r="J66" s="134">
        <v>71000</v>
      </c>
      <c r="K66" s="135">
        <f t="shared" si="10"/>
        <v>426000</v>
      </c>
      <c r="L66" s="125">
        <f t="shared" si="16"/>
        <v>70666.67</v>
      </c>
      <c r="M66" s="108">
        <f t="shared" si="17"/>
        <v>424000.02</v>
      </c>
      <c r="N66" s="71">
        <f t="shared" si="18"/>
        <v>96474.137884000011</v>
      </c>
      <c r="O66" s="71">
        <f t="shared" si="0"/>
        <v>578844.8273</v>
      </c>
      <c r="Q66" s="120"/>
    </row>
    <row r="67" spans="1:17" ht="102.6" x14ac:dyDescent="0.3">
      <c r="A67" s="147" t="s">
        <v>170</v>
      </c>
      <c r="B67" s="147"/>
      <c r="C67" s="138" t="s">
        <v>304</v>
      </c>
      <c r="D67" s="139" t="s">
        <v>32</v>
      </c>
      <c r="E67" s="152">
        <v>6</v>
      </c>
      <c r="F67" s="134">
        <v>62000</v>
      </c>
      <c r="G67" s="135">
        <f t="shared" si="10"/>
        <v>372000</v>
      </c>
      <c r="H67" s="150">
        <v>65000</v>
      </c>
      <c r="I67" s="135">
        <f t="shared" si="10"/>
        <v>390000</v>
      </c>
      <c r="J67" s="134">
        <v>63000</v>
      </c>
      <c r="K67" s="135">
        <f t="shared" si="10"/>
        <v>378000</v>
      </c>
      <c r="L67" s="125">
        <f t="shared" ref="L67" si="19">ROUND(AVERAGE(H67,F67,J67),2)</f>
        <v>63333.33</v>
      </c>
      <c r="M67" s="108">
        <f t="shared" ref="M67" si="20">$E67*L67</f>
        <v>379999.98</v>
      </c>
      <c r="N67" s="71">
        <f t="shared" ref="N67" si="21">+L67*(1+$L$88+$L$89+$L$90)+L67*$L$91*$L$90</f>
        <v>86462.662116000007</v>
      </c>
      <c r="O67" s="71">
        <f t="shared" ref="O67" si="22">ROUND(N67*E67,4)</f>
        <v>518775.97269999998</v>
      </c>
      <c r="Q67" s="120"/>
    </row>
    <row r="68" spans="1:17" x14ac:dyDescent="0.3">
      <c r="A68" s="234" t="s">
        <v>41</v>
      </c>
      <c r="B68" s="234"/>
      <c r="C68" s="235" t="s">
        <v>172</v>
      </c>
      <c r="D68" s="234"/>
      <c r="E68" s="237"/>
      <c r="F68" s="239"/>
      <c r="G68" s="240"/>
      <c r="H68" s="239"/>
      <c r="I68" s="240"/>
      <c r="J68" s="239"/>
      <c r="K68" s="240"/>
      <c r="L68" s="238"/>
      <c r="M68" s="234"/>
      <c r="N68" s="71">
        <f t="shared" ref="N68:N73" si="23">+L68*(1+$L$88+$L$89+$L$90)+L68*$L$91*$L$90</f>
        <v>0</v>
      </c>
      <c r="O68" s="71">
        <f t="shared" si="0"/>
        <v>0</v>
      </c>
      <c r="Q68" s="120"/>
    </row>
    <row r="69" spans="1:17" ht="102.6" x14ac:dyDescent="0.3">
      <c r="A69" s="147" t="s">
        <v>173</v>
      </c>
      <c r="B69" s="147"/>
      <c r="C69" s="138" t="s">
        <v>174</v>
      </c>
      <c r="D69" s="139" t="s">
        <v>32</v>
      </c>
      <c r="E69" s="152">
        <v>26</v>
      </c>
      <c r="F69" s="134">
        <v>67000</v>
      </c>
      <c r="G69" s="135">
        <f t="shared" si="10"/>
        <v>1742000</v>
      </c>
      <c r="H69" s="150">
        <v>70000</v>
      </c>
      <c r="I69" s="135">
        <f t="shared" si="10"/>
        <v>1820000</v>
      </c>
      <c r="J69" s="134">
        <v>69000</v>
      </c>
      <c r="K69" s="135">
        <f t="shared" si="10"/>
        <v>1794000</v>
      </c>
      <c r="L69" s="125">
        <f t="shared" ref="L69" si="24">ROUND(AVERAGE(H69,F69,J69),2)</f>
        <v>68666.67</v>
      </c>
      <c r="M69" s="108">
        <f t="shared" ref="M69" si="25">$E69*L69</f>
        <v>1785333.42</v>
      </c>
      <c r="N69" s="71">
        <f t="shared" si="23"/>
        <v>93743.737884000016</v>
      </c>
      <c r="O69" s="71">
        <f t="shared" ref="O69" si="26">ROUND(N69*E69,4)</f>
        <v>2437337.1850000001</v>
      </c>
      <c r="Q69" s="120"/>
    </row>
    <row r="70" spans="1:17" ht="91.2" x14ac:dyDescent="0.3">
      <c r="A70" s="147" t="s">
        <v>175</v>
      </c>
      <c r="B70" s="147"/>
      <c r="C70" s="220" t="s">
        <v>381</v>
      </c>
      <c r="D70" s="139" t="s">
        <v>32</v>
      </c>
      <c r="E70" s="152">
        <v>6</v>
      </c>
      <c r="F70" s="134">
        <v>116000</v>
      </c>
      <c r="G70" s="135">
        <f t="shared" si="10"/>
        <v>696000</v>
      </c>
      <c r="H70" s="150">
        <v>122000</v>
      </c>
      <c r="I70" s="135">
        <f t="shared" si="10"/>
        <v>732000</v>
      </c>
      <c r="J70" s="134">
        <v>119000</v>
      </c>
      <c r="K70" s="135">
        <f t="shared" si="10"/>
        <v>714000</v>
      </c>
      <c r="L70" s="125">
        <f t="shared" si="16"/>
        <v>119000</v>
      </c>
      <c r="M70" s="108">
        <f t="shared" si="17"/>
        <v>714000</v>
      </c>
      <c r="N70" s="71">
        <f t="shared" si="23"/>
        <v>162458.79999999999</v>
      </c>
      <c r="O70" s="71">
        <f t="shared" si="0"/>
        <v>974752.8</v>
      </c>
      <c r="Q70" s="120"/>
    </row>
    <row r="71" spans="1:17" ht="57" x14ac:dyDescent="0.3">
      <c r="A71" s="147" t="s">
        <v>177</v>
      </c>
      <c r="B71" s="147"/>
      <c r="C71" s="139" t="s">
        <v>183</v>
      </c>
      <c r="D71" s="139" t="s">
        <v>32</v>
      </c>
      <c r="E71" s="152">
        <v>8</v>
      </c>
      <c r="F71" s="134">
        <v>145000</v>
      </c>
      <c r="G71" s="135">
        <f t="shared" si="10"/>
        <v>1160000</v>
      </c>
      <c r="H71" s="150">
        <v>152000</v>
      </c>
      <c r="I71" s="135">
        <f t="shared" si="10"/>
        <v>1216000</v>
      </c>
      <c r="J71" s="134">
        <v>148000</v>
      </c>
      <c r="K71" s="135">
        <f t="shared" si="10"/>
        <v>1184000</v>
      </c>
      <c r="L71" s="125">
        <f t="shared" si="16"/>
        <v>148333.32999999999</v>
      </c>
      <c r="M71" s="108">
        <f t="shared" si="17"/>
        <v>1186666.6399999999</v>
      </c>
      <c r="N71" s="71">
        <f t="shared" si="23"/>
        <v>202504.66211599999</v>
      </c>
      <c r="O71" s="71">
        <f t="shared" si="0"/>
        <v>1620037.2969</v>
      </c>
      <c r="Q71" s="120"/>
    </row>
    <row r="72" spans="1:17" x14ac:dyDescent="0.3">
      <c r="A72" s="234" t="s">
        <v>43</v>
      </c>
      <c r="B72" s="234"/>
      <c r="C72" s="235" t="s">
        <v>87</v>
      </c>
      <c r="D72" s="234"/>
      <c r="E72" s="237"/>
      <c r="F72" s="239"/>
      <c r="G72" s="240"/>
      <c r="H72" s="239"/>
      <c r="I72" s="240"/>
      <c r="J72" s="239"/>
      <c r="K72" s="240"/>
      <c r="L72" s="238"/>
      <c r="M72" s="234"/>
      <c r="N72" s="71">
        <f t="shared" si="23"/>
        <v>0</v>
      </c>
      <c r="O72" s="71">
        <f t="shared" si="0"/>
        <v>0</v>
      </c>
      <c r="Q72" s="120"/>
    </row>
    <row r="73" spans="1:17" ht="34.200000000000003" x14ac:dyDescent="0.3">
      <c r="A73" s="147" t="s">
        <v>180</v>
      </c>
      <c r="B73" s="147"/>
      <c r="C73" s="138" t="s">
        <v>187</v>
      </c>
      <c r="D73" s="139" t="s">
        <v>32</v>
      </c>
      <c r="E73" s="152">
        <v>2</v>
      </c>
      <c r="F73" s="134">
        <v>151000</v>
      </c>
      <c r="G73" s="135">
        <f t="shared" si="10"/>
        <v>302000</v>
      </c>
      <c r="H73" s="150">
        <v>159000</v>
      </c>
      <c r="I73" s="135">
        <f t="shared" si="10"/>
        <v>318000</v>
      </c>
      <c r="J73" s="134">
        <v>155000</v>
      </c>
      <c r="K73" s="135">
        <f t="shared" si="10"/>
        <v>310000</v>
      </c>
      <c r="L73" s="125">
        <f t="shared" ref="L73" si="27">ROUND(AVERAGE(H73,F73,J73),2)</f>
        <v>155000</v>
      </c>
      <c r="M73" s="108">
        <f t="shared" ref="M73" si="28">$E73*L73</f>
        <v>310000</v>
      </c>
      <c r="N73" s="71">
        <f t="shared" si="23"/>
        <v>211606</v>
      </c>
      <c r="O73" s="71">
        <f t="shared" ref="O73" si="29">ROUND(N73*E73,4)</f>
        <v>423212</v>
      </c>
      <c r="Q73" s="120"/>
    </row>
    <row r="74" spans="1:17" ht="273.60000000000002" x14ac:dyDescent="0.3">
      <c r="A74" s="147" t="s">
        <v>182</v>
      </c>
      <c r="B74" s="147"/>
      <c r="C74" s="138" t="s">
        <v>382</v>
      </c>
      <c r="D74" s="139" t="s">
        <v>32</v>
      </c>
      <c r="E74" s="152">
        <v>2</v>
      </c>
      <c r="F74" s="134">
        <v>4213000</v>
      </c>
      <c r="G74" s="135">
        <f t="shared" si="10"/>
        <v>8426000</v>
      </c>
      <c r="H74" s="150">
        <v>4422000</v>
      </c>
      <c r="I74" s="135">
        <f t="shared" si="10"/>
        <v>8844000</v>
      </c>
      <c r="J74" s="134">
        <v>4320000</v>
      </c>
      <c r="K74" s="135">
        <f t="shared" si="10"/>
        <v>8640000</v>
      </c>
      <c r="L74" s="125">
        <f t="shared" ref="L74:L83" si="30">ROUND(AVERAGE(H74,F74,J74),2)</f>
        <v>4318333.33</v>
      </c>
      <c r="M74" s="108">
        <f t="shared" ref="M74:M83" si="31">$E74*L74</f>
        <v>8636666.6600000001</v>
      </c>
      <c r="N74" s="71">
        <f t="shared" ref="N74:N83" si="32">+L74*(1+$L$88+$L$89+$L$90)+L74*$L$91*$L$90</f>
        <v>5895388.6621160004</v>
      </c>
      <c r="O74" s="71">
        <f t="shared" ref="O74:O83" si="33">ROUND(N74*E74,4)</f>
        <v>11790777.324200001</v>
      </c>
      <c r="Q74" s="120"/>
    </row>
    <row r="75" spans="1:17" ht="45.6" x14ac:dyDescent="0.3">
      <c r="A75" s="147" t="s">
        <v>184</v>
      </c>
      <c r="B75" s="147"/>
      <c r="C75" s="138" t="s">
        <v>383</v>
      </c>
      <c r="D75" s="139" t="s">
        <v>25</v>
      </c>
      <c r="E75" s="152">
        <v>30</v>
      </c>
      <c r="F75" s="134">
        <v>82000</v>
      </c>
      <c r="G75" s="135">
        <f t="shared" si="10"/>
        <v>2460000</v>
      </c>
      <c r="H75" s="150">
        <v>86000</v>
      </c>
      <c r="I75" s="135">
        <f t="shared" si="10"/>
        <v>2580000</v>
      </c>
      <c r="J75" s="134">
        <v>84000</v>
      </c>
      <c r="K75" s="135">
        <f t="shared" si="10"/>
        <v>2520000</v>
      </c>
      <c r="L75" s="125">
        <f t="shared" si="30"/>
        <v>84000</v>
      </c>
      <c r="M75" s="108">
        <f t="shared" si="31"/>
        <v>2520000</v>
      </c>
      <c r="N75" s="71">
        <f t="shared" si="32"/>
        <v>114676.80000000002</v>
      </c>
      <c r="O75" s="71">
        <f t="shared" si="33"/>
        <v>3440304</v>
      </c>
      <c r="Q75" s="120"/>
    </row>
    <row r="76" spans="1:17" ht="68.400000000000006" x14ac:dyDescent="0.3">
      <c r="A76" s="147" t="s">
        <v>308</v>
      </c>
      <c r="B76" s="147"/>
      <c r="C76" s="138" t="s">
        <v>384</v>
      </c>
      <c r="D76" s="139" t="s">
        <v>25</v>
      </c>
      <c r="E76" s="152">
        <v>30</v>
      </c>
      <c r="F76" s="134">
        <v>50000</v>
      </c>
      <c r="G76" s="135">
        <f t="shared" si="10"/>
        <v>1500000</v>
      </c>
      <c r="H76" s="150">
        <v>52000</v>
      </c>
      <c r="I76" s="135">
        <f t="shared" si="10"/>
        <v>1560000</v>
      </c>
      <c r="J76" s="134">
        <v>51000</v>
      </c>
      <c r="K76" s="135">
        <f t="shared" si="10"/>
        <v>1530000</v>
      </c>
      <c r="L76" s="125">
        <f t="shared" si="30"/>
        <v>51000</v>
      </c>
      <c r="M76" s="108">
        <f t="shared" si="31"/>
        <v>1530000</v>
      </c>
      <c r="N76" s="71">
        <f t="shared" si="32"/>
        <v>69625.2</v>
      </c>
      <c r="O76" s="71">
        <f t="shared" si="33"/>
        <v>2088756</v>
      </c>
      <c r="Q76" s="120"/>
    </row>
    <row r="77" spans="1:17" ht="45.6" x14ac:dyDescent="0.3">
      <c r="A77" s="147" t="s">
        <v>310</v>
      </c>
      <c r="B77" s="147"/>
      <c r="C77" s="138" t="s">
        <v>204</v>
      </c>
      <c r="D77" s="139" t="s">
        <v>25</v>
      </c>
      <c r="E77" s="152">
        <v>170</v>
      </c>
      <c r="F77" s="134">
        <v>24000</v>
      </c>
      <c r="G77" s="135">
        <f t="shared" si="10"/>
        <v>4080000</v>
      </c>
      <c r="H77" s="150">
        <v>26000</v>
      </c>
      <c r="I77" s="135">
        <f t="shared" si="10"/>
        <v>4420000</v>
      </c>
      <c r="J77" s="134">
        <v>25000</v>
      </c>
      <c r="K77" s="135">
        <f t="shared" si="10"/>
        <v>4250000</v>
      </c>
      <c r="L77" s="125">
        <f t="shared" si="30"/>
        <v>25000</v>
      </c>
      <c r="M77" s="108">
        <f t="shared" si="31"/>
        <v>4250000</v>
      </c>
      <c r="N77" s="71">
        <f t="shared" si="32"/>
        <v>34130</v>
      </c>
      <c r="O77" s="71">
        <f t="shared" si="33"/>
        <v>5802100</v>
      </c>
      <c r="Q77" s="120"/>
    </row>
    <row r="78" spans="1:17" ht="45.6" x14ac:dyDescent="0.3">
      <c r="A78" s="147" t="s">
        <v>312</v>
      </c>
      <c r="B78" s="147"/>
      <c r="C78" s="138" t="s">
        <v>313</v>
      </c>
      <c r="D78" s="139" t="s">
        <v>25</v>
      </c>
      <c r="E78" s="152">
        <v>100</v>
      </c>
      <c r="F78" s="134">
        <v>33000</v>
      </c>
      <c r="G78" s="135">
        <f t="shared" si="10"/>
        <v>3300000</v>
      </c>
      <c r="H78" s="150">
        <v>34000</v>
      </c>
      <c r="I78" s="135">
        <f t="shared" si="10"/>
        <v>3400000</v>
      </c>
      <c r="J78" s="134">
        <v>33000</v>
      </c>
      <c r="K78" s="135">
        <f t="shared" si="10"/>
        <v>3300000</v>
      </c>
      <c r="L78" s="125">
        <f t="shared" si="30"/>
        <v>33333.33</v>
      </c>
      <c r="M78" s="108">
        <f t="shared" si="31"/>
        <v>3333333</v>
      </c>
      <c r="N78" s="71">
        <f t="shared" si="32"/>
        <v>45506.662116000007</v>
      </c>
      <c r="O78" s="71">
        <f t="shared" si="33"/>
        <v>4550666.2116</v>
      </c>
      <c r="Q78" s="120"/>
    </row>
    <row r="79" spans="1:17" ht="68.400000000000006" x14ac:dyDescent="0.3">
      <c r="A79" s="147" t="s">
        <v>314</v>
      </c>
      <c r="B79" s="147"/>
      <c r="C79" s="138" t="s">
        <v>385</v>
      </c>
      <c r="D79" s="139" t="s">
        <v>25</v>
      </c>
      <c r="E79" s="152">
        <v>80</v>
      </c>
      <c r="F79" s="134">
        <v>26000</v>
      </c>
      <c r="G79" s="135">
        <f t="shared" si="10"/>
        <v>2080000</v>
      </c>
      <c r="H79" s="150">
        <v>28000</v>
      </c>
      <c r="I79" s="135">
        <f t="shared" si="10"/>
        <v>2240000</v>
      </c>
      <c r="J79" s="134">
        <v>27000</v>
      </c>
      <c r="K79" s="135">
        <f t="shared" si="10"/>
        <v>2160000</v>
      </c>
      <c r="L79" s="125">
        <f t="shared" si="30"/>
        <v>27000</v>
      </c>
      <c r="M79" s="108">
        <f t="shared" si="31"/>
        <v>2160000</v>
      </c>
      <c r="N79" s="71">
        <f t="shared" si="32"/>
        <v>36860.400000000001</v>
      </c>
      <c r="O79" s="71">
        <f t="shared" si="33"/>
        <v>2948832</v>
      </c>
      <c r="Q79" s="120"/>
    </row>
    <row r="80" spans="1:17" ht="68.400000000000006" x14ac:dyDescent="0.3">
      <c r="A80" s="147" t="s">
        <v>315</v>
      </c>
      <c r="B80" s="147"/>
      <c r="C80" s="138" t="s">
        <v>316</v>
      </c>
      <c r="D80" s="139" t="s">
        <v>25</v>
      </c>
      <c r="E80" s="152">
        <v>50</v>
      </c>
      <c r="F80" s="134">
        <v>21000</v>
      </c>
      <c r="G80" s="135">
        <f t="shared" si="10"/>
        <v>1050000</v>
      </c>
      <c r="H80" s="150">
        <v>22000</v>
      </c>
      <c r="I80" s="135">
        <f t="shared" si="10"/>
        <v>1100000</v>
      </c>
      <c r="J80" s="134">
        <v>21000</v>
      </c>
      <c r="K80" s="135">
        <f t="shared" si="10"/>
        <v>1050000</v>
      </c>
      <c r="L80" s="125">
        <f t="shared" si="30"/>
        <v>21333.33</v>
      </c>
      <c r="M80" s="108">
        <f t="shared" si="31"/>
        <v>1066666.5</v>
      </c>
      <c r="N80" s="71">
        <f t="shared" si="32"/>
        <v>29124.262116000005</v>
      </c>
      <c r="O80" s="71">
        <f t="shared" si="33"/>
        <v>1456213.1058</v>
      </c>
      <c r="Q80" s="120"/>
    </row>
    <row r="81" spans="1:17" ht="68.400000000000006" x14ac:dyDescent="0.3">
      <c r="A81" s="147" t="s">
        <v>317</v>
      </c>
      <c r="B81" s="147"/>
      <c r="C81" s="138" t="s">
        <v>386</v>
      </c>
      <c r="D81" s="221" t="s">
        <v>25</v>
      </c>
      <c r="E81" s="152">
        <v>30</v>
      </c>
      <c r="F81" s="134">
        <v>42000</v>
      </c>
      <c r="G81" s="135">
        <f t="shared" si="10"/>
        <v>1260000</v>
      </c>
      <c r="H81" s="150">
        <v>44000</v>
      </c>
      <c r="I81" s="135">
        <f t="shared" si="10"/>
        <v>1320000</v>
      </c>
      <c r="J81" s="134">
        <v>43000</v>
      </c>
      <c r="K81" s="135">
        <f t="shared" si="10"/>
        <v>1290000</v>
      </c>
      <c r="L81" s="125">
        <f t="shared" si="30"/>
        <v>43000</v>
      </c>
      <c r="M81" s="108">
        <f t="shared" si="31"/>
        <v>1290000</v>
      </c>
      <c r="N81" s="71">
        <f t="shared" si="32"/>
        <v>58703.600000000006</v>
      </c>
      <c r="O81" s="71">
        <f t="shared" si="33"/>
        <v>1761108</v>
      </c>
      <c r="Q81" s="120"/>
    </row>
    <row r="82" spans="1:17" ht="45.6" x14ac:dyDescent="0.3">
      <c r="A82" s="147" t="s">
        <v>319</v>
      </c>
      <c r="B82" s="147"/>
      <c r="C82" s="138" t="s">
        <v>387</v>
      </c>
      <c r="D82" s="221" t="s">
        <v>25</v>
      </c>
      <c r="E82" s="152">
        <v>100</v>
      </c>
      <c r="F82" s="134">
        <v>55000</v>
      </c>
      <c r="G82" s="135">
        <f t="shared" si="10"/>
        <v>5500000</v>
      </c>
      <c r="H82" s="150">
        <v>58000</v>
      </c>
      <c r="I82" s="135">
        <f t="shared" si="10"/>
        <v>5800000</v>
      </c>
      <c r="J82" s="134">
        <v>57000</v>
      </c>
      <c r="K82" s="135">
        <f t="shared" si="10"/>
        <v>5700000</v>
      </c>
      <c r="L82" s="125">
        <f t="shared" si="30"/>
        <v>56666.67</v>
      </c>
      <c r="M82" s="108">
        <f t="shared" si="31"/>
        <v>5666667</v>
      </c>
      <c r="N82" s="71">
        <f t="shared" si="32"/>
        <v>77361.337883999993</v>
      </c>
      <c r="O82" s="71">
        <f t="shared" si="33"/>
        <v>7736133.7884</v>
      </c>
      <c r="Q82" s="120"/>
    </row>
    <row r="83" spans="1:17" ht="283.2" customHeight="1" x14ac:dyDescent="0.3">
      <c r="A83" s="147" t="s">
        <v>388</v>
      </c>
      <c r="B83" s="147"/>
      <c r="C83" s="138" t="s">
        <v>389</v>
      </c>
      <c r="D83" s="221" t="s">
        <v>32</v>
      </c>
      <c r="E83" s="152">
        <v>1</v>
      </c>
      <c r="F83" s="134">
        <v>3611000</v>
      </c>
      <c r="G83" s="135">
        <f t="shared" si="10"/>
        <v>3611000</v>
      </c>
      <c r="H83" s="150">
        <v>3790000</v>
      </c>
      <c r="I83" s="135">
        <f t="shared" si="10"/>
        <v>3790000</v>
      </c>
      <c r="J83" s="134">
        <v>3703000</v>
      </c>
      <c r="K83" s="135">
        <f t="shared" si="10"/>
        <v>3703000</v>
      </c>
      <c r="L83" s="125">
        <f t="shared" si="30"/>
        <v>3701333.33</v>
      </c>
      <c r="M83" s="108">
        <f t="shared" si="31"/>
        <v>3701333.33</v>
      </c>
      <c r="N83" s="71">
        <f t="shared" si="32"/>
        <v>5053060.2621160001</v>
      </c>
      <c r="O83" s="71">
        <f t="shared" si="33"/>
        <v>5053060.2620999999</v>
      </c>
      <c r="Q83" s="120"/>
    </row>
    <row r="84" spans="1:17" x14ac:dyDescent="0.3">
      <c r="A84" s="181">
        <v>3</v>
      </c>
      <c r="B84" s="181"/>
      <c r="C84" s="182" t="s">
        <v>219</v>
      </c>
      <c r="D84" s="183"/>
      <c r="E84" s="222"/>
      <c r="F84" s="130"/>
      <c r="G84" s="131"/>
      <c r="H84" s="130"/>
      <c r="I84" s="131"/>
      <c r="J84" s="130"/>
      <c r="K84" s="131"/>
      <c r="L84" s="124"/>
      <c r="M84" s="77"/>
      <c r="N84" s="71">
        <f t="shared" ref="N84:N85" si="34">+L84*(1+$L$88+$L$89+$L$90)+L84*$L$91*$L$90</f>
        <v>0</v>
      </c>
      <c r="O84" s="71">
        <f t="shared" si="0"/>
        <v>0</v>
      </c>
      <c r="Q84" s="120"/>
    </row>
    <row r="85" spans="1:17" ht="22.8" x14ac:dyDescent="0.3">
      <c r="A85" s="147" t="s">
        <v>52</v>
      </c>
      <c r="B85" s="147"/>
      <c r="C85" s="138" t="s">
        <v>104</v>
      </c>
      <c r="D85" s="139" t="s">
        <v>38</v>
      </c>
      <c r="E85" s="152">
        <v>40</v>
      </c>
      <c r="F85" s="134">
        <v>65000</v>
      </c>
      <c r="G85" s="135">
        <f t="shared" si="10"/>
        <v>2600000</v>
      </c>
      <c r="H85" s="150">
        <v>68000</v>
      </c>
      <c r="I85" s="135">
        <f t="shared" si="10"/>
        <v>2720000</v>
      </c>
      <c r="J85" s="134">
        <v>67000</v>
      </c>
      <c r="K85" s="135">
        <f t="shared" si="10"/>
        <v>2680000</v>
      </c>
      <c r="L85" s="125">
        <f>ROUND(AVERAGE(H85,F85,J85),2)</f>
        <v>66666.67</v>
      </c>
      <c r="M85" s="108">
        <f t="shared" si="17"/>
        <v>2666666.7999999998</v>
      </c>
      <c r="N85" s="71">
        <f t="shared" si="34"/>
        <v>91013.337884000008</v>
      </c>
      <c r="O85" s="71">
        <f t="shared" si="0"/>
        <v>3640533.5153999999</v>
      </c>
      <c r="Q85" s="120"/>
    </row>
    <row r="86" spans="1:17" x14ac:dyDescent="0.3">
      <c r="A86" s="147" t="s">
        <v>321</v>
      </c>
      <c r="B86" s="147"/>
      <c r="C86" s="138" t="s">
        <v>106</v>
      </c>
      <c r="D86" s="139" t="s">
        <v>32</v>
      </c>
      <c r="E86" s="152">
        <v>1</v>
      </c>
      <c r="F86" s="134">
        <v>1032000</v>
      </c>
      <c r="G86" s="135">
        <f t="shared" si="10"/>
        <v>1032000</v>
      </c>
      <c r="H86" s="150">
        <v>1083000</v>
      </c>
      <c r="I86" s="135">
        <f t="shared" si="10"/>
        <v>1083000</v>
      </c>
      <c r="J86" s="134">
        <v>1058000</v>
      </c>
      <c r="K86" s="135">
        <f t="shared" si="10"/>
        <v>1058000</v>
      </c>
      <c r="L86" s="125">
        <f t="shared" si="16"/>
        <v>1057666.67</v>
      </c>
      <c r="M86" s="108">
        <f t="shared" si="17"/>
        <v>1057666.67</v>
      </c>
      <c r="N86" s="71">
        <f>+L86*(1+$L$88+$L$89+$L$90)+L86*$L$91*$L$90</f>
        <v>1443926.537884</v>
      </c>
      <c r="O86" s="71">
        <f t="shared" si="0"/>
        <v>1443926.5379000001</v>
      </c>
      <c r="Q86" s="120">
        <f t="shared" si="4"/>
        <v>1443926.5379000001</v>
      </c>
    </row>
    <row r="87" spans="1:17" s="87" customFormat="1" x14ac:dyDescent="0.2">
      <c r="A87" s="314" t="s">
        <v>220</v>
      </c>
      <c r="B87" s="315"/>
      <c r="C87" s="315"/>
      <c r="D87" s="315"/>
      <c r="E87" s="338"/>
      <c r="F87" s="294">
        <f>+SUM(G6:G86)</f>
        <v>220313278.08000001</v>
      </c>
      <c r="G87" s="295"/>
      <c r="H87" s="339">
        <f>+SUM(I6:I86)</f>
        <v>231277960.63999999</v>
      </c>
      <c r="I87" s="340"/>
      <c r="J87" s="339">
        <f>ROUND(SUM(K6:K86),2)</f>
        <v>225773576.12</v>
      </c>
      <c r="K87" s="340"/>
      <c r="L87" s="285">
        <f>+ROUND(SUM(M6:M86),4)</f>
        <v>225788271.37549999</v>
      </c>
      <c r="M87" s="286"/>
      <c r="O87" s="119">
        <f>+SUM(O6:O86)</f>
        <v>308246148.0819</v>
      </c>
      <c r="P87" s="117"/>
      <c r="Q87" s="120">
        <f t="shared" si="4"/>
        <v>308246148.0819</v>
      </c>
    </row>
    <row r="88" spans="1:17" s="86" customFormat="1" x14ac:dyDescent="0.2">
      <c r="A88" s="318"/>
      <c r="B88" s="319"/>
      <c r="C88" s="319"/>
      <c r="D88" s="320"/>
      <c r="E88" s="123" t="s">
        <v>221</v>
      </c>
      <c r="F88" s="136">
        <v>0.25</v>
      </c>
      <c r="G88" s="141">
        <f>F$87*F88</f>
        <v>55078319.520000003</v>
      </c>
      <c r="H88" s="136">
        <v>0.25</v>
      </c>
      <c r="I88" s="137">
        <f>H$87*H88</f>
        <v>57819490.159999996</v>
      </c>
      <c r="J88" s="136">
        <v>0.25</v>
      </c>
      <c r="K88" s="137">
        <f>J$87*J88</f>
        <v>56443394.030000001</v>
      </c>
      <c r="L88" s="127">
        <f>ROUND(AVERAGE(F88,H88,J88),4)</f>
        <v>0.25</v>
      </c>
      <c r="M88" s="109">
        <f>ROUND(L$87*L88,2)</f>
        <v>56447067.840000004</v>
      </c>
      <c r="N88" s="85"/>
      <c r="O88" s="85"/>
      <c r="P88" s="117"/>
      <c r="Q88" s="120">
        <f t="shared" si="4"/>
        <v>0</v>
      </c>
    </row>
    <row r="89" spans="1:17" s="86" customFormat="1" x14ac:dyDescent="0.2">
      <c r="A89" s="318"/>
      <c r="B89" s="319"/>
      <c r="C89" s="319"/>
      <c r="D89" s="320"/>
      <c r="E89" s="123" t="s">
        <v>222</v>
      </c>
      <c r="F89" s="136">
        <v>0.02</v>
      </c>
      <c r="G89" s="141">
        <f>F$87*F89</f>
        <v>4406265.5616000006</v>
      </c>
      <c r="H89" s="136">
        <v>0.02</v>
      </c>
      <c r="I89" s="137">
        <f>H$87*H89</f>
        <v>4625559.2127999999</v>
      </c>
      <c r="J89" s="136">
        <v>0.02</v>
      </c>
      <c r="K89" s="137">
        <f>J$87*J89</f>
        <v>4515471.5224000001</v>
      </c>
      <c r="L89" s="127">
        <f>ROUND(AVERAGE(F89,H89,J89),4)</f>
        <v>0.02</v>
      </c>
      <c r="M89" s="109">
        <f>ROUND(L$87*L89,2)</f>
        <v>4515765.43</v>
      </c>
      <c r="N89" s="85"/>
      <c r="O89" s="85"/>
      <c r="P89" s="117"/>
      <c r="Q89" s="120">
        <f t="shared" si="4"/>
        <v>0</v>
      </c>
    </row>
    <row r="90" spans="1:17" s="86" customFormat="1" x14ac:dyDescent="0.2">
      <c r="A90" s="318"/>
      <c r="B90" s="319"/>
      <c r="C90" s="319"/>
      <c r="D90" s="320"/>
      <c r="E90" s="123" t="s">
        <v>223</v>
      </c>
      <c r="F90" s="136">
        <v>0.08</v>
      </c>
      <c r="G90" s="141">
        <f>F$87*F90</f>
        <v>17625062.246400002</v>
      </c>
      <c r="H90" s="136">
        <v>0.08</v>
      </c>
      <c r="I90" s="137">
        <f>H$87*H90</f>
        <v>18502236.851199999</v>
      </c>
      <c r="J90" s="136">
        <v>0.08</v>
      </c>
      <c r="K90" s="137">
        <f>J$87*J90</f>
        <v>18061886.089600001</v>
      </c>
      <c r="L90" s="127">
        <f>ROUND(AVERAGE(F90,H90,J90),4)</f>
        <v>0.08</v>
      </c>
      <c r="M90" s="109">
        <f>ROUND(L$87*L90,2)</f>
        <v>18063061.710000001</v>
      </c>
      <c r="N90" s="85"/>
      <c r="O90" s="85"/>
      <c r="P90" s="117"/>
      <c r="Q90" s="120">
        <f t="shared" si="4"/>
        <v>0</v>
      </c>
    </row>
    <row r="91" spans="1:17" s="86" customFormat="1" x14ac:dyDescent="0.2">
      <c r="A91" s="318"/>
      <c r="B91" s="319"/>
      <c r="C91" s="319"/>
      <c r="D91" s="320"/>
      <c r="E91" s="123" t="s">
        <v>224</v>
      </c>
      <c r="F91" s="136">
        <v>0.19</v>
      </c>
      <c r="G91" s="141">
        <f>+G90*F91</f>
        <v>3348761.8268160005</v>
      </c>
      <c r="H91" s="136">
        <v>0.19</v>
      </c>
      <c r="I91" s="137">
        <f>+I90*H91</f>
        <v>3515425.0017280001</v>
      </c>
      <c r="J91" s="136">
        <v>0.19</v>
      </c>
      <c r="K91" s="137">
        <f>+K90*J91</f>
        <v>3431758.357024</v>
      </c>
      <c r="L91" s="127">
        <v>0.19</v>
      </c>
      <c r="M91" s="109">
        <f>ROUND(M$90*L91,2)</f>
        <v>3431981.72</v>
      </c>
      <c r="N91" s="85"/>
      <c r="O91" s="85"/>
      <c r="P91" s="117"/>
      <c r="Q91" s="120">
        <f t="shared" si="4"/>
        <v>0</v>
      </c>
    </row>
    <row r="92" spans="1:17" s="87" customFormat="1" ht="12.6" thickBot="1" x14ac:dyDescent="0.25">
      <c r="A92" s="314" t="s">
        <v>7</v>
      </c>
      <c r="B92" s="315"/>
      <c r="C92" s="315"/>
      <c r="D92" s="315"/>
      <c r="E92" s="315"/>
      <c r="F92" s="316">
        <f>+F87+G88+G89+G90+G91</f>
        <v>300771687.23481607</v>
      </c>
      <c r="G92" s="297"/>
      <c r="H92" s="316">
        <f>+H87+I88+I89+I90+I91</f>
        <v>315740671.86572796</v>
      </c>
      <c r="I92" s="297"/>
      <c r="J92" s="316">
        <f>+J87+K88+K89+K90+K91</f>
        <v>308226086.11902404</v>
      </c>
      <c r="K92" s="297"/>
      <c r="L92" s="287">
        <f>ROUND(L87+M88+M89+M90+M91,2)</f>
        <v>308246148.07999998</v>
      </c>
      <c r="M92" s="288"/>
      <c r="N92" s="85"/>
      <c r="O92" s="85"/>
      <c r="P92" s="117"/>
      <c r="Q92" s="120">
        <f t="shared" si="4"/>
        <v>0</v>
      </c>
    </row>
    <row r="93" spans="1:17" x14ac:dyDescent="0.2">
      <c r="A93" s="325"/>
      <c r="B93" s="326"/>
      <c r="C93" s="326"/>
      <c r="D93" s="326"/>
      <c r="E93" s="326"/>
      <c r="F93" s="327"/>
      <c r="G93" s="327"/>
      <c r="H93" s="327"/>
      <c r="I93" s="327"/>
      <c r="J93" s="327"/>
      <c r="K93" s="328"/>
      <c r="L93" s="88"/>
      <c r="P93" s="117"/>
      <c r="Q93" s="86"/>
    </row>
    <row r="94" spans="1:17" s="91" customFormat="1" ht="12.6" thickBot="1" x14ac:dyDescent="0.25">
      <c r="A94" s="321" t="s">
        <v>225</v>
      </c>
      <c r="B94" s="322"/>
      <c r="C94" s="322"/>
      <c r="D94" s="322"/>
      <c r="E94" s="322"/>
      <c r="F94" s="323"/>
      <c r="G94" s="323"/>
      <c r="H94" s="323"/>
      <c r="I94" s="323"/>
      <c r="J94" s="323"/>
      <c r="K94" s="324"/>
      <c r="L94" s="90"/>
      <c r="M94" s="90"/>
      <c r="N94" s="85"/>
      <c r="O94" s="85"/>
      <c r="P94" s="117"/>
      <c r="Q94" s="86"/>
    </row>
    <row r="95" spans="1:17" s="91" customFormat="1" x14ac:dyDescent="0.2">
      <c r="A95" s="92" t="s">
        <v>2</v>
      </c>
      <c r="B95" s="92"/>
      <c r="C95" s="93" t="s">
        <v>3</v>
      </c>
      <c r="D95" s="92" t="s">
        <v>4</v>
      </c>
      <c r="E95" s="151" t="s">
        <v>5</v>
      </c>
      <c r="F95" s="157" t="s">
        <v>226</v>
      </c>
      <c r="G95" s="158" t="s">
        <v>227</v>
      </c>
      <c r="H95" s="157" t="s">
        <v>226</v>
      </c>
      <c r="I95" s="158" t="s">
        <v>227</v>
      </c>
      <c r="J95" s="157" t="s">
        <v>226</v>
      </c>
      <c r="K95" s="158" t="s">
        <v>227</v>
      </c>
      <c r="L95" s="154" t="s">
        <v>226</v>
      </c>
      <c r="M95" s="96" t="s">
        <v>227</v>
      </c>
      <c r="N95" s="85"/>
      <c r="O95" s="85"/>
      <c r="P95" s="118"/>
    </row>
    <row r="96" spans="1:17" s="81" customFormat="1" x14ac:dyDescent="0.3">
      <c r="A96" s="181">
        <v>4</v>
      </c>
      <c r="B96" s="181"/>
      <c r="C96" s="182" t="s">
        <v>72</v>
      </c>
      <c r="D96" s="183"/>
      <c r="E96" s="222"/>
      <c r="F96" s="130"/>
      <c r="G96" s="131"/>
      <c r="H96" s="130"/>
      <c r="I96" s="131"/>
      <c r="J96" s="130"/>
      <c r="K96" s="131"/>
      <c r="L96" s="124"/>
      <c r="M96" s="77"/>
      <c r="N96" s="80"/>
      <c r="O96" s="80"/>
      <c r="P96" s="114"/>
    </row>
    <row r="97" spans="1:16" ht="79.95" customHeight="1" x14ac:dyDescent="0.3">
      <c r="A97" s="147" t="s">
        <v>55</v>
      </c>
      <c r="B97" s="147"/>
      <c r="C97" s="138" t="s">
        <v>390</v>
      </c>
      <c r="D97" s="139" t="s">
        <v>32</v>
      </c>
      <c r="E97" s="152">
        <v>1</v>
      </c>
      <c r="F97" s="161">
        <v>2132000</v>
      </c>
      <c r="G97" s="162">
        <f t="shared" ref="G97:G98" si="35">ROUND($E97*F97,2)</f>
        <v>2132000</v>
      </c>
      <c r="H97" s="241">
        <v>2238000</v>
      </c>
      <c r="I97" s="162">
        <f t="shared" ref="I97:I98" si="36">ROUND($E97*H97,2)</f>
        <v>2238000</v>
      </c>
      <c r="J97" s="161">
        <v>2186000</v>
      </c>
      <c r="K97" s="162">
        <f t="shared" ref="K97:K98" si="37">ROUND($E97*J97,2)</f>
        <v>2186000</v>
      </c>
      <c r="L97" s="156">
        <f>ROUND(AVERAGE(H97,F97,J97),2)</f>
        <v>2185333.33</v>
      </c>
      <c r="M97" s="72">
        <f t="shared" ref="M97:M98" si="38">ROUND($E97*L97,2)</f>
        <v>2185333.33</v>
      </c>
      <c r="N97" s="71">
        <f>+L97+L97*$L$100</f>
        <v>2600546.6627000002</v>
      </c>
      <c r="O97" s="71">
        <f>ROUND(N97*E97,4)</f>
        <v>2600546.6627000002</v>
      </c>
    </row>
    <row r="98" spans="1:16" ht="149.4" customHeight="1" thickBot="1" x14ac:dyDescent="0.35">
      <c r="A98" s="147" t="s">
        <v>57</v>
      </c>
      <c r="B98" s="147"/>
      <c r="C98" s="138" t="s">
        <v>391</v>
      </c>
      <c r="D98" s="139" t="s">
        <v>32</v>
      </c>
      <c r="E98" s="152">
        <v>4</v>
      </c>
      <c r="F98" s="242">
        <v>2667000</v>
      </c>
      <c r="G98" s="243">
        <f t="shared" si="35"/>
        <v>10668000</v>
      </c>
      <c r="H98" s="244">
        <v>2800000</v>
      </c>
      <c r="I98" s="243">
        <f t="shared" si="36"/>
        <v>11200000</v>
      </c>
      <c r="J98" s="242">
        <v>2735000</v>
      </c>
      <c r="K98" s="243">
        <f t="shared" si="37"/>
        <v>10940000</v>
      </c>
      <c r="L98" s="156">
        <f>ROUND(AVERAGE(H98,F98,J98),2)</f>
        <v>2734000</v>
      </c>
      <c r="M98" s="72">
        <f t="shared" si="38"/>
        <v>10936000</v>
      </c>
      <c r="N98" s="71">
        <f>+L98+L98*$L$100</f>
        <v>3253460</v>
      </c>
      <c r="O98" s="71">
        <f t="shared" ref="O98" si="39">ROUND(N98*E98,4)</f>
        <v>13013840</v>
      </c>
    </row>
    <row r="99" spans="1:16" s="87" customFormat="1" x14ac:dyDescent="0.2">
      <c r="A99" s="314" t="s">
        <v>220</v>
      </c>
      <c r="B99" s="315"/>
      <c r="C99" s="315"/>
      <c r="D99" s="315"/>
      <c r="E99" s="331"/>
      <c r="F99" s="337">
        <f>SUM(G97:G98)</f>
        <v>12800000</v>
      </c>
      <c r="G99" s="337"/>
      <c r="H99" s="334">
        <f>SUM(I97:I98)</f>
        <v>13438000</v>
      </c>
      <c r="I99" s="334"/>
      <c r="J99" s="334">
        <f>SUM(K97:K98)</f>
        <v>13126000</v>
      </c>
      <c r="K99" s="334"/>
      <c r="L99" s="288">
        <f>ROUND(SUM(M97:M98),2)</f>
        <v>13121333.33</v>
      </c>
      <c r="M99" s="288"/>
      <c r="N99" s="288">
        <f>ROUND(SUM(O97:O98),2)</f>
        <v>15614386.66</v>
      </c>
      <c r="O99" s="329"/>
      <c r="P99" s="110"/>
    </row>
    <row r="100" spans="1:16" s="86" customFormat="1" x14ac:dyDescent="0.2">
      <c r="A100" s="318"/>
      <c r="B100" s="319"/>
      <c r="C100" s="319"/>
      <c r="D100" s="320"/>
      <c r="E100" s="97" t="s">
        <v>224</v>
      </c>
      <c r="F100" s="142">
        <v>0.19</v>
      </c>
      <c r="G100" s="143">
        <f>F99*F100</f>
        <v>2432000</v>
      </c>
      <c r="H100" s="98">
        <v>0.19</v>
      </c>
      <c r="I100" s="109">
        <f>H99*H100</f>
        <v>2553220</v>
      </c>
      <c r="J100" s="98">
        <v>0.19</v>
      </c>
      <c r="K100" s="109">
        <f>J99*J100</f>
        <v>2493940</v>
      </c>
      <c r="L100" s="99">
        <f>+AVERAGE(H100,F100,J100)</f>
        <v>0.19000000000000003</v>
      </c>
      <c r="M100" s="109">
        <f>+ROUND(L99*L100,2)</f>
        <v>2493053.33</v>
      </c>
      <c r="N100" s="85"/>
      <c r="O100" s="85"/>
      <c r="P100" s="110"/>
    </row>
    <row r="101" spans="1:16" s="87" customFormat="1" x14ac:dyDescent="0.2">
      <c r="A101" s="314" t="s">
        <v>7</v>
      </c>
      <c r="B101" s="315"/>
      <c r="C101" s="315"/>
      <c r="D101" s="315"/>
      <c r="E101" s="331"/>
      <c r="F101" s="332">
        <f>+G100+F99</f>
        <v>15232000</v>
      </c>
      <c r="G101" s="332"/>
      <c r="H101" s="288">
        <f>+I100+H99</f>
        <v>15991220</v>
      </c>
      <c r="I101" s="288"/>
      <c r="J101" s="288">
        <f>+K100+J99</f>
        <v>15619940</v>
      </c>
      <c r="K101" s="288"/>
      <c r="L101" s="288">
        <f>ROUND(M100+L99,2)</f>
        <v>15614386.66</v>
      </c>
      <c r="M101" s="288"/>
      <c r="N101" s="85"/>
      <c r="O101" s="85"/>
      <c r="P101" s="110"/>
    </row>
    <row r="102" spans="1:16" s="91" customFormat="1" x14ac:dyDescent="0.2">
      <c r="A102" s="311"/>
      <c r="B102" s="312"/>
      <c r="C102" s="312"/>
      <c r="D102" s="312"/>
      <c r="E102" s="313"/>
      <c r="F102" s="330">
        <f>+F101+F92</f>
        <v>316003687.23481607</v>
      </c>
      <c r="G102" s="330"/>
      <c r="H102" s="330">
        <f>+H101+H92</f>
        <v>331731891.86572796</v>
      </c>
      <c r="I102" s="330"/>
      <c r="J102" s="330">
        <f>+J101+J92</f>
        <v>323846026.11902404</v>
      </c>
      <c r="K102" s="330"/>
      <c r="L102" s="284">
        <f>+L101+L92</f>
        <v>323860534.74000001</v>
      </c>
      <c r="M102" s="284"/>
      <c r="N102" s="85"/>
      <c r="O102" s="85">
        <f>+N99+O87</f>
        <v>323860534.74190003</v>
      </c>
      <c r="P102" s="118"/>
    </row>
    <row r="103" spans="1:16" ht="11.4" x14ac:dyDescent="0.3">
      <c r="A103" s="74"/>
      <c r="B103" s="74"/>
      <c r="C103" s="74"/>
      <c r="D103" s="74"/>
      <c r="E103" s="74"/>
      <c r="F103" s="74"/>
      <c r="G103" s="74"/>
      <c r="H103" s="74"/>
      <c r="I103" s="74"/>
      <c r="J103" s="74"/>
      <c r="K103" s="74"/>
      <c r="L103" s="74"/>
      <c r="M103" s="74"/>
    </row>
    <row r="104" spans="1:16" ht="11.4" x14ac:dyDescent="0.3">
      <c r="A104" s="74"/>
      <c r="B104" s="74"/>
      <c r="C104" s="74"/>
      <c r="D104" s="74"/>
      <c r="E104" s="74"/>
      <c r="F104" s="74"/>
      <c r="G104" s="149"/>
      <c r="H104" s="74"/>
      <c r="I104" s="74"/>
      <c r="J104" s="74"/>
      <c r="K104" s="74"/>
      <c r="L104" s="74"/>
      <c r="M104" s="74"/>
    </row>
    <row r="105" spans="1:16" ht="11.4" x14ac:dyDescent="0.3">
      <c r="A105" s="74"/>
      <c r="B105" s="74"/>
      <c r="C105" s="74"/>
      <c r="D105" s="74"/>
      <c r="E105" s="74"/>
      <c r="F105" s="74"/>
      <c r="G105" s="74"/>
      <c r="H105" s="74"/>
      <c r="I105" s="74"/>
      <c r="J105" s="74"/>
      <c r="K105" s="74"/>
      <c r="L105" s="74"/>
      <c r="M105" s="165">
        <f>SEMAP!L82+'Alojamiento Semap'!K94+'Viviendas Fiscales'!L102</f>
        <v>1238411823.75</v>
      </c>
    </row>
    <row r="106" spans="1:16" ht="11.4" x14ac:dyDescent="0.3">
      <c r="A106" s="74"/>
      <c r="B106" s="74"/>
      <c r="C106" s="74"/>
      <c r="D106" s="74"/>
      <c r="E106" s="74"/>
      <c r="F106" s="74"/>
      <c r="G106" s="74"/>
      <c r="H106" s="74"/>
      <c r="I106" s="74"/>
      <c r="J106" s="74"/>
      <c r="K106" s="74"/>
      <c r="L106" s="74"/>
      <c r="M106" s="74"/>
    </row>
    <row r="107" spans="1:16" ht="11.4" x14ac:dyDescent="0.3">
      <c r="A107" s="74"/>
      <c r="B107" s="74"/>
      <c r="C107" s="74"/>
      <c r="D107" s="74"/>
      <c r="E107" s="74"/>
      <c r="F107" s="74"/>
      <c r="G107" s="74"/>
      <c r="H107" s="74"/>
      <c r="I107" s="74"/>
      <c r="J107" s="74"/>
      <c r="K107" s="74"/>
      <c r="L107" s="74"/>
      <c r="M107" s="74"/>
    </row>
    <row r="108" spans="1:16" ht="11.4" x14ac:dyDescent="0.2">
      <c r="A108" s="74"/>
      <c r="B108" s="74"/>
      <c r="C108" s="74"/>
      <c r="D108" s="74"/>
      <c r="E108" s="74"/>
      <c r="F108" s="74"/>
      <c r="G108" s="74"/>
      <c r="H108" s="74"/>
      <c r="I108" s="74"/>
      <c r="J108" s="74"/>
      <c r="K108" s="74"/>
      <c r="M108" s="74"/>
    </row>
    <row r="109" spans="1:16" ht="11.4" x14ac:dyDescent="0.3">
      <c r="A109" s="74"/>
      <c r="B109" s="74"/>
      <c r="C109" s="74"/>
      <c r="D109" s="74"/>
      <c r="E109" s="74"/>
      <c r="F109" s="74"/>
      <c r="G109" s="74"/>
      <c r="H109" s="74"/>
      <c r="I109" s="74"/>
      <c r="J109" s="74"/>
      <c r="K109" s="74"/>
      <c r="L109" s="74"/>
      <c r="M109" s="74"/>
    </row>
    <row r="110" spans="1:16" ht="11.4" x14ac:dyDescent="0.3">
      <c r="A110" s="74"/>
      <c r="B110" s="74"/>
      <c r="C110" s="74"/>
      <c r="D110" s="74"/>
      <c r="E110" s="74"/>
      <c r="F110" s="74"/>
      <c r="G110" s="74"/>
      <c r="H110" s="74"/>
      <c r="I110" s="74"/>
      <c r="J110" s="74"/>
      <c r="K110" s="74"/>
      <c r="L110" s="74"/>
      <c r="M110" s="74"/>
    </row>
    <row r="111" spans="1:16" ht="11.4" x14ac:dyDescent="0.3">
      <c r="A111" s="74"/>
      <c r="B111" s="74"/>
      <c r="C111" s="74"/>
      <c r="D111" s="74"/>
      <c r="E111" s="74"/>
      <c r="F111" s="74"/>
      <c r="G111" s="74"/>
      <c r="H111" s="74"/>
      <c r="I111" s="74"/>
      <c r="J111" s="74"/>
      <c r="K111" s="74"/>
      <c r="L111" s="74"/>
      <c r="M111" s="74"/>
    </row>
    <row r="112" spans="1:16" ht="11.4" x14ac:dyDescent="0.3">
      <c r="A112" s="74"/>
      <c r="B112" s="74"/>
      <c r="C112" s="74"/>
      <c r="D112" s="74"/>
      <c r="E112" s="74"/>
      <c r="F112" s="74"/>
      <c r="G112" s="74"/>
      <c r="H112" s="74"/>
      <c r="I112" s="74"/>
      <c r="J112" s="74"/>
      <c r="K112" s="74"/>
      <c r="L112" s="74"/>
      <c r="M112" s="74"/>
    </row>
    <row r="113" spans="1:13" ht="11.4" x14ac:dyDescent="0.3">
      <c r="A113" s="74"/>
      <c r="B113" s="74"/>
      <c r="C113" s="74"/>
      <c r="D113" s="74"/>
      <c r="E113" s="74"/>
      <c r="F113" s="74"/>
      <c r="G113" s="74"/>
      <c r="H113" s="74"/>
      <c r="I113" s="74"/>
      <c r="J113" s="74"/>
      <c r="K113" s="74"/>
      <c r="L113" s="74"/>
      <c r="M113" s="74"/>
    </row>
    <row r="114" spans="1:13" ht="11.4" x14ac:dyDescent="0.3">
      <c r="A114" s="74"/>
      <c r="B114" s="74"/>
      <c r="C114" s="74"/>
      <c r="D114" s="74"/>
      <c r="E114" s="74"/>
      <c r="F114" s="74"/>
      <c r="G114" s="74"/>
      <c r="H114" s="74"/>
      <c r="I114" s="74"/>
      <c r="J114" s="74"/>
      <c r="K114" s="74"/>
      <c r="L114" s="74"/>
      <c r="M114" s="74"/>
    </row>
    <row r="115" spans="1:13" ht="11.4" x14ac:dyDescent="0.3">
      <c r="A115" s="74"/>
      <c r="B115" s="74"/>
      <c r="C115" s="74"/>
      <c r="D115" s="74"/>
      <c r="E115" s="74"/>
      <c r="F115" s="74"/>
      <c r="G115" s="74"/>
      <c r="H115" s="74"/>
      <c r="I115" s="74"/>
      <c r="J115" s="74"/>
      <c r="K115" s="74"/>
      <c r="L115" s="74"/>
      <c r="M115" s="74"/>
    </row>
    <row r="116" spans="1:13" ht="11.4" x14ac:dyDescent="0.3">
      <c r="A116" s="74"/>
      <c r="B116" s="74"/>
      <c r="C116" s="74"/>
      <c r="D116" s="74"/>
      <c r="E116" s="74"/>
      <c r="F116" s="74"/>
      <c r="G116" s="74"/>
      <c r="H116" s="74"/>
      <c r="I116" s="74"/>
      <c r="J116" s="74"/>
      <c r="K116" s="74"/>
      <c r="L116" s="74"/>
      <c r="M116" s="74"/>
    </row>
    <row r="117" spans="1:13" ht="11.4" x14ac:dyDescent="0.3">
      <c r="A117" s="74"/>
      <c r="B117" s="74"/>
      <c r="C117" s="74"/>
      <c r="D117" s="74"/>
      <c r="E117" s="74"/>
      <c r="F117" s="74"/>
      <c r="G117" s="74"/>
      <c r="H117" s="74"/>
      <c r="I117" s="74"/>
      <c r="J117" s="74"/>
      <c r="K117" s="74"/>
      <c r="L117" s="74"/>
      <c r="M117" s="74"/>
    </row>
    <row r="118" spans="1:13" ht="11.4" x14ac:dyDescent="0.3">
      <c r="A118" s="74"/>
      <c r="B118" s="74"/>
      <c r="C118" s="74"/>
      <c r="D118" s="74"/>
      <c r="E118" s="74"/>
      <c r="F118" s="74"/>
      <c r="G118" s="74"/>
      <c r="H118" s="74"/>
      <c r="I118" s="74"/>
      <c r="J118" s="74"/>
      <c r="K118" s="74"/>
      <c r="L118" s="74"/>
      <c r="M118" s="74"/>
    </row>
    <row r="119" spans="1:13" x14ac:dyDescent="0.2">
      <c r="F119" s="104"/>
      <c r="G119" s="104"/>
    </row>
    <row r="120" spans="1:13" x14ac:dyDescent="0.2">
      <c r="F120" s="105"/>
      <c r="G120" s="105"/>
    </row>
    <row r="122" spans="1:13" x14ac:dyDescent="0.2">
      <c r="F122" s="105"/>
      <c r="G122" s="105"/>
    </row>
  </sheetData>
  <mergeCells count="42">
    <mergeCell ref="A88:D88"/>
    <mergeCell ref="A1:M2"/>
    <mergeCell ref="A3:A4"/>
    <mergeCell ref="C3:C4"/>
    <mergeCell ref="D3:D4"/>
    <mergeCell ref="E3:E4"/>
    <mergeCell ref="F3:G3"/>
    <mergeCell ref="H3:I3"/>
    <mergeCell ref="J3:K3"/>
    <mergeCell ref="L3:M3"/>
    <mergeCell ref="A87:E87"/>
    <mergeCell ref="F87:G87"/>
    <mergeCell ref="H87:I87"/>
    <mergeCell ref="J87:K87"/>
    <mergeCell ref="L87:M87"/>
    <mergeCell ref="A89:D89"/>
    <mergeCell ref="A90:D90"/>
    <mergeCell ref="A91:D91"/>
    <mergeCell ref="A92:E92"/>
    <mergeCell ref="F92:G92"/>
    <mergeCell ref="J92:K92"/>
    <mergeCell ref="L92:M92"/>
    <mergeCell ref="A93:K93"/>
    <mergeCell ref="A94:K94"/>
    <mergeCell ref="A99:E99"/>
    <mergeCell ref="F99:G99"/>
    <mergeCell ref="H99:I99"/>
    <mergeCell ref="J99:K99"/>
    <mergeCell ref="L99:M99"/>
    <mergeCell ref="H92:I92"/>
    <mergeCell ref="N99:O99"/>
    <mergeCell ref="A100:D100"/>
    <mergeCell ref="A101:E101"/>
    <mergeCell ref="F101:G101"/>
    <mergeCell ref="H101:I101"/>
    <mergeCell ref="J101:K101"/>
    <mergeCell ref="L101:M101"/>
    <mergeCell ref="A102:E102"/>
    <mergeCell ref="F102:G102"/>
    <mergeCell ref="H102:I102"/>
    <mergeCell ref="J102:K102"/>
    <mergeCell ref="L102:M102"/>
  </mergeCells>
  <phoneticPr fontId="17" type="noConversion"/>
  <pageMargins left="0.7" right="0.7" top="0.75" bottom="0.75" header="0.3" footer="0.3"/>
  <pageSetup scale="2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3CBE3-5064-42BE-9328-B00058C95A29}">
  <dimension ref="A2:D16"/>
  <sheetViews>
    <sheetView zoomScale="96" zoomScaleNormal="96" workbookViewId="0">
      <selection activeCell="B3" sqref="B3"/>
    </sheetView>
  </sheetViews>
  <sheetFormatPr baseColWidth="10" defaultColWidth="11.44140625" defaultRowHeight="13.8" x14ac:dyDescent="0.3"/>
  <cols>
    <col min="1" max="1" width="7.6640625" style="66" customWidth="1"/>
    <col min="2" max="2" width="37.88671875" style="60" customWidth="1"/>
    <col min="3" max="3" width="58" style="60" customWidth="1"/>
    <col min="4" max="16384" width="11.44140625" style="60"/>
  </cols>
  <sheetData>
    <row r="2" spans="1:4" x14ac:dyDescent="0.3">
      <c r="A2" s="65" t="s">
        <v>392</v>
      </c>
      <c r="B2" s="65" t="s">
        <v>3</v>
      </c>
      <c r="C2" s="65" t="s">
        <v>393</v>
      </c>
      <c r="D2" s="67"/>
    </row>
    <row r="3" spans="1:4" ht="193.2" x14ac:dyDescent="0.3">
      <c r="A3" s="61">
        <v>1.2</v>
      </c>
      <c r="B3" s="62" t="s">
        <v>394</v>
      </c>
      <c r="C3" s="63" t="s">
        <v>395</v>
      </c>
      <c r="D3" s="67"/>
    </row>
    <row r="4" spans="1:4" ht="151.80000000000001" x14ac:dyDescent="0.3">
      <c r="A4" s="61">
        <v>1.6</v>
      </c>
      <c r="B4" s="64" t="s">
        <v>396</v>
      </c>
      <c r="C4" s="68" t="s">
        <v>397</v>
      </c>
      <c r="D4" s="69"/>
    </row>
    <row r="5" spans="1:4" ht="193.2" x14ac:dyDescent="0.3">
      <c r="A5" s="61">
        <v>1.17</v>
      </c>
      <c r="B5" s="62" t="s">
        <v>398</v>
      </c>
      <c r="C5" s="63" t="s">
        <v>395</v>
      </c>
      <c r="D5" s="69"/>
    </row>
    <row r="6" spans="1:4" ht="165.6" x14ac:dyDescent="0.3">
      <c r="A6" s="61">
        <v>1.25</v>
      </c>
      <c r="B6" s="62" t="s">
        <v>399</v>
      </c>
      <c r="C6" s="68" t="s">
        <v>400</v>
      </c>
      <c r="D6" s="67"/>
    </row>
    <row r="7" spans="1:4" ht="165.6" x14ac:dyDescent="0.3">
      <c r="A7" s="61">
        <v>1.27</v>
      </c>
      <c r="B7" s="62" t="s">
        <v>401</v>
      </c>
      <c r="C7" s="68" t="s">
        <v>400</v>
      </c>
      <c r="D7" s="67"/>
    </row>
    <row r="8" spans="1:4" x14ac:dyDescent="0.3">
      <c r="A8" s="58"/>
      <c r="B8" s="59"/>
      <c r="C8" s="67"/>
      <c r="D8" s="67"/>
    </row>
    <row r="10" spans="1:4" x14ac:dyDescent="0.3">
      <c r="A10" s="65" t="s">
        <v>392</v>
      </c>
      <c r="B10" s="65" t="s">
        <v>3</v>
      </c>
      <c r="C10" s="65" t="s">
        <v>393</v>
      </c>
      <c r="D10" s="67"/>
    </row>
    <row r="11" spans="1:4" ht="165.6" hidden="1" x14ac:dyDescent="0.3">
      <c r="A11" s="61">
        <v>2.1</v>
      </c>
      <c r="B11" s="62" t="s">
        <v>402</v>
      </c>
      <c r="C11" s="63" t="s">
        <v>403</v>
      </c>
      <c r="D11" s="67"/>
    </row>
    <row r="12" spans="1:4" ht="69" x14ac:dyDescent="0.3">
      <c r="A12" s="61">
        <v>2.2000000000000002</v>
      </c>
      <c r="B12" s="64" t="s">
        <v>404</v>
      </c>
      <c r="C12" s="68" t="s">
        <v>405</v>
      </c>
      <c r="D12" s="67"/>
    </row>
    <row r="13" spans="1:4" ht="69" x14ac:dyDescent="0.3">
      <c r="A13" s="61">
        <v>2.2999999999999998</v>
      </c>
      <c r="B13" s="62" t="s">
        <v>406</v>
      </c>
      <c r="C13" s="68" t="s">
        <v>407</v>
      </c>
      <c r="D13" s="67"/>
    </row>
    <row r="14" spans="1:4" ht="82.8" x14ac:dyDescent="0.3">
      <c r="A14" s="61">
        <v>2.4</v>
      </c>
      <c r="B14" s="62" t="s">
        <v>408</v>
      </c>
      <c r="C14" s="68" t="s">
        <v>405</v>
      </c>
      <c r="D14" s="67"/>
    </row>
    <row r="15" spans="1:4" ht="69" x14ac:dyDescent="0.3">
      <c r="A15" s="61">
        <v>2.5</v>
      </c>
      <c r="B15" s="62" t="s">
        <v>409</v>
      </c>
      <c r="C15" s="68" t="s">
        <v>405</v>
      </c>
      <c r="D15" s="67"/>
    </row>
    <row r="16" spans="1:4" ht="69" x14ac:dyDescent="0.3">
      <c r="A16" s="61">
        <v>2.6</v>
      </c>
      <c r="B16" s="62" t="s">
        <v>410</v>
      </c>
      <c r="C16" s="68" t="s">
        <v>405</v>
      </c>
      <c r="D16" s="67"/>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715451-2D99-4894-8586-34F8C576BDE8}">
  <dimension ref="A1"/>
  <sheetViews>
    <sheetView workbookViewId="0"/>
  </sheetViews>
  <sheetFormatPr baseColWidth="10" defaultColWidth="11.44140625" defaultRowHeight="14.4" x14ac:dyDescent="0.3"/>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1"/>
  <sheetViews>
    <sheetView topLeftCell="A7" workbookViewId="0">
      <selection activeCell="B34" sqref="B34"/>
    </sheetView>
  </sheetViews>
  <sheetFormatPr baseColWidth="10" defaultColWidth="11.44140625" defaultRowHeight="14.4" x14ac:dyDescent="0.3"/>
  <sheetData>
    <row r="31" spans="2:2" x14ac:dyDescent="0.3">
      <c r="B31" t="s">
        <v>411</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4740230FAC0FD4BB42E301332730EE2" ma:contentTypeVersion="4" ma:contentTypeDescription="Crear nuevo documento." ma:contentTypeScope="" ma:versionID="b7ae9f848b49ca072f88854f4a2e8686">
  <xsd:schema xmlns:xsd="http://www.w3.org/2001/XMLSchema" xmlns:xs="http://www.w3.org/2001/XMLSchema" xmlns:p="http://schemas.microsoft.com/office/2006/metadata/properties" xmlns:ns3="dd545e71-b6b0-42e8-89d3-a1d67a7aa168" targetNamespace="http://schemas.microsoft.com/office/2006/metadata/properties" ma:root="true" ma:fieldsID="6353a6942cf11713952bfb0b109766b6" ns3:_="">
    <xsd:import namespace="dd545e71-b6b0-42e8-89d3-a1d67a7aa168"/>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d545e71-b6b0-42e8-89d3-a1d67a7aa16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10B8D63-0E9E-4EA4-89F1-B498F7918695}">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0EB3AA1D-39DE-4671-818D-1F6CF65DF00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d545e71-b6b0-42e8-89d3-a1d67a7aa1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88D6A0B-B796-468D-AC39-48F1DD22E7D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vt:i4>
      </vt:variant>
    </vt:vector>
  </HeadingPairs>
  <TitlesOfParts>
    <vt:vector size="11" baseType="lpstr">
      <vt:lpstr>BODEGA</vt:lpstr>
      <vt:lpstr>SEMAP</vt:lpstr>
      <vt:lpstr>Alojamiento Semap</vt:lpstr>
      <vt:lpstr>Viviendas Fiscales</vt:lpstr>
      <vt:lpstr>Hoja2</vt:lpstr>
      <vt:lpstr>Hoja3</vt:lpstr>
      <vt:lpstr>Hoja1</vt:lpstr>
      <vt:lpstr>'Alojamiento Semap'!Área_de_impresión</vt:lpstr>
      <vt:lpstr>BODEGA!Área_de_impresión</vt:lpstr>
      <vt:lpstr>SEMAP!Área_de_impresión</vt:lpstr>
      <vt:lpstr>'Viviendas Fiscales'!Área_de_impresión</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Zulma Gomez</dc:creator>
  <cp:keywords/>
  <dc:description/>
  <cp:lastModifiedBy>loryn pertuz</cp:lastModifiedBy>
  <cp:revision/>
  <dcterms:created xsi:type="dcterms:W3CDTF">2021-08-22T01:46:39Z</dcterms:created>
  <dcterms:modified xsi:type="dcterms:W3CDTF">2026-05-14T21:01:26Z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0x01010044740230FAC0FD4BB42E301332730EE2</vt:lpwstr>
  </property>
</Properties>
</file>