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0"/>
  <workbookPr/>
  <mc:AlternateContent xmlns:mc="http://schemas.openxmlformats.org/markup-compatibility/2006">
    <mc:Choice Requires="x15">
      <x15ac:absPath xmlns:x15ac="http://schemas.microsoft.com/office/spreadsheetml/2010/11/ac" url="C:\Users\carlo\OneDrive\Documentos\2026\URIBIA 2026\MINAS Y ENERGIA\"/>
    </mc:Choice>
  </mc:AlternateContent>
  <xr:revisionPtr revIDLastSave="0" documentId="8_{113E7E53-EE80-4A73-849D-0B9949D170CB}" xr6:coauthVersionLast="36" xr6:coauthVersionMax="36" xr10:uidLastSave="{00000000-0000-0000-0000-000000000000}"/>
  <bookViews>
    <workbookView xWindow="0" yWindow="0" windowWidth="19200" windowHeight="6810" xr2:uid="{00000000-000D-0000-FFFF-FFFF00000000}"/>
  </bookViews>
  <sheets>
    <sheet name="PPTO1" sheetId="1" r:id="rId1"/>
    <sheet name="PPTO1 2" sheetId="4" r:id="rId2"/>
    <sheet name="PRESUPUESTO SEGUIMIENTO" sheetId="6" r:id="rId3"/>
    <sheet name="Cronograma"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6" i="6" l="1"/>
  <c r="J15" i="6" l="1"/>
  <c r="G19" i="6"/>
  <c r="G20" i="6" s="1"/>
  <c r="E11" i="6"/>
  <c r="H15" i="6"/>
  <c r="H19" i="6" l="1"/>
  <c r="E12" i="6"/>
  <c r="E8" i="4"/>
  <c r="S8" i="4"/>
  <c r="J28" i="6"/>
  <c r="J23" i="6"/>
  <c r="J22" i="6"/>
  <c r="J21" i="6"/>
  <c r="J20" i="6"/>
  <c r="J19" i="6"/>
  <c r="J14" i="6"/>
  <c r="J8" i="6"/>
  <c r="J6" i="6"/>
  <c r="J3" i="6"/>
  <c r="W13" i="1"/>
  <c r="W14" i="1"/>
  <c r="W12" i="1"/>
  <c r="AB2" i="1"/>
  <c r="W8" i="1"/>
  <c r="W7" i="1"/>
  <c r="W6" i="1"/>
  <c r="W5" i="1"/>
  <c r="W4" i="1"/>
  <c r="S13" i="4"/>
  <c r="S12" i="4"/>
  <c r="S7" i="4"/>
  <c r="S6" i="4"/>
  <c r="S5" i="4"/>
  <c r="H4" i="4"/>
  <c r="S4" i="4"/>
  <c r="H3" i="6"/>
  <c r="E24" i="6" l="1"/>
  <c r="J24" i="6" s="1"/>
  <c r="E25" i="6"/>
  <c r="E26" i="6"/>
  <c r="E27" i="6" s="1"/>
  <c r="H28" i="6"/>
  <c r="H24" i="6"/>
  <c r="H23" i="6"/>
  <c r="H22" i="6"/>
  <c r="H21" i="6"/>
  <c r="H20" i="6"/>
  <c r="H26" i="6" l="1"/>
  <c r="J25" i="6"/>
  <c r="H25" i="6"/>
  <c r="J26" i="6" l="1"/>
  <c r="E9" i="6"/>
  <c r="F7" i="6"/>
  <c r="H14" i="6"/>
  <c r="E10" i="6"/>
  <c r="H8" i="6"/>
  <c r="H6" i="6"/>
  <c r="H27" i="6" l="1"/>
  <c r="H29" i="6" s="1"/>
  <c r="J27" i="6"/>
  <c r="J29" i="6" s="1"/>
  <c r="H10" i="6"/>
  <c r="J10" i="6"/>
  <c r="H7" i="6"/>
  <c r="J7" i="6"/>
  <c r="H9" i="6"/>
  <c r="J9" i="6"/>
  <c r="F12" i="6" l="1"/>
  <c r="J11" i="6"/>
  <c r="H11" i="6"/>
  <c r="H4" i="1"/>
  <c r="F13" i="6" l="1"/>
  <c r="J12" i="6"/>
  <c r="H12" i="6"/>
  <c r="P13" i="4"/>
  <c r="P12" i="4"/>
  <c r="H12" i="4"/>
  <c r="P8" i="4"/>
  <c r="P7" i="4"/>
  <c r="P6" i="4"/>
  <c r="P5" i="4"/>
  <c r="P4" i="4"/>
  <c r="P14" i="1"/>
  <c r="P13" i="1"/>
  <c r="P12" i="1"/>
  <c r="P7" i="1"/>
  <c r="P6" i="1"/>
  <c r="P5" i="1"/>
  <c r="P4" i="1"/>
  <c r="P8" i="1"/>
  <c r="H12" i="1"/>
  <c r="T12" i="1" s="1"/>
  <c r="H13" i="6" l="1"/>
  <c r="H16" i="6" s="1"/>
  <c r="H30" i="6" s="1"/>
  <c r="J13" i="6"/>
  <c r="J16" i="6" s="1"/>
  <c r="J30" i="6" s="1"/>
  <c r="E9" i="4"/>
  <c r="S9" i="4" s="1"/>
  <c r="E9" i="1"/>
  <c r="H13" i="4"/>
  <c r="N5" i="4" s="1"/>
  <c r="H7" i="4"/>
  <c r="H6" i="4"/>
  <c r="H5" i="4"/>
  <c r="K6" i="4"/>
  <c r="P9" i="1" l="1"/>
  <c r="W9" i="1"/>
  <c r="E11" i="4"/>
  <c r="S11" i="4" s="1"/>
  <c r="P9" i="4"/>
  <c r="M5" i="4"/>
  <c r="E10" i="1"/>
  <c r="L5" i="4"/>
  <c r="L7" i="4" s="1"/>
  <c r="H8" i="4"/>
  <c r="E10" i="4"/>
  <c r="S10" i="4" s="1"/>
  <c r="H9" i="4"/>
  <c r="E11" i="1"/>
  <c r="S14" i="4" l="1"/>
  <c r="P10" i="1"/>
  <c r="W10" i="1"/>
  <c r="P11" i="1"/>
  <c r="W11" i="1"/>
  <c r="P15" i="1"/>
  <c r="H10" i="4"/>
  <c r="P10" i="4"/>
  <c r="H11" i="4"/>
  <c r="P11" i="4"/>
  <c r="O5" i="4" l="1"/>
  <c r="O8" i="4" s="1"/>
  <c r="O14" i="4" s="1"/>
  <c r="H14" i="4"/>
  <c r="P14" i="4"/>
  <c r="K6" i="1"/>
  <c r="H8" i="1" l="1"/>
  <c r="H9" i="1" l="1"/>
  <c r="T9" i="1" s="1"/>
  <c r="H14" i="1" l="1"/>
  <c r="N5" i="1" s="1"/>
  <c r="H11" i="1"/>
  <c r="T11" i="1" s="1"/>
  <c r="H10" i="1"/>
  <c r="T10" i="1" s="1"/>
  <c r="H7" i="1"/>
  <c r="T7" i="1" s="1"/>
  <c r="H6" i="1"/>
  <c r="T6" i="1" s="1"/>
  <c r="H5" i="1"/>
  <c r="L5" i="1" s="1"/>
  <c r="M5" i="1" l="1"/>
  <c r="O5" i="1"/>
  <c r="O8" i="1" l="1"/>
  <c r="L7" i="1"/>
  <c r="O15" i="1" l="1"/>
  <c r="H13" i="1" l="1"/>
  <c r="H15" i="1" l="1"/>
  <c r="U6" i="1" s="1"/>
  <c r="T13" i="1"/>
  <c r="T15" i="1" s="1"/>
  <c r="U11" i="1" l="1"/>
  <c r="U4" i="1"/>
  <c r="U12" i="1"/>
  <c r="U10" i="1"/>
  <c r="U9" i="1"/>
  <c r="U5" i="1"/>
  <c r="U13" i="1"/>
  <c r="U14" i="1"/>
  <c r="U8" i="1"/>
  <c r="U7" i="1"/>
  <c r="U15" i="1" l="1"/>
</calcChain>
</file>

<file path=xl/sharedStrings.xml><?xml version="1.0" encoding="utf-8"?>
<sst xmlns="http://schemas.openxmlformats.org/spreadsheetml/2006/main" count="202" uniqueCount="81">
  <si>
    <t>ITEM</t>
  </si>
  <si>
    <t xml:space="preserve">DESCRIPCION </t>
  </si>
  <si>
    <t xml:space="preserve">UNIDAD </t>
  </si>
  <si>
    <t xml:space="preserve">CANTIDAD </t>
  </si>
  <si>
    <t xml:space="preserve">VALOR UNITARIO </t>
  </si>
  <si>
    <t xml:space="preserve">VALOR TOTAL </t>
  </si>
  <si>
    <t>Mes</t>
  </si>
  <si>
    <t>UND</t>
  </si>
  <si>
    <t>Número</t>
  </si>
  <si>
    <t>Transporte (Campero Cabinado de doble cabina o de vagón con capacidad mínima de 4 pasajeros). Incluye conductor y combustible con traslado a zona rural.</t>
  </si>
  <si>
    <t>Gorras con logos de la administración municipal.</t>
  </si>
  <si>
    <t>n/a</t>
  </si>
  <si>
    <t>Camisetas tipo Polo Estampadas</t>
  </si>
  <si>
    <t>VALOR TOTAL DEL PROYECTO</t>
  </si>
  <si>
    <t>DURACIÓN MES</t>
  </si>
  <si>
    <t>Personal Asistencial como apoyo a todas las charlas y talleres que los profesionales van a realizar en los meses de ejecucion del proyecto.</t>
  </si>
  <si>
    <t>MANO DE OBRA</t>
  </si>
  <si>
    <t>MATERIALES</t>
  </si>
  <si>
    <t>TRANSPORTE</t>
  </si>
  <si>
    <t>BEBIDAS</t>
  </si>
  <si>
    <t>VALOR TOTAL</t>
  </si>
  <si>
    <t>Talleristas, personal profesional perfil ambiental o afin. Por un mes, para charlas de impacto ambiental.</t>
  </si>
  <si>
    <t>Pendones con la imagen del programa de 2x1.00 cm impresión digital alta resolución en pvc (banner) terminado en tubos plásticos. 1 Pedon Temático</t>
  </si>
  <si>
    <t>EN LA DESCRIPCION DE LA ACTIVIDAD HABLAN DE15 COMUNIDADES CON 22 PERSONAS Y AQUI HABLA DE 16 SITIOS Y 19 PERSONAS Y LA CANTIDAD CORRESPONDE A LA DESCRIPCION DE LA ACTIVIDAD DETERMINAR LA POBLACION?????</t>
  </si>
  <si>
    <t>NO SE ESPECIFICAN CANTIDADES LA UNIDAD DE MEDIDA ES GLOBAL</t>
  </si>
  <si>
    <t xml:space="preserve">LA UNIDAD DE MEDIDAD ES UNIDAD… Y LA LOGICA DCE PERSONA NO CONCUERDA CON EL TOTA </t>
  </si>
  <si>
    <t xml:space="preserve">SI POR NORMA A UNA PERSONA DE PLNATA LEENTREGAN 3 DOTACIONES EN UNN  AÑO EN PROMEDIO CADA 4 MESES … NO ES COHERENTE POR UN MES ENTREGAR 2 DOTACIONES </t>
  </si>
  <si>
    <t xml:space="preserve">EL PERSONAL RELACIONADO SON TRES…SI POR NORMA A UNA PERSONA DE PLNATA LEENTREGAN 3 DOTACIONES EN UNN  AÑO EN PROMEDIO CADA 4 MESES … NO ES COHERENTE POR UN MES ENTREGAR 2 DOTACIONES </t>
  </si>
  <si>
    <t>ALMUERZO BASICO: 1 Proteína –carne guisada, molida ó atún-, 1 Carbohidrato –arroz blanco- ensalada o legumbres, acompañamiento -pasta, tajada de plátano o yuca- 1 Bebida Gaseosa de 250Ml.</t>
  </si>
  <si>
    <t xml:space="preserve">REFRIGERIO 1: incluye pastelitos horneados de carne, jamón y queso y/o pollo con jamón y queso y/o hawaiano y/o pastelitos de queso, gaseosa o jugo en envase tetra pack de 250 ml y rebanada de fruta. </t>
  </si>
  <si>
    <t xml:space="preserve">Hidratación: Botella de agua de 600 ml. </t>
  </si>
  <si>
    <t>GBL</t>
  </si>
  <si>
    <t>REFRIGERIO 1: incluye pastelitos horneados de carne, jamón y queso y/o pollo con jamón y queso y/o hawaiano y/o pastelitos de queso, gaseosa o jugo en envase tetra pack de 250 ml y rebanada de fruta.</t>
  </si>
  <si>
    <t>VALOR ANTICIPO</t>
  </si>
  <si>
    <t>PORCENTAJE 
ANTICIPO</t>
  </si>
  <si>
    <t>CRONOGRAMA DE ACTIVIDADES</t>
  </si>
  <si>
    <t>CAPACITACION 1 : TEMA TRANSICIÓN ENERGÉTICA SOSTENIBLE Y JUSTA</t>
  </si>
  <si>
    <t>CAPACITACION 2 : TEMA PROMOCIÓN DE ALTERNATIVAS LABORALES Y DE EMPRENDIMIENTO DIFERENTES A LA MINERÍA</t>
  </si>
  <si>
    <t>INSPECCION Y CONTROL DE LA ACTIVIDAD MINERA</t>
  </si>
  <si>
    <t>MES 1</t>
  </si>
  <si>
    <t>MES 2</t>
  </si>
  <si>
    <t>MES 3</t>
  </si>
  <si>
    <t>MES 4</t>
  </si>
  <si>
    <t>Cartillas con información de campañas a realizarse. Tamaño Oficio de 10 hojas con logo de la administración municipal y portada personalizada. Tema: oferta institucional. Para ser distribuidos entre el personal asistente a la capacitación y sobrante para el inventario de la oficina para quienes soliciten información relacionada con el tema</t>
  </si>
  <si>
    <t>PLAN DE ANTICIPO
CAPACITACIÓN EN TRANSICIÓN ENERGÉTICA SOSTENIBLE Y JUSTA A DIEZ (10) COMUNIDADES RURALES NO INTERCONECTADAS DEL MUNICIPIO DE URIBIA
DURACIÓN 6 HORAS. CON ASISTENCIA PROMEDIO DE 30 PERSONAS POR COMUNIDAD. DURACION TOTAL DOS DÍAS POR COMUNIDAD, POR TEMAS DE TRASLADO Y ORGANIZACION EN SECTOR RURAL</t>
  </si>
  <si>
    <t>1.2</t>
  </si>
  <si>
    <t>Inspectores de campo.</t>
  </si>
  <si>
    <t>1.3</t>
  </si>
  <si>
    <t>Personal auxiliar de apoyo</t>
  </si>
  <si>
    <t>1.4</t>
  </si>
  <si>
    <t>1.5</t>
  </si>
  <si>
    <t>1.6</t>
  </si>
  <si>
    <t>Carnet de identificación en PVC para el grupo operativo impresión full color en alta definición con protección UV de 86x54 mm, incluye fotografía digital. Destinado para el coordinador del proyecto, los inspectores y el presonal auxiliar.</t>
  </si>
  <si>
    <t>1.7</t>
  </si>
  <si>
    <t>1.8</t>
  </si>
  <si>
    <t>1.9</t>
  </si>
  <si>
    <t>1.10</t>
  </si>
  <si>
    <t>1.11</t>
  </si>
  <si>
    <t>Pendones con la imagen del programa de 2x1.00 cm impresión digital alta resolución en pvc (banner) terminado en tubos plásticos. 1 Pedon alusivo al objeto del contrato y 1 pendón de la empresa contratista</t>
  </si>
  <si>
    <t>1.12</t>
  </si>
  <si>
    <t>GLOBAL</t>
  </si>
  <si>
    <t>Subtotal Inspección</t>
  </si>
  <si>
    <t>1.1</t>
  </si>
  <si>
    <t xml:space="preserve">Subtotal Talleres </t>
  </si>
  <si>
    <t>PRESUPUESTO GENERAL
CONTROL Y SEGUIMIENTO DEL FUNCIONAMIENTO Y OPERACIÓN DE LAS UNIDADES 
PRODUCTIVAS MINERAS Y CENTROS DE ACOPIO DEL SECTOR MINERO EN EL MUNICIPIO DE 
URIBIA.</t>
  </si>
  <si>
    <t>Coordinador general.</t>
  </si>
  <si>
    <t>VERIFICACION</t>
  </si>
  <si>
    <t>OBSERVACION</t>
  </si>
  <si>
    <t>OBSERVACIONES</t>
  </si>
  <si>
    <t>PRESUPUESTO GENERAL
PROMOCIÓN DE ALTERNATIVAS LABORALES Y DE EMPRENDIMIENTO DIFERENTES A LA MINERÍA 
ENTRE TRABAJADORES DEL SECTOR UBICADOS EN EL MUNICIPIO DE URIBIA
DIRIGIDO A 24 UNIDADES PRODUCTIVAS MINERAS  CON UN PORMEDIO DE 5 TRABAJADORE POR UPM Y UN PROMEDIO DE 6 HORAS</t>
  </si>
  <si>
    <t>Cartillas con información de campañas a realizarse. Tamaño Oficio de 10 hojas con logo de la administración municipal y portada personalizada. Tema: oferta institucional. Para ser distribuidos entre el personal asistente a la capacitación y sobrante para el inventario de la oficina para quienes soliciten información relacionada con el tema  Para 5 personas en cada una de las 24 UPM</t>
  </si>
  <si>
    <t>Talleristas, personal profesional perfil ingeniero de minas, ingeniero eléctico, profesional en energías alternativas o afin.</t>
  </si>
  <si>
    <t>Papelería General Incluye:
Resmas de papel Carta - Resmas de papel Oficio, Boligros por docena, Grafos, Cinta, Cartulinas, Carpetas plastificadas, Tinta para impresora entre otros.
El contratistra al momento de radicar la ultima cuenta debera anexar los soportes de gasto por este concepcto hasta concurrencia del tope aquí señalado. En caso contrario, seran entregados lkos valores hasta el valor que resulte haberse utilizado.</t>
  </si>
  <si>
    <t>ALMUERZO BASICO: 1 Proteína –carne guisada, molida ó atún-, 1 Carbohidrato –arroz blanco- ensalada o legumbres, acompañamiento -pasta, tajada de plátano o yuca- 1 Bebida Gaseosa de 250Ml. 25 UPM X 8 PERSONAS</t>
  </si>
  <si>
    <r>
      <t xml:space="preserve">Papelería General Incluye:
- Resma de papel Carta, resma de papel Oficio, Boligros por docena,  carpeta plastificada, material pedagógico. </t>
    </r>
    <r>
      <rPr>
        <b/>
        <sz val="11"/>
        <color theme="1"/>
        <rFont val="Calibri"/>
        <family val="2"/>
        <scheme val="minor"/>
      </rPr>
      <t>Nota</t>
    </r>
    <r>
      <rPr>
        <sz val="11"/>
        <color theme="1"/>
        <rFont val="Calibri"/>
        <family val="2"/>
        <scheme val="minor"/>
      </rPr>
      <t>: el contratista al momento de radicar cuenta deberá anexar los soportes de gastos por este concepto hasta concurrencia del tope mensual aquí señalado. El contratistra al momento de radicar la ultima cuenta debera anexar los soportes de gasto por este concepcto hasta concurrencia del tope aquí señalado. En caso contrario, seran entregados los valores hasta el valor que resulte haberse utilizado.</t>
    </r>
  </si>
  <si>
    <t xml:space="preserve">Talleristas, personal profesional perfil ambiental o afin, para charlas de impacto ambiental. </t>
  </si>
  <si>
    <t>(REFRIGERIO 1: incluye pastelitos horneados de carne, jamón y queso y/o pollo con jamón y queso y/o hawaiano y/o pastelitos de queso, gaseosa o jugo en envase tetra pack de 250 ml y rebanada de fruta.) Para  25 UPM X 8 PERSONAS</t>
  </si>
  <si>
    <t>Hidratación:  Botellas de agua de 600 ml Para para 8 personas en promedio. Destinado para beneficiarios del proyecto</t>
  </si>
  <si>
    <t>El proyecto contempla la realización de visitas técnicas a 25 unidades productivas mineras durante un período total de cuatro (4) meses. Cada unidad productiva será visitada en dos ocasiones, con una periodicidad bimestral, con el fin de garantizar seguimiento, acompañamiento y fortalecimiento continuo de los procesos implementados. Debido a la ubicación geográfica de las unidades y las condiciones de acceso, cada visita requerirá dos días de ejecución: un (1) día destinado al traslado hacia la unidad productiva y un (1) día para el desarrollo del taller y la asistencia técnica correspondiente. Duración 6 horas por sitio - Promedio de 8 personas beneficiadas por sitio cada mes</t>
  </si>
  <si>
    <t>Cartilla con informacion de campañas a realizarse. Tamaño oficio de 10 hojas con logo de la administracion municipal y portada personalizada. 25 UPM X 2 TALLERES X 8 PERSONAS</t>
  </si>
  <si>
    <r>
      <t xml:space="preserve">Talleres Formativos: Temas: "Seguridad y Salud en el Trabajo para Pequeña Minería y Minería Artesanal"  Y  "Gestión de Residuos Solidos Economía Circular en el Sector Minero." Dirigido a unidades productivas mineras y centros de acopio del sector minero en el municipio de  Uribia.
Se desarrollarán los talleres con una duracion total de dos meses,  realizando dos visitas por sitio, con una duración de 2,5 horas diarias cada uno de los talleres y se estima un </t>
    </r>
    <r>
      <rPr>
        <b/>
        <u/>
        <sz val="11"/>
        <rFont val="Calibri"/>
        <family val="2"/>
        <scheme val="minor"/>
      </rPr>
      <t>promedio</t>
    </r>
    <r>
      <rPr>
        <b/>
        <sz val="11"/>
        <rFont val="Calibri"/>
        <family val="2"/>
        <scheme val="minor"/>
      </rPr>
      <t xml:space="preserve"> de asistencia de ocho (8) personas por taller, quienes multiplicarán la información al resto de recurso humano de la UPM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</si>
</sst>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 _€_-;\-* #,##0.00\ _€_-;_-* &quot;-&quot;??\ _€_-;_-@_-"/>
    <numFmt numFmtId="164" formatCode="&quot;$&quot;\ #,##0.00;[Red]\-&quot;$&quot;\ #,##0.00"/>
    <numFmt numFmtId="165" formatCode="_-&quot;$&quot;\ * #,##0.00_-;\-&quot;$&quot;\ * #,##0.00_-;_-&quot;$&quot;\ * &quot;-&quot;??_-;_-@_-"/>
    <numFmt numFmtId="166" formatCode="_-&quot;$&quot;* #,##0.00_-;\-&quot;$&quot;* #,##0.00_-;_-&quot;$&quot;*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1"/>
      <color rgb="FFFF0000"/>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sz val="11"/>
      <color theme="9" tint="-0.249977111117893"/>
      <name val="Calibri"/>
      <family val="2"/>
      <scheme val="minor"/>
    </font>
    <font>
      <b/>
      <sz val="11"/>
      <name val="Calibri"/>
      <family val="2"/>
      <scheme val="minor"/>
    </font>
    <font>
      <b/>
      <u/>
      <sz val="11"/>
      <name val="Calibri"/>
      <family val="2"/>
      <scheme val="minor"/>
    </font>
  </fonts>
  <fills count="13">
    <fill>
      <patternFill patternType="none"/>
    </fill>
    <fill>
      <patternFill patternType="gray125"/>
    </fill>
    <fill>
      <patternFill patternType="solid">
        <fgColor rgb="FFD9D9D9"/>
        <bgColor indexed="64"/>
      </patternFill>
    </fill>
    <fill>
      <patternFill patternType="solid">
        <fgColor rgb="FFEEECE1"/>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bgColor indexed="64"/>
      </patternFill>
    </fill>
    <fill>
      <patternFill patternType="solid">
        <fgColor theme="9" tint="0.59999389629810485"/>
        <bgColor indexed="64"/>
      </patternFill>
    </fill>
    <fill>
      <patternFill patternType="solid">
        <fgColor rgb="FF00B0F0"/>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rgb="FF00B05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165" fontId="1" fillId="0" borderId="0" applyFont="0" applyFill="0" applyBorder="0" applyAlignment="0" applyProtection="0"/>
  </cellStyleXfs>
  <cellXfs count="104">
    <xf numFmtId="0" fontId="0" fillId="0" borderId="0" xfId="0"/>
    <xf numFmtId="0" fontId="0" fillId="0" borderId="0" xfId="0" applyAlignment="1">
      <alignment vertical="center"/>
    </xf>
    <xf numFmtId="0" fontId="4" fillId="0" borderId="0" xfId="0" applyFont="1" applyAlignment="1">
      <alignment vertical="center"/>
    </xf>
    <xf numFmtId="0" fontId="5" fillId="3" borderId="1" xfId="0" applyFont="1" applyFill="1" applyBorder="1" applyAlignment="1">
      <alignment horizontal="center" vertical="center" wrapText="1"/>
    </xf>
    <xf numFmtId="165" fontId="5" fillId="3" borderId="1" xfId="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vertical="center" wrapText="1"/>
    </xf>
    <xf numFmtId="165" fontId="6" fillId="0" borderId="1" xfId="1" applyFont="1" applyBorder="1" applyAlignment="1">
      <alignment horizontal="center" vertical="center"/>
    </xf>
    <xf numFmtId="165" fontId="6" fillId="0" borderId="1" xfId="1" applyFont="1" applyBorder="1" applyAlignment="1">
      <alignment horizontal="right" vertical="center"/>
    </xf>
    <xf numFmtId="165" fontId="0" fillId="0" borderId="0" xfId="1" applyFont="1" applyAlignment="1">
      <alignment vertical="center"/>
    </xf>
    <xf numFmtId="0" fontId="7" fillId="0" borderId="1" xfId="0" applyFont="1" applyBorder="1" applyAlignment="1">
      <alignment horizontal="center" vertical="center"/>
    </xf>
    <xf numFmtId="3" fontId="5" fillId="4" borderId="1" xfId="0" applyNumberFormat="1" applyFont="1" applyFill="1" applyBorder="1" applyAlignment="1">
      <alignment horizontal="center" vertical="center" wrapText="1"/>
    </xf>
    <xf numFmtId="3" fontId="5" fillId="5" borderId="1" xfId="0" applyNumberFormat="1" applyFont="1" applyFill="1" applyBorder="1" applyAlignment="1">
      <alignment horizontal="center" vertical="center" wrapText="1"/>
    </xf>
    <xf numFmtId="164" fontId="0" fillId="0" borderId="0" xfId="0" applyNumberFormat="1" applyAlignment="1">
      <alignment vertical="center"/>
    </xf>
    <xf numFmtId="165" fontId="0" fillId="0" borderId="1" xfId="0" applyNumberFormat="1" applyBorder="1" applyAlignment="1">
      <alignment horizontal="center" vertical="center"/>
    </xf>
    <xf numFmtId="165" fontId="0" fillId="0" borderId="0" xfId="0" applyNumberFormat="1" applyAlignment="1">
      <alignment vertical="center"/>
    </xf>
    <xf numFmtId="165" fontId="2" fillId="0" borderId="0" xfId="0" applyNumberFormat="1" applyFont="1" applyAlignment="1">
      <alignment vertical="center"/>
    </xf>
    <xf numFmtId="0" fontId="0" fillId="4" borderId="1" xfId="0" applyFill="1" applyBorder="1" applyAlignment="1">
      <alignment horizontal="center" vertical="center"/>
    </xf>
    <xf numFmtId="165" fontId="2" fillId="4" borderId="1" xfId="0" applyNumberFormat="1" applyFont="1" applyFill="1" applyBorder="1" applyAlignment="1">
      <alignment vertical="center"/>
    </xf>
    <xf numFmtId="0" fontId="2" fillId="0" borderId="0" xfId="0" applyFont="1" applyAlignment="1">
      <alignment horizontal="center" vertical="center"/>
    </xf>
    <xf numFmtId="3" fontId="0" fillId="0" borderId="0" xfId="0" applyNumberFormat="1" applyAlignment="1">
      <alignment vertical="center"/>
    </xf>
    <xf numFmtId="166" fontId="0" fillId="0" borderId="0" xfId="0" applyNumberFormat="1" applyAlignment="1">
      <alignment vertical="center"/>
    </xf>
    <xf numFmtId="0" fontId="8" fillId="0" borderId="0" xfId="0" applyFont="1" applyAlignment="1">
      <alignment vertical="center"/>
    </xf>
    <xf numFmtId="165" fontId="2" fillId="6" borderId="1" xfId="1" applyFont="1" applyFill="1" applyBorder="1" applyAlignment="1">
      <alignment horizontal="center" vertical="center" wrapText="1"/>
    </xf>
    <xf numFmtId="0" fontId="0" fillId="6" borderId="1" xfId="0" applyFill="1" applyBorder="1" applyAlignment="1">
      <alignment horizontal="center" vertical="center"/>
    </xf>
    <xf numFmtId="0" fontId="0" fillId="6" borderId="1" xfId="0" applyFill="1" applyBorder="1" applyAlignment="1">
      <alignment vertical="center" wrapText="1"/>
    </xf>
    <xf numFmtId="165" fontId="0" fillId="6" borderId="1" xfId="1" applyFont="1" applyFill="1" applyBorder="1" applyAlignment="1">
      <alignment horizontal="center" vertical="center"/>
    </xf>
    <xf numFmtId="165" fontId="0" fillId="6" borderId="1" xfId="1" applyFont="1" applyFill="1" applyBorder="1" applyAlignment="1">
      <alignment horizontal="right" vertical="center"/>
    </xf>
    <xf numFmtId="0" fontId="4" fillId="0" borderId="1" xfId="0" applyFont="1" applyBorder="1" applyAlignment="1">
      <alignment vertical="center"/>
    </xf>
    <xf numFmtId="0" fontId="0" fillId="0" borderId="1" xfId="0" applyBorder="1" applyAlignment="1">
      <alignment vertical="center"/>
    </xf>
    <xf numFmtId="165" fontId="0" fillId="0" borderId="1" xfId="0" applyNumberFormat="1" applyBorder="1" applyAlignment="1">
      <alignment vertical="center"/>
    </xf>
    <xf numFmtId="2" fontId="0" fillId="0" borderId="1" xfId="0" applyNumberFormat="1" applyBorder="1" applyAlignment="1">
      <alignment horizontal="center" vertical="center"/>
    </xf>
    <xf numFmtId="0" fontId="8" fillId="0" borderId="1" xfId="0" applyFont="1" applyBorder="1" applyAlignment="1">
      <alignment vertical="center"/>
    </xf>
    <xf numFmtId="165" fontId="2" fillId="0" borderId="1" xfId="0" applyNumberFormat="1" applyFont="1" applyBorder="1" applyAlignment="1">
      <alignment vertical="center"/>
    </xf>
    <xf numFmtId="0" fontId="2" fillId="0" borderId="1" xfId="0" applyFont="1" applyBorder="1" applyAlignment="1">
      <alignment horizontal="center" vertical="center"/>
    </xf>
    <xf numFmtId="165" fontId="0" fillId="0" borderId="1" xfId="1" applyFont="1" applyBorder="1" applyAlignment="1">
      <alignment vertical="center"/>
    </xf>
    <xf numFmtId="165" fontId="0" fillId="6" borderId="1" xfId="1" applyFont="1" applyFill="1" applyBorder="1" applyAlignment="1">
      <alignment vertical="center"/>
    </xf>
    <xf numFmtId="3" fontId="0" fillId="0" borderId="1" xfId="0" applyNumberFormat="1" applyBorder="1" applyAlignment="1">
      <alignment vertical="center"/>
    </xf>
    <xf numFmtId="2" fontId="2" fillId="0" borderId="1" xfId="0" applyNumberFormat="1" applyFont="1" applyBorder="1" applyAlignment="1">
      <alignment horizontal="center" vertical="center"/>
    </xf>
    <xf numFmtId="0" fontId="0" fillId="0" borderId="0" xfId="0" applyAlignment="1">
      <alignment horizontal="center" wrapText="1"/>
    </xf>
    <xf numFmtId="0" fontId="0" fillId="8" borderId="1" xfId="0" applyFill="1" applyBorder="1"/>
    <xf numFmtId="0" fontId="0" fillId="0" borderId="5" xfId="0" applyBorder="1"/>
    <xf numFmtId="0" fontId="0" fillId="0" borderId="6" xfId="0" applyBorder="1"/>
    <xf numFmtId="0" fontId="0" fillId="7" borderId="6" xfId="0" applyFill="1" applyBorder="1"/>
    <xf numFmtId="0" fontId="0" fillId="0" borderId="7" xfId="0" applyBorder="1"/>
    <xf numFmtId="0" fontId="0" fillId="9" borderId="8" xfId="0" applyFill="1" applyBorder="1"/>
    <xf numFmtId="0" fontId="0" fillId="9" borderId="9" xfId="0" applyFill="1" applyBorder="1"/>
    <xf numFmtId="0" fontId="2" fillId="0" borderId="10" xfId="0" applyFont="1" applyBorder="1" applyAlignment="1">
      <alignment horizontal="center" wrapText="1"/>
    </xf>
    <xf numFmtId="0" fontId="2" fillId="0" borderId="11" xfId="0" applyFont="1" applyBorder="1" applyAlignment="1">
      <alignment horizontal="center"/>
    </xf>
    <xf numFmtId="0" fontId="2" fillId="0" borderId="12" xfId="0" applyFont="1" applyBorder="1" applyAlignment="1">
      <alignment horizontal="center"/>
    </xf>
    <xf numFmtId="0" fontId="0" fillId="9" borderId="13" xfId="0" applyFill="1" applyBorder="1"/>
    <xf numFmtId="0" fontId="0" fillId="0" borderId="4" xfId="0" applyBorder="1"/>
    <xf numFmtId="0" fontId="0" fillId="0" borderId="14" xfId="0" applyBorder="1"/>
    <xf numFmtId="0" fontId="0" fillId="0" borderId="15" xfId="0" applyBorder="1" applyAlignment="1">
      <alignment horizontal="center" wrapText="1"/>
    </xf>
    <xf numFmtId="0" fontId="0" fillId="0" borderId="16" xfId="0" applyBorder="1" applyAlignment="1">
      <alignment horizontal="center" wrapText="1"/>
    </xf>
    <xf numFmtId="0" fontId="0" fillId="0" borderId="17" xfId="0" applyBorder="1" applyAlignment="1">
      <alignment horizontal="center" wrapText="1"/>
    </xf>
    <xf numFmtId="0" fontId="2" fillId="6" borderId="1" xfId="0" applyFont="1" applyFill="1" applyBorder="1" applyAlignment="1">
      <alignment horizontal="center" vertical="center" wrapText="1"/>
    </xf>
    <xf numFmtId="0" fontId="4" fillId="0" borderId="8" xfId="0" applyFont="1" applyBorder="1" applyAlignment="1">
      <alignment vertical="center"/>
    </xf>
    <xf numFmtId="0" fontId="0" fillId="0" borderId="8" xfId="0" applyBorder="1" applyAlignment="1">
      <alignment vertical="center"/>
    </xf>
    <xf numFmtId="0" fontId="5" fillId="3" borderId="8" xfId="0" applyFont="1" applyFill="1" applyBorder="1" applyAlignment="1">
      <alignment horizontal="center" vertical="center" wrapText="1"/>
    </xf>
    <xf numFmtId="2" fontId="5" fillId="3" borderId="8"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6" borderId="1" xfId="0" applyFont="1" applyFill="1" applyBorder="1" applyAlignment="1">
      <alignment horizontal="center" vertical="center"/>
    </xf>
    <xf numFmtId="0" fontId="0" fillId="0" borderId="1" xfId="0" applyBorder="1" applyAlignment="1">
      <alignment horizontal="center" vertical="center"/>
    </xf>
    <xf numFmtId="3" fontId="5" fillId="10"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0" fillId="0" borderId="0" xfId="0" applyAlignment="1">
      <alignment horizontal="center"/>
    </xf>
    <xf numFmtId="3" fontId="0" fillId="0" borderId="0" xfId="0" applyNumberFormat="1"/>
    <xf numFmtId="0" fontId="5"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7" fillId="0" borderId="1" xfId="0" applyFont="1" applyBorder="1" applyAlignment="1">
      <alignment vertical="center" wrapText="1"/>
    </xf>
    <xf numFmtId="165" fontId="1" fillId="0" borderId="1" xfId="1" applyFont="1" applyBorder="1" applyAlignment="1">
      <alignment horizontal="center" vertical="center"/>
    </xf>
    <xf numFmtId="165" fontId="0" fillId="0" borderId="0" xfId="0" applyNumberFormat="1"/>
    <xf numFmtId="0" fontId="0" fillId="0" borderId="0" xfId="0" applyAlignment="1">
      <alignment horizontal="center" vertical="center"/>
    </xf>
    <xf numFmtId="165" fontId="2" fillId="12" borderId="0" xfId="0" applyNumberFormat="1" applyFont="1" applyFill="1" applyAlignment="1">
      <alignment vertical="center"/>
    </xf>
    <xf numFmtId="0" fontId="9" fillId="11" borderId="0" xfId="0" applyFont="1" applyFill="1" applyAlignment="1">
      <alignment horizontal="center" vertical="center"/>
    </xf>
    <xf numFmtId="165" fontId="2" fillId="5" borderId="0" xfId="0" applyNumberFormat="1" applyFont="1" applyFill="1"/>
    <xf numFmtId="165" fontId="0" fillId="5" borderId="0" xfId="0" applyNumberFormat="1" applyFill="1"/>
    <xf numFmtId="0" fontId="8" fillId="6" borderId="0" xfId="0" applyFont="1" applyFill="1" applyAlignment="1">
      <alignment vertical="center" wrapText="1"/>
    </xf>
    <xf numFmtId="165" fontId="0" fillId="0" borderId="0" xfId="1" applyFont="1"/>
    <xf numFmtId="0" fontId="8" fillId="0" borderId="0" xfId="0" applyFont="1" applyAlignment="1">
      <alignment wrapText="1"/>
    </xf>
    <xf numFmtId="0" fontId="8" fillId="6" borderId="0" xfId="0" applyFont="1" applyFill="1" applyAlignment="1">
      <alignment vertical="center"/>
    </xf>
    <xf numFmtId="0" fontId="7" fillId="6" borderId="1" xfId="0" applyFont="1" applyFill="1" applyBorder="1" applyAlignment="1">
      <alignment vertical="center" wrapText="1"/>
    </xf>
    <xf numFmtId="3" fontId="8" fillId="0" borderId="0" xfId="0" applyNumberFormat="1" applyFont="1" applyAlignment="1">
      <alignment vertical="center" wrapText="1"/>
    </xf>
    <xf numFmtId="0" fontId="7" fillId="0" borderId="1" xfId="0" applyFont="1" applyBorder="1" applyAlignment="1">
      <alignment horizontal="center" vertical="center" wrapText="1"/>
    </xf>
    <xf numFmtId="0" fontId="7" fillId="6" borderId="1" xfId="0" applyFont="1" applyFill="1" applyBorder="1" applyAlignment="1">
      <alignment horizontal="center" vertical="center"/>
    </xf>
    <xf numFmtId="43" fontId="0" fillId="0" borderId="0" xfId="0" applyNumberFormat="1" applyAlignment="1">
      <alignment vertical="center"/>
    </xf>
    <xf numFmtId="0" fontId="5" fillId="4" borderId="1" xfId="0" applyFont="1" applyFill="1" applyBorder="1" applyAlignment="1">
      <alignment horizontal="center" vertical="center" wrapText="1"/>
    </xf>
    <xf numFmtId="0" fontId="2" fillId="6" borderId="0" xfId="0" applyFont="1" applyFill="1" applyAlignment="1">
      <alignment horizontal="center" vertical="center" wrapText="1"/>
    </xf>
    <xf numFmtId="0" fontId="9" fillId="2"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8" fillId="6" borderId="0" xfId="0" applyFont="1" applyFill="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4"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CC99FF"/>
      <color rgb="FFA072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B1:AB20"/>
  <sheetViews>
    <sheetView tabSelected="1" topLeftCell="A3" zoomScale="80" zoomScaleNormal="80" workbookViewId="0">
      <selection activeCell="X19" sqref="X19"/>
    </sheetView>
  </sheetViews>
  <sheetFormatPr baseColWidth="10" defaultColWidth="11.453125" defaultRowHeight="14.5" x14ac:dyDescent="0.35"/>
  <cols>
    <col min="1" max="1" width="6.6328125" style="1" customWidth="1"/>
    <col min="2" max="2" width="7.08984375" style="1" customWidth="1"/>
    <col min="3" max="3" width="67.6328125" style="1" customWidth="1"/>
    <col min="4" max="4" width="11.453125" style="1"/>
    <col min="5" max="5" width="10.453125" style="1" customWidth="1"/>
    <col min="6" max="6" width="15.54296875" style="1" customWidth="1"/>
    <col min="7" max="7" width="16.36328125" style="9" customWidth="1"/>
    <col min="8" max="8" width="17.453125" style="1" customWidth="1"/>
    <col min="9" max="9" width="0" style="2" hidden="1" customWidth="1"/>
    <col min="10" max="10" width="18.54296875" style="1" hidden="1" customWidth="1"/>
    <col min="11" max="11" width="19.08984375" style="1" hidden="1" customWidth="1"/>
    <col min="12" max="12" width="16.54296875" style="1" hidden="1" customWidth="1"/>
    <col min="13" max="13" width="14.36328125" style="1" hidden="1" customWidth="1"/>
    <col min="14" max="14" width="16.54296875" style="1" hidden="1" customWidth="1"/>
    <col min="15" max="15" width="16.453125" style="1" hidden="1" customWidth="1"/>
    <col min="16" max="16" width="16.54296875" style="1" hidden="1" customWidth="1"/>
    <col min="17" max="17" width="14.453125" style="2" hidden="1" customWidth="1"/>
    <col min="18" max="19" width="0" style="1" hidden="1" customWidth="1"/>
    <col min="20" max="20" width="15.36328125" style="1" hidden="1" customWidth="1"/>
    <col min="21" max="21" width="12.08984375" style="1" hidden="1" customWidth="1"/>
    <col min="22" max="22" width="11.453125" style="1"/>
    <col min="23" max="23" width="30.54296875" style="1" customWidth="1"/>
    <col min="24" max="24" width="24.36328125" style="1" customWidth="1"/>
    <col min="25" max="26" width="11.453125" style="1"/>
    <col min="27" max="27" width="14.54296875" style="1" customWidth="1"/>
    <col min="28" max="16384" width="11.453125" style="1"/>
  </cols>
  <sheetData>
    <row r="1" spans="2:28" x14ac:dyDescent="0.35">
      <c r="G1" s="1"/>
    </row>
    <row r="2" spans="2:28" ht="63" customHeight="1" x14ac:dyDescent="0.35">
      <c r="B2" s="88" t="s">
        <v>44</v>
      </c>
      <c r="C2" s="88"/>
      <c r="D2" s="88"/>
      <c r="E2" s="88"/>
      <c r="F2" s="88"/>
      <c r="G2" s="88"/>
      <c r="H2" s="88"/>
      <c r="I2" s="88"/>
      <c r="J2" s="88"/>
      <c r="K2" s="88"/>
      <c r="L2" s="88"/>
      <c r="M2" s="88"/>
      <c r="N2" s="88"/>
      <c r="O2" s="88"/>
      <c r="P2" s="88"/>
      <c r="Q2" s="88"/>
      <c r="R2" s="88"/>
      <c r="S2" s="88"/>
      <c r="T2" s="88"/>
      <c r="U2" s="88"/>
      <c r="AB2" s="1">
        <f>10*30</f>
        <v>300</v>
      </c>
    </row>
    <row r="3" spans="2:28" ht="29" x14ac:dyDescent="0.35">
      <c r="B3" s="56" t="s">
        <v>0</v>
      </c>
      <c r="C3" s="56" t="s">
        <v>1</v>
      </c>
      <c r="D3" s="56" t="s">
        <v>2</v>
      </c>
      <c r="E3" s="56" t="s">
        <v>3</v>
      </c>
      <c r="F3" s="56" t="s">
        <v>14</v>
      </c>
      <c r="G3" s="23" t="s">
        <v>4</v>
      </c>
      <c r="H3" s="56" t="s">
        <v>5</v>
      </c>
      <c r="I3" s="57"/>
      <c r="J3" s="58"/>
      <c r="K3" s="58"/>
      <c r="L3" s="58"/>
      <c r="M3" s="58"/>
      <c r="N3" s="58"/>
      <c r="O3" s="58"/>
      <c r="P3" s="58"/>
      <c r="Q3" s="57"/>
      <c r="R3" s="58"/>
      <c r="S3" s="58"/>
      <c r="T3" s="59" t="s">
        <v>33</v>
      </c>
      <c r="U3" s="60" t="s">
        <v>34</v>
      </c>
      <c r="W3" s="1" t="s">
        <v>66</v>
      </c>
      <c r="X3" s="1" t="s">
        <v>68</v>
      </c>
    </row>
    <row r="4" spans="2:28" ht="29" x14ac:dyDescent="0.35">
      <c r="B4" s="24">
        <v>1</v>
      </c>
      <c r="C4" s="25" t="s">
        <v>21</v>
      </c>
      <c r="D4" s="24" t="s">
        <v>6</v>
      </c>
      <c r="E4" s="24">
        <v>1</v>
      </c>
      <c r="F4" s="24">
        <v>2</v>
      </c>
      <c r="G4" s="26">
        <v>5079250</v>
      </c>
      <c r="H4" s="27">
        <f>G4*F4*E4</f>
        <v>10158500</v>
      </c>
      <c r="I4" s="28"/>
      <c r="J4" s="29"/>
      <c r="K4" s="29"/>
      <c r="L4" s="17" t="s">
        <v>16</v>
      </c>
      <c r="M4" s="17" t="s">
        <v>17</v>
      </c>
      <c r="N4" s="17" t="s">
        <v>18</v>
      </c>
      <c r="O4" s="17" t="s">
        <v>19</v>
      </c>
      <c r="P4" s="30">
        <f>G4*F4*E4</f>
        <v>10158500</v>
      </c>
      <c r="Q4" s="28"/>
      <c r="R4" s="29"/>
      <c r="S4" s="29"/>
      <c r="T4" s="30">
        <v>0</v>
      </c>
      <c r="U4" s="31">
        <f>T4*100/$H$15</f>
        <v>0</v>
      </c>
      <c r="W4" s="15">
        <f>+E4*F4*G4</f>
        <v>10158500</v>
      </c>
    </row>
    <row r="5" spans="2:28" ht="29" x14ac:dyDescent="0.35">
      <c r="B5" s="24">
        <v>2</v>
      </c>
      <c r="C5" s="25" t="s">
        <v>15</v>
      </c>
      <c r="D5" s="24" t="s">
        <v>6</v>
      </c>
      <c r="E5" s="24">
        <v>2</v>
      </c>
      <c r="F5" s="24">
        <v>2</v>
      </c>
      <c r="G5" s="26">
        <v>1991544</v>
      </c>
      <c r="H5" s="27">
        <f>G5*F5*E5</f>
        <v>7966176</v>
      </c>
      <c r="I5" s="28"/>
      <c r="J5" s="29"/>
      <c r="K5" s="29"/>
      <c r="L5" s="14" t="e">
        <f>H4+#REF!+H5</f>
        <v>#REF!</v>
      </c>
      <c r="M5" s="14">
        <f>H6+H7</f>
        <v>266400</v>
      </c>
      <c r="N5" s="14">
        <f>H14</f>
        <v>17669400</v>
      </c>
      <c r="O5" s="14">
        <f>H9+H10+H11</f>
        <v>19080000</v>
      </c>
      <c r="P5" s="30">
        <f>G5*F5*E5</f>
        <v>7966176</v>
      </c>
      <c r="Q5" s="28"/>
      <c r="R5" s="29"/>
      <c r="S5" s="29"/>
      <c r="T5" s="30">
        <v>0</v>
      </c>
      <c r="U5" s="31">
        <f t="shared" ref="U5:U14" si="0">T5*100/$H$15</f>
        <v>0</v>
      </c>
      <c r="W5" s="15">
        <f>+E5*F5*G5</f>
        <v>7966176</v>
      </c>
    </row>
    <row r="6" spans="2:28" x14ac:dyDescent="0.35">
      <c r="B6" s="24">
        <v>3</v>
      </c>
      <c r="C6" s="25" t="s">
        <v>12</v>
      </c>
      <c r="D6" s="24" t="s">
        <v>7</v>
      </c>
      <c r="E6" s="24">
        <v>3</v>
      </c>
      <c r="F6" s="24" t="s">
        <v>11</v>
      </c>
      <c r="G6" s="26">
        <v>65000</v>
      </c>
      <c r="H6" s="27">
        <f>G6*E6</f>
        <v>195000</v>
      </c>
      <c r="I6" s="28"/>
      <c r="J6" s="29"/>
      <c r="K6" s="30" t="e">
        <f>#REF!</f>
        <v>#REF!</v>
      </c>
      <c r="L6" s="29"/>
      <c r="M6" s="29"/>
      <c r="N6" s="29"/>
      <c r="O6" s="29"/>
      <c r="P6" s="30">
        <f t="shared" ref="P6:P12" si="1">G6*E6</f>
        <v>195000</v>
      </c>
      <c r="Q6" s="32" t="s">
        <v>27</v>
      </c>
      <c r="R6" s="29"/>
      <c r="S6" s="29"/>
      <c r="T6" s="30">
        <f t="shared" ref="T6:T13" si="2">H6</f>
        <v>195000</v>
      </c>
      <c r="U6" s="31">
        <f t="shared" si="0"/>
        <v>0.32500000000000001</v>
      </c>
      <c r="W6" s="15">
        <f>+E6*G6</f>
        <v>195000</v>
      </c>
    </row>
    <row r="7" spans="2:28" x14ac:dyDescent="0.35">
      <c r="B7" s="24">
        <v>4</v>
      </c>
      <c r="C7" s="25" t="s">
        <v>10</v>
      </c>
      <c r="D7" s="24" t="s">
        <v>7</v>
      </c>
      <c r="E7" s="24">
        <v>3</v>
      </c>
      <c r="F7" s="24" t="s">
        <v>11</v>
      </c>
      <c r="G7" s="26">
        <v>23800</v>
      </c>
      <c r="H7" s="27">
        <f>G7*E7</f>
        <v>71400</v>
      </c>
      <c r="I7" s="28"/>
      <c r="J7" s="29"/>
      <c r="K7" s="29"/>
      <c r="L7" s="33" t="e">
        <f>L5+(#REF!/2)</f>
        <v>#REF!</v>
      </c>
      <c r="M7" s="29"/>
      <c r="N7" s="29"/>
      <c r="O7" s="29"/>
      <c r="P7" s="30">
        <f t="shared" si="1"/>
        <v>71400</v>
      </c>
      <c r="Q7" s="32" t="s">
        <v>27</v>
      </c>
      <c r="R7" s="29"/>
      <c r="S7" s="29"/>
      <c r="T7" s="30">
        <f t="shared" si="2"/>
        <v>71400</v>
      </c>
      <c r="U7" s="31">
        <f t="shared" si="0"/>
        <v>0.11899999999999999</v>
      </c>
      <c r="W7" s="15">
        <f>+E7*G7</f>
        <v>71400</v>
      </c>
    </row>
    <row r="8" spans="2:28" ht="72.5" x14ac:dyDescent="0.35">
      <c r="B8" s="24">
        <v>5</v>
      </c>
      <c r="C8" s="25" t="s">
        <v>43</v>
      </c>
      <c r="D8" s="24" t="s">
        <v>7</v>
      </c>
      <c r="E8" s="24">
        <v>300</v>
      </c>
      <c r="F8" s="24" t="s">
        <v>11</v>
      </c>
      <c r="G8" s="26">
        <v>12500</v>
      </c>
      <c r="H8" s="27">
        <f>G8*E8</f>
        <v>3750000</v>
      </c>
      <c r="I8" s="28"/>
      <c r="J8" s="29"/>
      <c r="K8" s="29"/>
      <c r="L8" s="29"/>
      <c r="M8" s="29"/>
      <c r="N8" s="34" t="s">
        <v>20</v>
      </c>
      <c r="O8" s="18" t="e">
        <f>L5+M5+N5+O5</f>
        <v>#REF!</v>
      </c>
      <c r="P8" s="30">
        <f t="shared" si="1"/>
        <v>3750000</v>
      </c>
      <c r="Q8" s="28"/>
      <c r="R8" s="29"/>
      <c r="S8" s="29"/>
      <c r="T8" s="30">
        <v>17424168</v>
      </c>
      <c r="U8" s="31">
        <f t="shared" si="0"/>
        <v>29.040279999999999</v>
      </c>
      <c r="W8" s="15">
        <f>+E8*G8</f>
        <v>3750000</v>
      </c>
    </row>
    <row r="9" spans="2:28" ht="43.5" x14ac:dyDescent="0.35">
      <c r="B9" s="24">
        <v>6</v>
      </c>
      <c r="C9" s="25" t="s">
        <v>28</v>
      </c>
      <c r="D9" s="24" t="s">
        <v>8</v>
      </c>
      <c r="E9" s="24">
        <f>E8</f>
        <v>300</v>
      </c>
      <c r="F9" s="24">
        <v>2</v>
      </c>
      <c r="G9" s="26">
        <v>18900</v>
      </c>
      <c r="H9" s="27">
        <f>G9*F9*E9</f>
        <v>11340000</v>
      </c>
      <c r="I9" s="28"/>
      <c r="J9" s="29"/>
      <c r="K9" s="29"/>
      <c r="L9" s="29"/>
      <c r="M9" s="29"/>
      <c r="N9" s="29"/>
      <c r="O9" s="29"/>
      <c r="P9" s="30">
        <f t="shared" si="1"/>
        <v>5670000</v>
      </c>
      <c r="Q9" s="32" t="s">
        <v>23</v>
      </c>
      <c r="R9" s="29"/>
      <c r="S9" s="29"/>
      <c r="T9" s="30">
        <f t="shared" si="2"/>
        <v>11340000</v>
      </c>
      <c r="U9" s="31">
        <f t="shared" si="0"/>
        <v>18.899999999999999</v>
      </c>
      <c r="W9" s="15">
        <f>+E9*F9*G9</f>
        <v>11340000</v>
      </c>
    </row>
    <row r="10" spans="2:28" ht="43.5" x14ac:dyDescent="0.35">
      <c r="B10" s="24">
        <v>7</v>
      </c>
      <c r="C10" s="25" t="s">
        <v>29</v>
      </c>
      <c r="D10" s="24" t="s">
        <v>8</v>
      </c>
      <c r="E10" s="24">
        <f>E9</f>
        <v>300</v>
      </c>
      <c r="F10" s="24">
        <v>2</v>
      </c>
      <c r="G10" s="26">
        <v>9200</v>
      </c>
      <c r="H10" s="27">
        <f>G10*F10*E10</f>
        <v>5520000</v>
      </c>
      <c r="I10" s="28"/>
      <c r="J10" s="29"/>
      <c r="K10" s="29"/>
      <c r="L10" s="29"/>
      <c r="M10" s="29"/>
      <c r="N10" s="29"/>
      <c r="O10" s="29"/>
      <c r="P10" s="30">
        <f t="shared" si="1"/>
        <v>2760000</v>
      </c>
      <c r="Q10" s="32" t="s">
        <v>23</v>
      </c>
      <c r="R10" s="29"/>
      <c r="S10" s="29"/>
      <c r="T10" s="30">
        <f t="shared" si="2"/>
        <v>5520000</v>
      </c>
      <c r="U10" s="31">
        <f t="shared" si="0"/>
        <v>9.1999999999999993</v>
      </c>
      <c r="W10" s="15">
        <f>+E10*F10*G10</f>
        <v>5520000</v>
      </c>
    </row>
    <row r="11" spans="2:28" x14ac:dyDescent="0.35">
      <c r="B11" s="24">
        <v>8</v>
      </c>
      <c r="C11" s="25" t="s">
        <v>30</v>
      </c>
      <c r="D11" s="24" t="s">
        <v>8</v>
      </c>
      <c r="E11" s="24">
        <f>E9</f>
        <v>300</v>
      </c>
      <c r="F11" s="24">
        <v>2</v>
      </c>
      <c r="G11" s="26">
        <v>3700</v>
      </c>
      <c r="H11" s="27">
        <f>G11*F11*E11</f>
        <v>2220000</v>
      </c>
      <c r="I11" s="28"/>
      <c r="J11" s="29"/>
      <c r="K11" s="29"/>
      <c r="L11" s="29"/>
      <c r="M11" s="29"/>
      <c r="N11" s="29"/>
      <c r="O11" s="29"/>
      <c r="P11" s="30">
        <f t="shared" si="1"/>
        <v>1110000</v>
      </c>
      <c r="Q11" s="32" t="s">
        <v>23</v>
      </c>
      <c r="R11" s="29"/>
      <c r="S11" s="29"/>
      <c r="T11" s="30">
        <f t="shared" si="2"/>
        <v>2220000</v>
      </c>
      <c r="U11" s="31">
        <f t="shared" si="0"/>
        <v>3.7</v>
      </c>
      <c r="W11" s="15">
        <f>+E11*F11*G11</f>
        <v>2220000</v>
      </c>
    </row>
    <row r="12" spans="2:28" ht="29" x14ac:dyDescent="0.35">
      <c r="B12" s="24">
        <v>9</v>
      </c>
      <c r="C12" s="25" t="s">
        <v>22</v>
      </c>
      <c r="D12" s="24" t="s">
        <v>7</v>
      </c>
      <c r="E12" s="24">
        <v>1</v>
      </c>
      <c r="F12" s="24" t="s">
        <v>11</v>
      </c>
      <c r="G12" s="26">
        <v>202400</v>
      </c>
      <c r="H12" s="27">
        <f>G12*E12</f>
        <v>202400</v>
      </c>
      <c r="I12" s="28"/>
      <c r="J12" s="35"/>
      <c r="K12" s="29"/>
      <c r="L12" s="29"/>
      <c r="M12" s="29"/>
      <c r="N12" s="29"/>
      <c r="O12" s="29"/>
      <c r="P12" s="30">
        <f t="shared" si="1"/>
        <v>202400</v>
      </c>
      <c r="Q12" s="32"/>
      <c r="R12" s="29"/>
      <c r="S12" s="29"/>
      <c r="T12" s="30">
        <f t="shared" si="2"/>
        <v>202400</v>
      </c>
      <c r="U12" s="31">
        <f t="shared" si="0"/>
        <v>0.33733333333333332</v>
      </c>
      <c r="W12" s="15">
        <f>+E12*G12</f>
        <v>202400</v>
      </c>
    </row>
    <row r="13" spans="2:28" ht="155.4" customHeight="1" x14ac:dyDescent="0.35">
      <c r="B13" s="24">
        <v>10</v>
      </c>
      <c r="C13" s="25" t="s">
        <v>74</v>
      </c>
      <c r="D13" s="24" t="s">
        <v>31</v>
      </c>
      <c r="E13" s="24">
        <v>1</v>
      </c>
      <c r="F13" s="24">
        <v>1</v>
      </c>
      <c r="G13" s="36">
        <v>907124</v>
      </c>
      <c r="H13" s="27">
        <f>G13*F13*E13</f>
        <v>907124</v>
      </c>
      <c r="I13" s="28"/>
      <c r="J13" s="35"/>
      <c r="K13" s="37"/>
      <c r="L13" s="29"/>
      <c r="M13" s="29"/>
      <c r="N13" s="29"/>
      <c r="O13" s="29"/>
      <c r="P13" s="30">
        <f>G13*F13*E13</f>
        <v>907124</v>
      </c>
      <c r="Q13" s="32" t="s">
        <v>24</v>
      </c>
      <c r="R13" s="29"/>
      <c r="S13" s="29"/>
      <c r="T13" s="30">
        <f t="shared" si="2"/>
        <v>907124</v>
      </c>
      <c r="U13" s="31">
        <f t="shared" si="0"/>
        <v>1.5118733333333334</v>
      </c>
      <c r="W13" s="15">
        <f>+E13*F13*G13</f>
        <v>907124</v>
      </c>
      <c r="X13" s="78"/>
    </row>
    <row r="14" spans="2:28" ht="43.5" x14ac:dyDescent="0.35">
      <c r="B14" s="5">
        <v>11</v>
      </c>
      <c r="C14" s="6" t="s">
        <v>9</v>
      </c>
      <c r="D14" s="5" t="s">
        <v>6</v>
      </c>
      <c r="E14" s="5">
        <v>1</v>
      </c>
      <c r="F14" s="10">
        <v>2</v>
      </c>
      <c r="G14" s="7">
        <v>8834700</v>
      </c>
      <c r="H14" s="8">
        <f>G14*F14*E14</f>
        <v>17669400</v>
      </c>
      <c r="I14" s="28"/>
      <c r="J14" s="29"/>
      <c r="K14" s="37"/>
      <c r="L14" s="29"/>
      <c r="M14" s="29"/>
      <c r="N14" s="29"/>
      <c r="O14" s="29"/>
      <c r="P14" s="30">
        <f>G14*F14*E14</f>
        <v>17669400</v>
      </c>
      <c r="Q14" s="28"/>
      <c r="R14" s="29"/>
      <c r="S14" s="29"/>
      <c r="T14" s="30">
        <v>0</v>
      </c>
      <c r="U14" s="31">
        <f t="shared" si="0"/>
        <v>0</v>
      </c>
      <c r="W14" s="15">
        <f>+E14*F14*G14</f>
        <v>17669400</v>
      </c>
    </row>
    <row r="15" spans="2:28" ht="15" customHeight="1" x14ac:dyDescent="0.35">
      <c r="B15" s="87" t="s">
        <v>13</v>
      </c>
      <c r="C15" s="87"/>
      <c r="D15" s="87"/>
      <c r="E15" s="87"/>
      <c r="F15" s="87"/>
      <c r="G15" s="87"/>
      <c r="H15" s="11">
        <f>SUM(H4:H14)</f>
        <v>60000000</v>
      </c>
      <c r="I15" s="28"/>
      <c r="J15" s="29"/>
      <c r="K15" s="29"/>
      <c r="L15" s="29"/>
      <c r="M15" s="29"/>
      <c r="N15" s="29"/>
      <c r="O15" s="12" t="e">
        <f>O8+#REF!</f>
        <v>#REF!</v>
      </c>
      <c r="P15" s="30">
        <f>SUM(P4:P14)</f>
        <v>50460000</v>
      </c>
      <c r="Q15" s="28"/>
      <c r="R15" s="29"/>
      <c r="S15" s="29"/>
      <c r="T15" s="33">
        <f>SUM(T4:T14)</f>
        <v>37880092</v>
      </c>
      <c r="U15" s="38">
        <f>SUM(U4:U14)</f>
        <v>63.133486666666663</v>
      </c>
    </row>
    <row r="17" spans="8:20" x14ac:dyDescent="0.35">
      <c r="H17" s="9"/>
      <c r="T17" s="15"/>
    </row>
    <row r="18" spans="8:20" x14ac:dyDescent="0.35">
      <c r="H18" s="9"/>
      <c r="L18" s="13"/>
      <c r="T18" s="15"/>
    </row>
    <row r="19" spans="8:20" x14ac:dyDescent="0.35">
      <c r="H19" s="9"/>
      <c r="L19" s="13"/>
    </row>
    <row r="20" spans="8:20" x14ac:dyDescent="0.35">
      <c r="H20" s="9"/>
      <c r="L20" s="13"/>
    </row>
  </sheetData>
  <mergeCells count="2">
    <mergeCell ref="B15:G15"/>
    <mergeCell ref="B2:U2"/>
  </mergeCells>
  <phoneticPr fontId="3" type="noConversion"/>
  <pageMargins left="0.7" right="0.7" top="0.75" bottom="0.75" header="0.3" footer="0.3"/>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B1:T19"/>
  <sheetViews>
    <sheetView zoomScale="80" zoomScaleNormal="80" workbookViewId="0">
      <selection activeCell="V8" sqref="V8:V10"/>
    </sheetView>
  </sheetViews>
  <sheetFormatPr baseColWidth="10" defaultColWidth="11.453125" defaultRowHeight="14.5" x14ac:dyDescent="0.35"/>
  <cols>
    <col min="1" max="1" width="6.6328125" style="1" customWidth="1"/>
    <col min="2" max="2" width="7.08984375" style="1" customWidth="1"/>
    <col min="3" max="3" width="67.6328125" style="1" customWidth="1"/>
    <col min="4" max="4" width="11.453125" style="1"/>
    <col min="5" max="5" width="10.453125" style="1" customWidth="1"/>
    <col min="6" max="6" width="15.54296875" style="1" customWidth="1"/>
    <col min="7" max="7" width="16.36328125" style="9" customWidth="1"/>
    <col min="8" max="8" width="17.453125" style="1" customWidth="1"/>
    <col min="9" max="9" width="0" style="2" hidden="1" customWidth="1"/>
    <col min="10" max="10" width="18.54296875" style="1" hidden="1" customWidth="1"/>
    <col min="11" max="11" width="19.08984375" style="1" hidden="1" customWidth="1"/>
    <col min="12" max="12" width="16.54296875" style="1" hidden="1" customWidth="1"/>
    <col min="13" max="13" width="14.36328125" style="1" hidden="1" customWidth="1"/>
    <col min="14" max="14" width="16.54296875" style="1" hidden="1" customWidth="1"/>
    <col min="15" max="15" width="16.453125" style="1" hidden="1" customWidth="1"/>
    <col min="16" max="16" width="16.54296875" style="1" hidden="1" customWidth="1"/>
    <col min="17" max="17" width="14.453125" style="2" hidden="1" customWidth="1"/>
    <col min="18" max="18" width="11.453125" style="1"/>
    <col min="19" max="19" width="22.54296875" style="1" customWidth="1"/>
    <col min="20" max="20" width="21.54296875" style="1" customWidth="1"/>
    <col min="21" max="16384" width="11.453125" style="1"/>
  </cols>
  <sheetData>
    <row r="1" spans="2:20" x14ac:dyDescent="0.35">
      <c r="G1" s="1"/>
    </row>
    <row r="2" spans="2:20" ht="63" customHeight="1" x14ac:dyDescent="0.35">
      <c r="B2" s="89" t="s">
        <v>69</v>
      </c>
      <c r="C2" s="89"/>
      <c r="D2" s="89"/>
      <c r="E2" s="89"/>
      <c r="F2" s="89"/>
      <c r="G2" s="89"/>
      <c r="H2" s="89"/>
    </row>
    <row r="3" spans="2:20" x14ac:dyDescent="0.35">
      <c r="B3" s="3" t="s">
        <v>0</v>
      </c>
      <c r="C3" s="3" t="s">
        <v>1</v>
      </c>
      <c r="D3" s="3" t="s">
        <v>2</v>
      </c>
      <c r="E3" s="3" t="s">
        <v>3</v>
      </c>
      <c r="F3" s="3" t="s">
        <v>14</v>
      </c>
      <c r="G3" s="4" t="s">
        <v>4</v>
      </c>
      <c r="H3" s="3" t="s">
        <v>5</v>
      </c>
      <c r="S3" s="1" t="s">
        <v>66</v>
      </c>
      <c r="T3" s="73" t="s">
        <v>67</v>
      </c>
    </row>
    <row r="4" spans="2:20" ht="29" x14ac:dyDescent="0.35">
      <c r="B4" s="5">
        <v>1</v>
      </c>
      <c r="C4" s="6" t="s">
        <v>21</v>
      </c>
      <c r="D4" s="5" t="s">
        <v>6</v>
      </c>
      <c r="E4" s="5">
        <v>2</v>
      </c>
      <c r="F4" s="10">
        <v>1</v>
      </c>
      <c r="G4" s="26">
        <v>5654306</v>
      </c>
      <c r="H4" s="8">
        <f>G4*F4*E4</f>
        <v>11308612</v>
      </c>
      <c r="L4" s="17" t="s">
        <v>16</v>
      </c>
      <c r="M4" s="17" t="s">
        <v>17</v>
      </c>
      <c r="N4" s="17" t="s">
        <v>18</v>
      </c>
      <c r="O4" s="17" t="s">
        <v>19</v>
      </c>
      <c r="P4" s="15">
        <f>G4*F4*E4</f>
        <v>11308612</v>
      </c>
      <c r="S4" s="15">
        <f>+E4*F4*G4</f>
        <v>11308612</v>
      </c>
    </row>
    <row r="5" spans="2:20" ht="29" x14ac:dyDescent="0.35">
      <c r="B5" s="5">
        <v>2</v>
      </c>
      <c r="C5" s="6" t="s">
        <v>15</v>
      </c>
      <c r="D5" s="5" t="s">
        <v>6</v>
      </c>
      <c r="E5" s="5">
        <v>2</v>
      </c>
      <c r="F5" s="10">
        <v>1</v>
      </c>
      <c r="G5" s="26">
        <v>1991544</v>
      </c>
      <c r="H5" s="8">
        <f>G5*F5*E5</f>
        <v>3983088</v>
      </c>
      <c r="L5" s="14" t="e">
        <f>H4+#REF!+H5</f>
        <v>#REF!</v>
      </c>
      <c r="M5" s="14">
        <f>H6+H7</f>
        <v>355200</v>
      </c>
      <c r="N5" s="14">
        <f>H13</f>
        <v>8834700</v>
      </c>
      <c r="O5" s="14">
        <f>H9+H10+H11</f>
        <v>3816000</v>
      </c>
      <c r="P5" s="15">
        <f>G5*F5*E5</f>
        <v>3983088</v>
      </c>
      <c r="S5" s="15">
        <f>+E5*F5*G5</f>
        <v>3983088</v>
      </c>
    </row>
    <row r="6" spans="2:20" x14ac:dyDescent="0.35">
      <c r="B6" s="5">
        <v>3</v>
      </c>
      <c r="C6" s="6" t="s">
        <v>12</v>
      </c>
      <c r="D6" s="5" t="s">
        <v>7</v>
      </c>
      <c r="E6" s="5">
        <v>4</v>
      </c>
      <c r="F6" s="10" t="s">
        <v>11</v>
      </c>
      <c r="G6" s="26">
        <v>65000</v>
      </c>
      <c r="H6" s="8">
        <f>G6*E6</f>
        <v>260000</v>
      </c>
      <c r="K6" s="15" t="e">
        <f>#REF!</f>
        <v>#REF!</v>
      </c>
      <c r="P6" s="15">
        <f t="shared" ref="P6:P12" si="0">G6*E6</f>
        <v>260000</v>
      </c>
      <c r="Q6" s="22" t="s">
        <v>26</v>
      </c>
      <c r="S6" s="15">
        <f>+E6*G6</f>
        <v>260000</v>
      </c>
    </row>
    <row r="7" spans="2:20" x14ac:dyDescent="0.35">
      <c r="B7" s="5">
        <v>4</v>
      </c>
      <c r="C7" s="6" t="s">
        <v>10</v>
      </c>
      <c r="D7" s="5" t="s">
        <v>7</v>
      </c>
      <c r="E7" s="5">
        <v>4</v>
      </c>
      <c r="F7" s="10" t="s">
        <v>11</v>
      </c>
      <c r="G7" s="26">
        <v>23800</v>
      </c>
      <c r="H7" s="8">
        <f>G7*E7</f>
        <v>95200</v>
      </c>
      <c r="L7" s="16" t="e">
        <f>L5+(#REF!/2)</f>
        <v>#REF!</v>
      </c>
      <c r="P7" s="15">
        <f t="shared" si="0"/>
        <v>95200</v>
      </c>
      <c r="Q7" s="22" t="s">
        <v>26</v>
      </c>
      <c r="S7" s="15">
        <f>+E7*G7</f>
        <v>95200</v>
      </c>
    </row>
    <row r="8" spans="2:20" ht="72.5" x14ac:dyDescent="0.35">
      <c r="B8" s="5">
        <v>5</v>
      </c>
      <c r="C8" s="25" t="s">
        <v>70</v>
      </c>
      <c r="D8" s="5" t="s">
        <v>7</v>
      </c>
      <c r="E8" s="5">
        <f>24*5</f>
        <v>120</v>
      </c>
      <c r="F8" s="10" t="s">
        <v>11</v>
      </c>
      <c r="G8" s="7">
        <v>12500</v>
      </c>
      <c r="H8" s="8">
        <f>G8*E8</f>
        <v>1500000</v>
      </c>
      <c r="N8" s="19" t="s">
        <v>20</v>
      </c>
      <c r="O8" s="18" t="e">
        <f>L5+M5+N5+O5</f>
        <v>#REF!</v>
      </c>
      <c r="P8" s="15">
        <f t="shared" si="0"/>
        <v>1500000</v>
      </c>
      <c r="Q8" s="22"/>
      <c r="S8" s="15">
        <f>+E8*G8</f>
        <v>1500000</v>
      </c>
      <c r="T8" s="78"/>
    </row>
    <row r="9" spans="2:20" ht="43.5" x14ac:dyDescent="0.35">
      <c r="B9" s="5">
        <v>6</v>
      </c>
      <c r="C9" s="6" t="s">
        <v>28</v>
      </c>
      <c r="D9" s="5" t="s">
        <v>8</v>
      </c>
      <c r="E9" s="5">
        <f>E8</f>
        <v>120</v>
      </c>
      <c r="F9" s="10">
        <v>1</v>
      </c>
      <c r="G9" s="26">
        <v>18900</v>
      </c>
      <c r="H9" s="8">
        <f>G9*F9*E9</f>
        <v>2268000</v>
      </c>
      <c r="P9" s="15">
        <f t="shared" si="0"/>
        <v>2268000</v>
      </c>
      <c r="Q9" s="22" t="s">
        <v>25</v>
      </c>
      <c r="S9" s="15">
        <f>+E9*F9*G9</f>
        <v>2268000</v>
      </c>
    </row>
    <row r="10" spans="2:20" ht="43.5" x14ac:dyDescent="0.35">
      <c r="B10" s="5">
        <v>7</v>
      </c>
      <c r="C10" s="6" t="s">
        <v>32</v>
      </c>
      <c r="D10" s="5" t="s">
        <v>8</v>
      </c>
      <c r="E10" s="5">
        <f>E9</f>
        <v>120</v>
      </c>
      <c r="F10" s="10">
        <v>1</v>
      </c>
      <c r="G10" s="26">
        <v>9200</v>
      </c>
      <c r="H10" s="8">
        <f>G10*F10*E10</f>
        <v>1104000</v>
      </c>
      <c r="P10" s="15">
        <f t="shared" si="0"/>
        <v>1104000</v>
      </c>
      <c r="Q10" s="22" t="s">
        <v>25</v>
      </c>
      <c r="S10" s="15">
        <f>+E10*F10*G10</f>
        <v>1104000</v>
      </c>
    </row>
    <row r="11" spans="2:20" x14ac:dyDescent="0.35">
      <c r="B11" s="5">
        <v>8</v>
      </c>
      <c r="C11" s="6" t="s">
        <v>30</v>
      </c>
      <c r="D11" s="5" t="s">
        <v>8</v>
      </c>
      <c r="E11" s="5">
        <f>E9</f>
        <v>120</v>
      </c>
      <c r="F11" s="10">
        <v>1</v>
      </c>
      <c r="G11" s="26">
        <v>3700</v>
      </c>
      <c r="H11" s="8">
        <f>G11*F11*E11</f>
        <v>444000</v>
      </c>
      <c r="P11" s="15">
        <f t="shared" si="0"/>
        <v>444000</v>
      </c>
      <c r="Q11" s="22" t="s">
        <v>25</v>
      </c>
      <c r="S11" s="15">
        <f>+E11*F11*G11</f>
        <v>444000</v>
      </c>
    </row>
    <row r="12" spans="2:20" ht="29" x14ac:dyDescent="0.35">
      <c r="B12" s="5">
        <v>9</v>
      </c>
      <c r="C12" s="6" t="s">
        <v>22</v>
      </c>
      <c r="D12" s="5" t="s">
        <v>7</v>
      </c>
      <c r="E12" s="5">
        <v>1</v>
      </c>
      <c r="F12" s="5" t="s">
        <v>11</v>
      </c>
      <c r="G12" s="26">
        <v>202400</v>
      </c>
      <c r="H12" s="8">
        <f>G12*E12</f>
        <v>202400</v>
      </c>
      <c r="J12" s="9"/>
      <c r="P12" s="15">
        <f t="shared" si="0"/>
        <v>202400</v>
      </c>
      <c r="Q12" s="22"/>
      <c r="S12" s="15">
        <f>+E12*G12</f>
        <v>202400</v>
      </c>
    </row>
    <row r="13" spans="2:20" ht="43.5" x14ac:dyDescent="0.35">
      <c r="B13" s="5">
        <v>10</v>
      </c>
      <c r="C13" s="6" t="s">
        <v>9</v>
      </c>
      <c r="D13" s="5" t="s">
        <v>6</v>
      </c>
      <c r="E13" s="5">
        <v>1</v>
      </c>
      <c r="F13" s="10">
        <v>1</v>
      </c>
      <c r="G13" s="7">
        <v>8834700</v>
      </c>
      <c r="H13" s="8">
        <f>G13*F13*E13</f>
        <v>8834700</v>
      </c>
      <c r="K13" s="20"/>
      <c r="P13" s="15">
        <f>G13*F13*E13</f>
        <v>8834700</v>
      </c>
      <c r="S13" s="9">
        <f>+G13*E13</f>
        <v>8834700</v>
      </c>
    </row>
    <row r="14" spans="2:20" ht="15" customHeight="1" x14ac:dyDescent="0.35">
      <c r="B14" s="90" t="s">
        <v>13</v>
      </c>
      <c r="C14" s="91"/>
      <c r="D14" s="91"/>
      <c r="E14" s="91"/>
      <c r="F14" s="91"/>
      <c r="G14" s="92"/>
      <c r="H14" s="11">
        <f>SUM(H4:H13)</f>
        <v>30000000</v>
      </c>
      <c r="O14" s="12" t="e">
        <f>O8+#REF!</f>
        <v>#REF!</v>
      </c>
      <c r="P14" s="15">
        <f>SUM(P4:P13)</f>
        <v>30000000</v>
      </c>
      <c r="S14" s="74">
        <f>SUM(S4:S13)</f>
        <v>30000000</v>
      </c>
    </row>
    <row r="16" spans="2:20" x14ac:dyDescent="0.35">
      <c r="H16" s="9"/>
    </row>
    <row r="17" spans="6:12" x14ac:dyDescent="0.35">
      <c r="H17" s="9"/>
      <c r="L17" s="13"/>
    </row>
    <row r="18" spans="6:12" x14ac:dyDescent="0.35">
      <c r="H18" s="9"/>
      <c r="L18" s="13"/>
    </row>
    <row r="19" spans="6:12" x14ac:dyDescent="0.35">
      <c r="F19" s="21"/>
      <c r="H19" s="9"/>
      <c r="L19" s="13"/>
    </row>
  </sheetData>
  <mergeCells count="2">
    <mergeCell ref="B2:H2"/>
    <mergeCell ref="B14:G14"/>
  </mergeCells>
  <pageMargins left="0.7" right="0.7" top="0.75" bottom="0.75" header="0.3" footer="0.3"/>
  <pageSetup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4"/>
  <sheetViews>
    <sheetView topLeftCell="A17" workbookViewId="0">
      <selection activeCell="H25" sqref="H25"/>
    </sheetView>
  </sheetViews>
  <sheetFormatPr baseColWidth="10" defaultRowHeight="14.5" x14ac:dyDescent="0.35"/>
  <cols>
    <col min="1" max="1" width="3.90625" customWidth="1"/>
    <col min="3" max="3" width="54.54296875" style="66" customWidth="1"/>
    <col min="4" max="4" width="29.36328125" customWidth="1"/>
    <col min="5" max="5" width="17.90625" customWidth="1"/>
    <col min="6" max="6" width="15.453125" customWidth="1"/>
    <col min="7" max="7" width="17" customWidth="1"/>
    <col min="8" max="8" width="17.6328125" customWidth="1"/>
    <col min="9" max="9" width="18.1796875" customWidth="1"/>
    <col min="10" max="10" width="31.36328125" customWidth="1"/>
    <col min="11" max="11" width="28.90625" customWidth="1"/>
  </cols>
  <sheetData>
    <row r="1" spans="2:11" s="1" customFormat="1" ht="63" customHeight="1" x14ac:dyDescent="0.35">
      <c r="B1" s="98" t="s">
        <v>64</v>
      </c>
      <c r="C1" s="99"/>
      <c r="D1" s="99"/>
      <c r="E1" s="99"/>
      <c r="F1" s="99"/>
      <c r="G1" s="99"/>
      <c r="H1" s="99"/>
    </row>
    <row r="2" spans="2:11" s="1" customFormat="1" x14ac:dyDescent="0.35">
      <c r="B2" s="3" t="s">
        <v>0</v>
      </c>
      <c r="C2" s="3" t="s">
        <v>1</v>
      </c>
      <c r="D2" s="3" t="s">
        <v>2</v>
      </c>
      <c r="E2" s="3" t="s">
        <v>3</v>
      </c>
      <c r="F2" s="3" t="s">
        <v>14</v>
      </c>
      <c r="G2" s="4" t="s">
        <v>4</v>
      </c>
      <c r="H2" s="3" t="s">
        <v>5</v>
      </c>
      <c r="J2" s="75" t="s">
        <v>66</v>
      </c>
      <c r="K2" s="75" t="s">
        <v>67</v>
      </c>
    </row>
    <row r="3" spans="2:11" s="1" customFormat="1" x14ac:dyDescent="0.35">
      <c r="B3" s="5" t="s">
        <v>62</v>
      </c>
      <c r="C3" s="6" t="s">
        <v>65</v>
      </c>
      <c r="D3" s="5" t="s">
        <v>6</v>
      </c>
      <c r="E3" s="5">
        <v>1</v>
      </c>
      <c r="F3" s="5">
        <v>4</v>
      </c>
      <c r="G3" s="7">
        <v>6405000</v>
      </c>
      <c r="H3" s="8">
        <f>G3*F3*E3</f>
        <v>25620000</v>
      </c>
      <c r="J3" s="15">
        <f>+E3*F3*G3</f>
        <v>25620000</v>
      </c>
    </row>
    <row r="4" spans="2:11" ht="90.65" customHeight="1" x14ac:dyDescent="0.35">
      <c r="B4" s="101" t="s">
        <v>78</v>
      </c>
      <c r="C4" s="102"/>
      <c r="D4" s="102"/>
      <c r="E4" s="102"/>
      <c r="F4" s="102"/>
      <c r="G4" s="102"/>
      <c r="H4" s="103"/>
      <c r="K4" s="80"/>
    </row>
    <row r="5" spans="2:11" s="1" customFormat="1" x14ac:dyDescent="0.35">
      <c r="B5" s="3" t="s">
        <v>0</v>
      </c>
      <c r="C5" s="3" t="s">
        <v>1</v>
      </c>
      <c r="D5" s="3" t="s">
        <v>2</v>
      </c>
      <c r="E5" s="3" t="s">
        <v>3</v>
      </c>
      <c r="F5" s="3" t="s">
        <v>14</v>
      </c>
      <c r="G5" s="4" t="s">
        <v>4</v>
      </c>
      <c r="H5" s="3" t="s">
        <v>5</v>
      </c>
      <c r="J5" s="15"/>
    </row>
    <row r="6" spans="2:11" x14ac:dyDescent="0.35">
      <c r="B6" s="61" t="s">
        <v>45</v>
      </c>
      <c r="C6" s="65" t="s">
        <v>46</v>
      </c>
      <c r="D6" s="5" t="s">
        <v>6</v>
      </c>
      <c r="E6" s="62">
        <v>2</v>
      </c>
      <c r="F6" s="63">
        <v>4</v>
      </c>
      <c r="G6" s="7">
        <v>6180000</v>
      </c>
      <c r="H6" s="8">
        <f>G6*F6*E6</f>
        <v>49440000</v>
      </c>
      <c r="J6" s="72">
        <f>+E6*F6*G6</f>
        <v>49440000</v>
      </c>
    </row>
    <row r="7" spans="2:11" x14ac:dyDescent="0.35">
      <c r="B7" s="61" t="s">
        <v>47</v>
      </c>
      <c r="C7" s="65" t="s">
        <v>48</v>
      </c>
      <c r="D7" s="5" t="s">
        <v>6</v>
      </c>
      <c r="E7" s="62">
        <v>4</v>
      </c>
      <c r="F7" s="63">
        <f>F6</f>
        <v>4</v>
      </c>
      <c r="G7" s="7">
        <v>2093000</v>
      </c>
      <c r="H7" s="8">
        <f>G7*F7*E7</f>
        <v>33488000</v>
      </c>
      <c r="J7" s="72">
        <f>+E7*F7*G7</f>
        <v>33488000</v>
      </c>
    </row>
    <row r="8" spans="2:11" x14ac:dyDescent="0.35">
      <c r="B8" s="61" t="s">
        <v>49</v>
      </c>
      <c r="C8" s="65" t="s">
        <v>12</v>
      </c>
      <c r="D8" s="5" t="s">
        <v>7</v>
      </c>
      <c r="E8" s="5">
        <v>6</v>
      </c>
      <c r="F8" s="10" t="s">
        <v>11</v>
      </c>
      <c r="G8" s="7">
        <v>65000</v>
      </c>
      <c r="H8" s="8">
        <f>G8*E8</f>
        <v>390000</v>
      </c>
      <c r="J8" s="72">
        <f>+E8*G8</f>
        <v>390000</v>
      </c>
    </row>
    <row r="9" spans="2:11" x14ac:dyDescent="0.35">
      <c r="B9" s="61" t="s">
        <v>50</v>
      </c>
      <c r="C9" s="65" t="s">
        <v>10</v>
      </c>
      <c r="D9" s="5" t="s">
        <v>7</v>
      </c>
      <c r="E9" s="5">
        <f>E8</f>
        <v>6</v>
      </c>
      <c r="F9" s="5" t="s">
        <v>11</v>
      </c>
      <c r="G9" s="7">
        <v>23800</v>
      </c>
      <c r="H9" s="8">
        <f>G9*E9</f>
        <v>142800</v>
      </c>
      <c r="J9" s="72">
        <f>+E9*G9</f>
        <v>142800</v>
      </c>
    </row>
    <row r="10" spans="2:11" ht="58" x14ac:dyDescent="0.35">
      <c r="B10" s="61" t="s">
        <v>51</v>
      </c>
      <c r="C10" s="65" t="s">
        <v>52</v>
      </c>
      <c r="D10" s="5" t="s">
        <v>7</v>
      </c>
      <c r="E10" s="5">
        <f>E8</f>
        <v>6</v>
      </c>
      <c r="F10" s="5" t="s">
        <v>11</v>
      </c>
      <c r="G10" s="7">
        <v>20600</v>
      </c>
      <c r="H10" s="8">
        <f>G10*E10</f>
        <v>123600</v>
      </c>
      <c r="J10" s="15">
        <f>+E10*G10</f>
        <v>123600</v>
      </c>
    </row>
    <row r="11" spans="2:11" ht="58" x14ac:dyDescent="0.35">
      <c r="B11" s="61" t="s">
        <v>54</v>
      </c>
      <c r="C11" s="84" t="s">
        <v>76</v>
      </c>
      <c r="D11" s="5" t="s">
        <v>8</v>
      </c>
      <c r="E11" s="62">
        <f>25*8</f>
        <v>200</v>
      </c>
      <c r="F11" s="5">
        <v>4</v>
      </c>
      <c r="G11" s="7">
        <v>9200</v>
      </c>
      <c r="H11" s="8">
        <f>G11*E11*F11</f>
        <v>7360000</v>
      </c>
      <c r="J11" s="72">
        <f>+E11*F11*G11</f>
        <v>7360000</v>
      </c>
      <c r="K11" s="80"/>
    </row>
    <row r="12" spans="2:11" ht="29" x14ac:dyDescent="0.35">
      <c r="B12" s="61" t="s">
        <v>55</v>
      </c>
      <c r="C12" s="65" t="s">
        <v>77</v>
      </c>
      <c r="D12" s="5" t="s">
        <v>8</v>
      </c>
      <c r="E12" s="62">
        <f>E11</f>
        <v>200</v>
      </c>
      <c r="F12" s="5">
        <f t="shared" ref="F12:F13" si="0">F11</f>
        <v>4</v>
      </c>
      <c r="G12" s="7">
        <v>3700</v>
      </c>
      <c r="H12" s="8">
        <f>G12*F12*E12</f>
        <v>2960000</v>
      </c>
      <c r="J12" s="72">
        <f>+E12*F12*G12</f>
        <v>2960000</v>
      </c>
    </row>
    <row r="13" spans="2:11" ht="43.5" x14ac:dyDescent="0.35">
      <c r="B13" s="61" t="s">
        <v>56</v>
      </c>
      <c r="C13" s="65" t="s">
        <v>9</v>
      </c>
      <c r="D13" s="5" t="s">
        <v>7</v>
      </c>
      <c r="E13" s="10">
        <v>2</v>
      </c>
      <c r="F13" s="5">
        <f t="shared" si="0"/>
        <v>4</v>
      </c>
      <c r="G13" s="7">
        <v>8834700</v>
      </c>
      <c r="H13" s="8">
        <f>G13*F13*E13</f>
        <v>70677600</v>
      </c>
      <c r="J13" s="72">
        <f>+E13*F13*G13</f>
        <v>70677600</v>
      </c>
    </row>
    <row r="14" spans="2:11" ht="58" x14ac:dyDescent="0.35">
      <c r="B14" s="61" t="s">
        <v>57</v>
      </c>
      <c r="C14" s="65" t="s">
        <v>58</v>
      </c>
      <c r="D14" s="5" t="s">
        <v>7</v>
      </c>
      <c r="E14" s="10">
        <v>1</v>
      </c>
      <c r="F14" s="5" t="s">
        <v>11</v>
      </c>
      <c r="G14" s="7">
        <v>202400</v>
      </c>
      <c r="H14" s="8">
        <f>G14*E14</f>
        <v>202400</v>
      </c>
      <c r="J14" s="67">
        <f>+E14*G14</f>
        <v>202400</v>
      </c>
    </row>
    <row r="15" spans="2:11" ht="147.65" customHeight="1" x14ac:dyDescent="0.35">
      <c r="B15" s="61" t="s">
        <v>59</v>
      </c>
      <c r="C15" s="65" t="s">
        <v>72</v>
      </c>
      <c r="D15" s="5" t="s">
        <v>60</v>
      </c>
      <c r="E15" s="10">
        <v>1</v>
      </c>
      <c r="F15" s="5">
        <v>4</v>
      </c>
      <c r="G15" s="7">
        <v>189750</v>
      </c>
      <c r="H15" s="8">
        <f>+E15*G15*F15</f>
        <v>759000</v>
      </c>
      <c r="I15" s="20"/>
      <c r="J15" s="15">
        <f>+E15*G15*F15</f>
        <v>759000</v>
      </c>
      <c r="K15" s="83"/>
    </row>
    <row r="16" spans="2:11" x14ac:dyDescent="0.35">
      <c r="B16" s="100" t="s">
        <v>61</v>
      </c>
      <c r="C16" s="100"/>
      <c r="D16" s="100"/>
      <c r="E16" s="100"/>
      <c r="F16" s="100"/>
      <c r="G16" s="100"/>
      <c r="H16" s="64">
        <f>SUM(H3:H15)</f>
        <v>191163400</v>
      </c>
      <c r="I16">
        <f>996/4</f>
        <v>249</v>
      </c>
      <c r="J16" s="76">
        <f>SUM(J3:J15)</f>
        <v>191163400</v>
      </c>
      <c r="K16" s="79">
        <v>198251800</v>
      </c>
    </row>
    <row r="17" spans="2:11" s="1" customFormat="1" ht="81" customHeight="1" x14ac:dyDescent="0.35">
      <c r="B17" s="94" t="s">
        <v>80</v>
      </c>
      <c r="C17" s="95"/>
      <c r="D17" s="95"/>
      <c r="E17" s="95"/>
      <c r="F17" s="95"/>
      <c r="G17" s="95"/>
      <c r="H17" s="96"/>
      <c r="I17" s="86"/>
    </row>
    <row r="18" spans="2:11" x14ac:dyDescent="0.35">
      <c r="B18" s="68" t="s">
        <v>0</v>
      </c>
      <c r="C18" s="68" t="s">
        <v>1</v>
      </c>
      <c r="D18" s="68" t="s">
        <v>2</v>
      </c>
      <c r="E18" s="68" t="s">
        <v>3</v>
      </c>
      <c r="F18" s="68" t="s">
        <v>14</v>
      </c>
      <c r="G18" s="68" t="s">
        <v>4</v>
      </c>
      <c r="H18" s="68" t="s">
        <v>5</v>
      </c>
    </row>
    <row r="19" spans="2:11" ht="29" x14ac:dyDescent="0.35">
      <c r="B19" s="69" t="s">
        <v>62</v>
      </c>
      <c r="C19" s="82" t="s">
        <v>75</v>
      </c>
      <c r="D19" s="5" t="s">
        <v>6</v>
      </c>
      <c r="E19" s="5">
        <v>1</v>
      </c>
      <c r="F19" s="10">
        <v>2</v>
      </c>
      <c r="G19" s="7">
        <f>G6</f>
        <v>6180000</v>
      </c>
      <c r="H19" s="8">
        <f>G19*F19*E19</f>
        <v>12360000</v>
      </c>
      <c r="J19" s="72">
        <f>+E19*F19*G19</f>
        <v>12360000</v>
      </c>
      <c r="K19" s="97"/>
    </row>
    <row r="20" spans="2:11" ht="41.4" customHeight="1" x14ac:dyDescent="0.35">
      <c r="B20" s="69" t="s">
        <v>45</v>
      </c>
      <c r="C20" s="82" t="s">
        <v>71</v>
      </c>
      <c r="D20" s="5" t="s">
        <v>6</v>
      </c>
      <c r="E20" s="5">
        <v>1</v>
      </c>
      <c r="F20" s="10">
        <v>2</v>
      </c>
      <c r="G20" s="7">
        <f>G19</f>
        <v>6180000</v>
      </c>
      <c r="H20" s="8">
        <f>G20*F20*E20</f>
        <v>12360000</v>
      </c>
      <c r="J20" s="72">
        <f>+E20*F20*G20</f>
        <v>12360000</v>
      </c>
      <c r="K20" s="97"/>
    </row>
    <row r="21" spans="2:11" ht="43.5" x14ac:dyDescent="0.35">
      <c r="B21" s="69" t="s">
        <v>47</v>
      </c>
      <c r="C21" s="6" t="s">
        <v>15</v>
      </c>
      <c r="D21" s="5" t="s">
        <v>6</v>
      </c>
      <c r="E21" s="5">
        <v>2</v>
      </c>
      <c r="F21" s="10">
        <v>2</v>
      </c>
      <c r="G21" s="7">
        <v>2093000</v>
      </c>
      <c r="H21" s="8">
        <f>G21*F21*E21</f>
        <v>8372000</v>
      </c>
      <c r="J21" s="72">
        <f>+E21*F21*G21</f>
        <v>8372000</v>
      </c>
    </row>
    <row r="22" spans="2:11" x14ac:dyDescent="0.35">
      <c r="B22" s="69" t="s">
        <v>49</v>
      </c>
      <c r="C22" s="6" t="s">
        <v>12</v>
      </c>
      <c r="D22" s="5" t="s">
        <v>7</v>
      </c>
      <c r="E22" s="5">
        <v>4</v>
      </c>
      <c r="F22" s="10" t="s">
        <v>11</v>
      </c>
      <c r="G22" s="7">
        <v>65000</v>
      </c>
      <c r="H22" s="8">
        <f>G22*E22</f>
        <v>260000</v>
      </c>
      <c r="J22" s="72">
        <f>+E22*G22</f>
        <v>260000</v>
      </c>
    </row>
    <row r="23" spans="2:11" x14ac:dyDescent="0.35">
      <c r="B23" s="69" t="s">
        <v>50</v>
      </c>
      <c r="C23" s="6" t="s">
        <v>10</v>
      </c>
      <c r="D23" s="5" t="s">
        <v>7</v>
      </c>
      <c r="E23" s="5">
        <v>4</v>
      </c>
      <c r="F23" s="10" t="s">
        <v>11</v>
      </c>
      <c r="G23" s="7">
        <v>23800</v>
      </c>
      <c r="H23" s="8">
        <f>G23*E23</f>
        <v>95200</v>
      </c>
      <c r="J23" s="72">
        <f>+E23*G23</f>
        <v>95200</v>
      </c>
    </row>
    <row r="24" spans="2:11" ht="43.5" x14ac:dyDescent="0.35">
      <c r="B24" s="69" t="s">
        <v>51</v>
      </c>
      <c r="C24" s="6" t="s">
        <v>79</v>
      </c>
      <c r="D24" s="5" t="s">
        <v>7</v>
      </c>
      <c r="E24" s="85">
        <f>E12*2</f>
        <v>400</v>
      </c>
      <c r="F24" s="10" t="s">
        <v>11</v>
      </c>
      <c r="G24" s="71">
        <v>12500</v>
      </c>
      <c r="H24" s="8">
        <f>G24*E24</f>
        <v>5000000</v>
      </c>
      <c r="J24" s="72">
        <f>+E24*G24</f>
        <v>5000000</v>
      </c>
      <c r="K24" s="81"/>
    </row>
    <row r="25" spans="2:11" ht="58" x14ac:dyDescent="0.35">
      <c r="B25" s="69" t="s">
        <v>53</v>
      </c>
      <c r="C25" s="70" t="s">
        <v>73</v>
      </c>
      <c r="D25" s="5" t="s">
        <v>8</v>
      </c>
      <c r="E25" s="85">
        <f>E12</f>
        <v>200</v>
      </c>
      <c r="F25" s="10">
        <v>2</v>
      </c>
      <c r="G25" s="7">
        <v>18900</v>
      </c>
      <c r="H25" s="8">
        <f>G25*F25*E25</f>
        <v>7560000</v>
      </c>
      <c r="J25" s="15">
        <f>+E25*F25*G25</f>
        <v>7560000</v>
      </c>
    </row>
    <row r="26" spans="2:11" ht="58" x14ac:dyDescent="0.35">
      <c r="B26" s="69" t="s">
        <v>54</v>
      </c>
      <c r="C26" s="70" t="s">
        <v>32</v>
      </c>
      <c r="D26" s="5" t="s">
        <v>8</v>
      </c>
      <c r="E26" s="85">
        <f>E25</f>
        <v>200</v>
      </c>
      <c r="F26" s="10">
        <v>2</v>
      </c>
      <c r="G26" s="7">
        <v>9200</v>
      </c>
      <c r="H26" s="8">
        <f>G26*F26*E26</f>
        <v>3680000</v>
      </c>
      <c r="J26" s="15">
        <f>+E26*F26*G26</f>
        <v>3680000</v>
      </c>
    </row>
    <row r="27" spans="2:11" x14ac:dyDescent="0.35">
      <c r="B27" s="69" t="s">
        <v>55</v>
      </c>
      <c r="C27" s="70" t="s">
        <v>30</v>
      </c>
      <c r="D27" s="5" t="s">
        <v>8</v>
      </c>
      <c r="E27" s="85">
        <f>E26</f>
        <v>200</v>
      </c>
      <c r="F27" s="10">
        <v>2</v>
      </c>
      <c r="G27" s="7">
        <v>3700</v>
      </c>
      <c r="H27" s="8">
        <f>G27*F27*E27</f>
        <v>1480000</v>
      </c>
      <c r="J27" s="72">
        <f>+E27*F27*G27</f>
        <v>1480000</v>
      </c>
    </row>
    <row r="28" spans="2:11" ht="43.5" x14ac:dyDescent="0.35">
      <c r="B28" s="69" t="s">
        <v>56</v>
      </c>
      <c r="C28" s="6" t="s">
        <v>9</v>
      </c>
      <c r="D28" s="5" t="s">
        <v>7</v>
      </c>
      <c r="E28" s="5">
        <v>1</v>
      </c>
      <c r="F28" s="10">
        <v>2</v>
      </c>
      <c r="G28" s="7">
        <v>8834700</v>
      </c>
      <c r="H28" s="8">
        <f>G28*F28*E28</f>
        <v>17669400</v>
      </c>
      <c r="J28" s="72">
        <f>+E28*F28*G28</f>
        <v>17669400</v>
      </c>
    </row>
    <row r="29" spans="2:11" x14ac:dyDescent="0.35">
      <c r="B29" s="87" t="s">
        <v>63</v>
      </c>
      <c r="C29" s="87"/>
      <c r="D29" s="87"/>
      <c r="E29" s="87"/>
      <c r="F29" s="87"/>
      <c r="G29" s="87"/>
      <c r="H29" s="11">
        <f>SUM(H19:H28)</f>
        <v>68836600</v>
      </c>
      <c r="J29" s="77">
        <f>SUM(J19:J28)</f>
        <v>68836600</v>
      </c>
    </row>
    <row r="30" spans="2:11" x14ac:dyDescent="0.35">
      <c r="B30" s="93" t="s">
        <v>13</v>
      </c>
      <c r="C30" s="93"/>
      <c r="D30" s="93"/>
      <c r="E30" s="93"/>
      <c r="F30" s="93"/>
      <c r="G30" s="93"/>
      <c r="H30" s="12">
        <f>H29+H16</f>
        <v>260000000</v>
      </c>
      <c r="J30" s="76">
        <f>+J16+J29</f>
        <v>260000000</v>
      </c>
    </row>
    <row r="32" spans="2:11" x14ac:dyDescent="0.35">
      <c r="H32" s="79"/>
    </row>
    <row r="34" spans="2:2" x14ac:dyDescent="0.35">
      <c r="B34" s="67"/>
    </row>
  </sheetData>
  <mergeCells count="7">
    <mergeCell ref="B30:G30"/>
    <mergeCell ref="B17:H17"/>
    <mergeCell ref="K19:K20"/>
    <mergeCell ref="B1:H1"/>
    <mergeCell ref="B16:G16"/>
    <mergeCell ref="B4:H4"/>
    <mergeCell ref="B29:G2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5:G9"/>
  <sheetViews>
    <sheetView workbookViewId="0">
      <selection activeCell="H14" sqref="H14"/>
    </sheetView>
  </sheetViews>
  <sheetFormatPr baseColWidth="10" defaultRowHeight="14.5" x14ac:dyDescent="0.35"/>
  <cols>
    <col min="3" max="3" width="39.54296875" style="39" bestFit="1" customWidth="1"/>
  </cols>
  <sheetData>
    <row r="5" spans="3:7" ht="15" thickBot="1" x14ac:dyDescent="0.4"/>
    <row r="6" spans="3:7" ht="15" thickBot="1" x14ac:dyDescent="0.4">
      <c r="C6" s="47" t="s">
        <v>35</v>
      </c>
      <c r="D6" s="48" t="s">
        <v>39</v>
      </c>
      <c r="E6" s="48" t="s">
        <v>40</v>
      </c>
      <c r="F6" s="48" t="s">
        <v>41</v>
      </c>
      <c r="G6" s="49" t="s">
        <v>42</v>
      </c>
    </row>
    <row r="7" spans="3:7" ht="29" x14ac:dyDescent="0.35">
      <c r="C7" s="53" t="s">
        <v>38</v>
      </c>
      <c r="D7" s="50"/>
      <c r="E7" s="45"/>
      <c r="F7" s="45"/>
      <c r="G7" s="46"/>
    </row>
    <row r="8" spans="3:7" ht="29" x14ac:dyDescent="0.35">
      <c r="C8" s="54" t="s">
        <v>36</v>
      </c>
      <c r="D8" s="51"/>
      <c r="E8" s="40"/>
      <c r="F8" s="40"/>
      <c r="G8" s="41"/>
    </row>
    <row r="9" spans="3:7" ht="44" thickBot="1" x14ac:dyDescent="0.4">
      <c r="C9" s="55" t="s">
        <v>37</v>
      </c>
      <c r="D9" s="52"/>
      <c r="E9" s="42"/>
      <c r="F9" s="43"/>
      <c r="G9" s="44"/>
    </row>
  </sheetData>
  <phoneticPr fontId="3"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PPTO1</vt:lpstr>
      <vt:lpstr>PPTO1 2</vt:lpstr>
      <vt:lpstr>PRESUPUESTO SEGUIMIENTO</vt:lpstr>
      <vt:lpstr>Cronograma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Alerta y notificacion</cp:lastModifiedBy>
  <dcterms:created xsi:type="dcterms:W3CDTF">2022-10-04T18:07:23Z</dcterms:created>
  <dcterms:modified xsi:type="dcterms:W3CDTF">2026-05-21T02:11:52Z</dcterms:modified>
</cp:coreProperties>
</file>