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erocivil-my.sharepoint.com/personal/doris_peralta_aerocivil_gov_co/Documents/BIENESTAR ESTUDIANTES CEA/PROYECTO 2026/FINANCIERA/"/>
    </mc:Choice>
  </mc:AlternateContent>
  <xr:revisionPtr revIDLastSave="0" documentId="8_{1866681A-9411-48FF-B733-E3367E30D3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5" r:id="rId1"/>
    <sheet name="Hoja2" sheetId="8" r:id="rId2"/>
    <sheet name="Hoja1" sheetId="6" r:id="rId3"/>
  </sheets>
  <definedNames>
    <definedName name="_xlnm._FilterDatabase" localSheetId="0" hidden="1">'HOJA 1'!$A$19:$J$52</definedName>
    <definedName name="_Hlk178076350" localSheetId="0">'HOJA 1'!#REF!</definedName>
    <definedName name="_xlnm.Print_Titles" localSheetId="0">'HOJA 1'!$19:$19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2" i="5" l="1"/>
  <c r="C101" i="5"/>
  <c r="C77" i="5"/>
  <c r="C76" i="5"/>
  <c r="H11" i="5"/>
  <c r="F11" i="5"/>
  <c r="C137" i="5" l="1"/>
  <c r="C139" i="5"/>
  <c r="C138" i="5"/>
  <c r="C136" i="5"/>
  <c r="C135" i="5"/>
  <c r="C127" i="5"/>
  <c r="C65" i="5"/>
  <c r="C67" i="5"/>
  <c r="C66" i="5"/>
  <c r="C115" i="5"/>
  <c r="C114" i="5"/>
  <c r="C89" i="5"/>
  <c r="C88" i="5"/>
  <c r="C87" i="5"/>
  <c r="C86" i="5"/>
  <c r="C140" i="5" l="1"/>
  <c r="C90" i="5" l="1"/>
  <c r="E91" i="5"/>
  <c r="C104" i="5" l="1"/>
  <c r="C79" i="5" l="1"/>
  <c r="B54" i="5"/>
  <c r="G150" i="5" l="1"/>
  <c r="E150" i="5"/>
  <c r="D136" i="5"/>
  <c r="D138" i="5"/>
  <c r="D139" i="5"/>
  <c r="D137" i="5"/>
  <c r="D135" i="5"/>
  <c r="D150" i="5"/>
  <c r="I150" i="5"/>
  <c r="H150" i="5"/>
  <c r="J150" i="5"/>
  <c r="F150" i="5"/>
  <c r="E160" i="5"/>
  <c r="G160" i="5"/>
  <c r="D140" i="5" l="1"/>
  <c r="D59" i="5"/>
  <c r="D58" i="5"/>
  <c r="D57" i="5"/>
  <c r="D56" i="5"/>
  <c r="C126" i="5" l="1"/>
  <c r="C125" i="5"/>
  <c r="C124" i="5"/>
  <c r="C123" i="5"/>
  <c r="C113" i="5"/>
  <c r="C112" i="5"/>
  <c r="C111" i="5"/>
  <c r="C100" i="5"/>
  <c r="C99" i="5"/>
  <c r="C75" i="5"/>
  <c r="J59" i="5"/>
  <c r="J58" i="5"/>
  <c r="J57" i="5"/>
  <c r="J56" i="5"/>
  <c r="I59" i="5"/>
  <c r="I58" i="5"/>
  <c r="I57" i="5"/>
  <c r="I56" i="5"/>
  <c r="H59" i="5"/>
  <c r="H58" i="5"/>
  <c r="H57" i="5"/>
  <c r="H56" i="5"/>
  <c r="G59" i="5"/>
  <c r="G58" i="5"/>
  <c r="G57" i="5"/>
  <c r="G56" i="5"/>
  <c r="F59" i="5"/>
  <c r="F58" i="5"/>
  <c r="F57" i="5"/>
  <c r="F56" i="5"/>
  <c r="E59" i="5"/>
  <c r="E58" i="5"/>
  <c r="E57" i="5"/>
  <c r="E56" i="5"/>
  <c r="D102" i="5" l="1"/>
  <c r="D101" i="5"/>
  <c r="D66" i="5"/>
  <c r="D76" i="5"/>
  <c r="D86" i="5"/>
  <c r="D88" i="5"/>
  <c r="D90" i="5"/>
  <c r="D100" i="5"/>
  <c r="D111" i="5"/>
  <c r="D113" i="5"/>
  <c r="D115" i="5"/>
  <c r="D124" i="5"/>
  <c r="D126" i="5"/>
  <c r="D65" i="5"/>
  <c r="D67" i="5"/>
  <c r="D75" i="5"/>
  <c r="D77" i="5"/>
  <c r="D87" i="5"/>
  <c r="D89" i="5"/>
  <c r="D99" i="5"/>
  <c r="D112" i="5"/>
  <c r="D114" i="5"/>
  <c r="D123" i="5"/>
  <c r="D125" i="5"/>
  <c r="D127" i="5"/>
  <c r="C68" i="5"/>
  <c r="C78" i="5"/>
  <c r="C91" i="5"/>
  <c r="C116" i="5"/>
  <c r="C128" i="5"/>
  <c r="C103" i="5" l="1"/>
  <c r="D68" i="5"/>
  <c r="D78" i="5"/>
  <c r="D103" i="5"/>
  <c r="D128" i="5"/>
  <c r="D116" i="5"/>
  <c r="D91" i="5"/>
</calcChain>
</file>

<file path=xl/sharedStrings.xml><?xml version="1.0" encoding="utf-8"?>
<sst xmlns="http://schemas.openxmlformats.org/spreadsheetml/2006/main" count="195" uniqueCount="128">
  <si>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</si>
  <si>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</si>
  <si>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</si>
  <si>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</si>
  <si>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</si>
  <si>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</si>
  <si>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</si>
  <si>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</si>
  <si>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</si>
  <si>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</si>
  <si>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DES. ESTANDAR</t>
  </si>
  <si>
    <t>MINIMO</t>
  </si>
  <si>
    <t>MAXIMO</t>
  </si>
  <si>
    <t>OBJETO:</t>
  </si>
  <si>
    <t>TOTAL</t>
  </si>
  <si>
    <t>CANTIDAD DE EMPRESAS</t>
  </si>
  <si>
    <t>MODALIDAD:</t>
  </si>
  <si>
    <t>% DE LA MUESTRA QUE CUMPLE EL CRITERIO</t>
  </si>
  <si>
    <t>Elaboró:</t>
  </si>
  <si>
    <t>Aprobó:</t>
  </si>
  <si>
    <t>RANGO</t>
  </si>
  <si>
    <t>0 - 1</t>
  </si>
  <si>
    <t>1,1 - 2</t>
  </si>
  <si>
    <t>&lt; 0</t>
  </si>
  <si>
    <t xml:space="preserve"> = 0</t>
  </si>
  <si>
    <t>Gastos de intereses = 0</t>
  </si>
  <si>
    <t>CANTIDAD DE EMPRESAS IDENTIFICADAS COMO MUESTRA PARA EL ANALISIS:</t>
  </si>
  <si>
    <t>OBJETO</t>
  </si>
  <si>
    <t>VALOR</t>
  </si>
  <si>
    <t>Valores Expresados en Miles de $</t>
  </si>
  <si>
    <t>Clasificación Internacional Industrial Uniforme (CIIU) Versión 4.</t>
  </si>
  <si>
    <t>PROMEDIO</t>
  </si>
  <si>
    <t>MENOR O IGUAL A 
70%</t>
  </si>
  <si>
    <t>Plazo de ejecución (meses)</t>
  </si>
  <si>
    <t>ANÁLISIS DE SECTOR – INFORMACIÓN FINANCIERA</t>
  </si>
  <si>
    <t>DIRECCIÓN FINANCIERA</t>
  </si>
  <si>
    <t>PROCESOS DE CONTRATACIÓN</t>
  </si>
  <si>
    <t>Fuente de Información: PIE (Portal de Información Empresarial) - Superintendencia de Sociedades</t>
  </si>
  <si>
    <t>Presupuesto del 
Proceso ($)</t>
  </si>
  <si>
    <t>RECOMENDACIÓN SUGERIDA INICIAL:</t>
  </si>
  <si>
    <t>1. CÁLCULO 
ESTADÍSTICO</t>
  </si>
  <si>
    <t>D) Patrimonio = Activo total - Pasivo total.
Mide la cantidad de recursos propios del proponente.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</si>
  <si>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</si>
  <si>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</si>
  <si>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</si>
  <si>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</si>
  <si>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</si>
  <si>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</si>
  <si>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0 - 1,1</t>
  </si>
  <si>
    <r>
      <t xml:space="preserve">LIQUIDEZ
</t>
    </r>
    <r>
      <rPr>
        <sz val="9"/>
        <color theme="1"/>
        <rFont val="Work Sans"/>
      </rPr>
      <t>MAYOR O IGUAL A</t>
    </r>
  </si>
  <si>
    <t>ENTIDAD Y AÑO</t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</si>
  <si>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</si>
  <si>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</si>
  <si>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</si>
  <si>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ACTIVOS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</si>
  <si>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</si>
  <si>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</si>
  <si>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t>2. COMPORTAMIENTO DE LOS ÍNDICES EN LA MUESTRA DEL SECTOR</t>
  </si>
  <si>
    <t>4. CONCLUSIONES</t>
  </si>
  <si>
    <t>CRITERIOS RECOMENDADOS:</t>
  </si>
  <si>
    <t>ANÁLISIS DEL SECTOR</t>
  </si>
  <si>
    <t>3. ANALISIS DEL SECTOR DE ACUERDO CON LOS PROCESOS REALIZADOS POR OTRAS ENTIDADES PÚBLICAS O EN LA AEROCIVIL EN VIG ANT. DE LA MISMA NATURALEZA DEL OBJETO CONTRACTUAL DEL PRESENTO PROCESO.</t>
  </si>
  <si>
    <t>MAYOR O IGUAL A 
2%</t>
  </si>
  <si>
    <t>MAYOR O IGUAL A 
2 VECES</t>
  </si>
  <si>
    <t>MAYOR O IGUAL A 
1,2 VECES</t>
  </si>
  <si>
    <t>C3312 - Mantenimiento y reparación especializado de maquinaria y equipo</t>
  </si>
  <si>
    <t>C3314 - Mantenimiento y reparación especializado de equipo eléctrico</t>
  </si>
  <si>
    <t>S9511 - Mantenimiento y reparación de computadores y de equipo periférico</t>
  </si>
  <si>
    <t>C3313 - Mantenimiento y reparación especializado de equipo electrónico y óptico</t>
  </si>
  <si>
    <t>Luis Alfonso Martinez Chimenty - Director Financiero</t>
  </si>
  <si>
    <t>0 - &lt; 15%</t>
  </si>
  <si>
    <t xml:space="preserve"> 15,1% - &lt;30%</t>
  </si>
  <si>
    <t>30,1% &lt; 45%</t>
  </si>
  <si>
    <t>&gt;70,01%</t>
  </si>
  <si>
    <t>45,1% &lt; =70%</t>
  </si>
  <si>
    <t>1,1 - &lt;2</t>
  </si>
  <si>
    <t>&gt;=2</t>
  </si>
  <si>
    <t>1,1 -1,2</t>
  </si>
  <si>
    <t>&gt;= 1,2</t>
  </si>
  <si>
    <t>INSTITUTO TRIANGULO S.A.</t>
  </si>
  <si>
    <t>P8551 - Formación para el trabajo</t>
  </si>
  <si>
    <t>CORPORACION EDUCATIVA INDOAMERICANA SAS</t>
  </si>
  <si>
    <t>ESCUELA DE DISEÑO DE MODAS Y PATRONAJE INDUSTRIAL ARTURO TEJADA CANO SAS</t>
  </si>
  <si>
    <t>A.S.S. LTDA AMBIENTE SALUD Y SEGURIDAD LTDA</t>
  </si>
  <si>
    <t>ESCUELA GASTRONOMICA DE OCCIDENTE SAS EGO SAS</t>
  </si>
  <si>
    <t>INSTRUIMOS S.A.S</t>
  </si>
  <si>
    <t>CENTRO DE SISTEMAS DE ANTIOQUIA S.A.S.</t>
  </si>
  <si>
    <t>REHABILITACION Y DEPORTE REYDE S.A.S.</t>
  </si>
  <si>
    <t>Q8692 - Actividades de apoyo terapéutico</t>
  </si>
  <si>
    <t>CAMPOALTO ACESALUD S.A.S.</t>
  </si>
  <si>
    <t>SISTEMAS Y PROCESOS AVANZADOS DE ENSEÑANZA S.A.S.</t>
  </si>
  <si>
    <t>SMART TRAINIG SOCIETY SAS</t>
  </si>
  <si>
    <t>IPLER SAS</t>
  </si>
  <si>
    <t>INSTITUTO DE ESTUDIOS COMERCIALES LIMITADA INESCO LTDA</t>
  </si>
  <si>
    <t>BERLITZ COLOMBIA SA</t>
  </si>
  <si>
    <t>CENTRO INCA LTDA</t>
  </si>
  <si>
    <t>ACADEMIA ANTIOQUEÑA DE AVIACION S.A.S</t>
  </si>
  <si>
    <t>CESDE S.A.S</t>
  </si>
  <si>
    <t>INSTITUCION MARIA AUXILIADORA SAS</t>
  </si>
  <si>
    <t>EDUPOL SAS EN REORGANIZACIÓN</t>
  </si>
  <si>
    <t>P8560 - Actividades de apoyo a la educación</t>
  </si>
  <si>
    <t>INVFACER SAS</t>
  </si>
  <si>
    <t>GENTE ESTRATEGICA CENTRO DE FORMACION PARA EL TRABAJO SAS</t>
  </si>
  <si>
    <t>F&amp;C CONSULTORES SAS</t>
  </si>
  <si>
    <t>TERAPIA INTENSIVA SAS</t>
  </si>
  <si>
    <t>ESCUELA DE MUSICA FERNANDO SOR SAS</t>
  </si>
  <si>
    <t>PETROSKILLS FOREIGN HOLDINGS INC SUCURSAL COLOMBIA</t>
  </si>
  <si>
    <t>UNIR RIOJA COLOMBIA SAS</t>
  </si>
  <si>
    <t>G&amp;D GERENCIA Y DIRECCION DE PROYECTOS SAS</t>
  </si>
  <si>
    <t>MEDICAL LIFE CARE SAS</t>
  </si>
  <si>
    <t>POLITECNICO CIANDCO SAS EN REORGANIZACION</t>
  </si>
  <si>
    <t>TOTAL SPANISH S.A.S</t>
  </si>
  <si>
    <t>ESCUELA DE IDIOMAS INTERNACIONALES SAS</t>
  </si>
  <si>
    <t>SHORELIGHT EDUCATION COLOMBIA SAS</t>
  </si>
  <si>
    <t>PLANETA DE AGOSTINI FORMACION COLOMBIA SAS</t>
  </si>
  <si>
    <t>Capital de Trabajo: 1,0* (PO/n)</t>
  </si>
  <si>
    <t>Patrimonio:
  (25% del PO)</t>
  </si>
  <si>
    <t>Lilia Salamanca Gonzalez - Contratista Dirección Financiera</t>
  </si>
  <si>
    <t xml:space="preserve">INDICADORES FINANCIEROS </t>
  </si>
  <si>
    <t>DESARROLLAR PROGRAMA DE BIENESTAR PARA LA  COMUNIDAD ACADÉMICA DEL CEA</t>
  </si>
  <si>
    <t>MAYOR O IGUAL A 52.500.000</t>
  </si>
  <si>
    <t>MAYOR O IGUAL A 
$  104,900,000</t>
  </si>
  <si>
    <t>&gt;0&lt;.52500</t>
  </si>
  <si>
    <t>&gt; 52500</t>
  </si>
  <si>
    <t>&gt; 104900</t>
  </si>
  <si>
    <t>&gt;0&lt;104900</t>
  </si>
  <si>
    <t>Revisó:</t>
  </si>
  <si>
    <t>María Cecilia Gaitán Rozo - Contratista 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</si>
</sst>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#,##0.0"/>
    <numFmt numFmtId="167" formatCode="&quot;$&quot;#,##0"/>
    <numFmt numFmtId="168" formatCode="_-* #,##0\ _€_-;\-* #,##0\ _€_-;_-* &quot;-&quot;??\ _€_-;_-@_-"/>
    <numFmt numFmtId="169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6" fontId="6" fillId="2" borderId="0" xfId="0" applyNumberFormat="1" applyFont="1" applyFill="1" applyAlignment="1">
      <alignment horizontal="center" vertical="center" wrapText="1"/>
    </xf>
    <xf numFmtId="166" fontId="7" fillId="0" borderId="0" xfId="3" applyNumberFormat="1" applyFont="1" applyFill="1" applyBorder="1" applyAlignment="1">
      <alignment horizontal="center"/>
    </xf>
    <xf numFmtId="0" fontId="7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7" fontId="7" fillId="0" borderId="0" xfId="0" applyNumberFormat="1" applyFont="1"/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167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8" fontId="7" fillId="0" borderId="0" xfId="1" applyNumberFormat="1" applyFont="1"/>
    <xf numFmtId="0" fontId="6" fillId="0" borderId="10" xfId="0" applyFont="1" applyBorder="1" applyAlignment="1">
      <alignment vertical="center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169" fontId="7" fillId="0" borderId="0" xfId="3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9" fontId="7" fillId="0" borderId="4" xfId="2" applyFont="1" applyFill="1" applyBorder="1" applyAlignment="1">
      <alignment horizontal="center"/>
    </xf>
    <xf numFmtId="9" fontId="7" fillId="0" borderId="0" xfId="2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169" fontId="8" fillId="0" borderId="4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8" fillId="0" borderId="4" xfId="2" applyFont="1" applyBorder="1" applyAlignment="1">
      <alignment horizontal="center" vertical="center"/>
    </xf>
    <xf numFmtId="0" fontId="9" fillId="0" borderId="0" xfId="0" applyFont="1"/>
    <xf numFmtId="166" fontId="3" fillId="3" borderId="4" xfId="0" applyNumberFormat="1" applyFont="1" applyFill="1" applyBorder="1" applyAlignment="1">
      <alignment horizontal="center" vertical="center" wrapText="1"/>
    </xf>
    <xf numFmtId="9" fontId="3" fillId="0" borderId="13" xfId="2" applyFont="1" applyFill="1" applyBorder="1" applyAlignment="1">
      <alignment horizontal="center" vertical="center" wrapText="1"/>
    </xf>
    <xf numFmtId="3" fontId="7" fillId="0" borderId="0" xfId="0" applyNumberFormat="1" applyFont="1"/>
    <xf numFmtId="166" fontId="6" fillId="2" borderId="8" xfId="0" applyNumberFormat="1" applyFont="1" applyFill="1" applyBorder="1" applyAlignment="1">
      <alignment horizontal="center" vertical="center" wrapText="1"/>
    </xf>
    <xf numFmtId="166" fontId="6" fillId="2" borderId="14" xfId="0" applyNumberFormat="1" applyFont="1" applyFill="1" applyBorder="1" applyAlignment="1">
      <alignment horizontal="center" vertical="center" wrapText="1"/>
    </xf>
    <xf numFmtId="0" fontId="4" fillId="0" borderId="9" xfId="2" applyNumberFormat="1" applyFont="1" applyBorder="1" applyAlignment="1">
      <alignment horizontal="center" vertical="center"/>
    </xf>
    <xf numFmtId="0" fontId="3" fillId="0" borderId="9" xfId="2" applyNumberFormat="1" applyFont="1" applyBorder="1" applyAlignment="1">
      <alignment horizontal="center" vertical="center"/>
    </xf>
    <xf numFmtId="10" fontId="7" fillId="0" borderId="0" xfId="0" applyNumberFormat="1" applyFont="1"/>
    <xf numFmtId="3" fontId="4" fillId="0" borderId="16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0" fontId="4" fillId="0" borderId="15" xfId="2" applyNumberFormat="1" applyFont="1" applyFill="1" applyBorder="1" applyAlignment="1">
      <alignment horizontal="center" vertical="center" wrapText="1"/>
    </xf>
    <xf numFmtId="0" fontId="0" fillId="0" borderId="4" xfId="0" applyBorder="1"/>
    <xf numFmtId="166" fontId="7" fillId="0" borderId="4" xfId="4" applyNumberFormat="1" applyFont="1" applyFill="1" applyBorder="1" applyAlignment="1">
      <alignment horizontal="center"/>
    </xf>
    <xf numFmtId="3" fontId="7" fillId="0" borderId="4" xfId="4" applyNumberFormat="1" applyFont="1" applyFill="1" applyBorder="1" applyAlignment="1"/>
    <xf numFmtId="3" fontId="0" fillId="0" borderId="4" xfId="0" applyNumberFormat="1" applyBorder="1"/>
    <xf numFmtId="4" fontId="7" fillId="0" borderId="4" xfId="4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4" xfId="0" applyFont="1" applyFill="1" applyBorder="1" applyAlignment="1">
      <alignment horizontal="center"/>
    </xf>
    <xf numFmtId="0" fontId="6" fillId="3" borderId="0" xfId="0" applyFont="1" applyFill="1" applyAlignment="1">
      <alignment horizontal="left" wrapText="1"/>
    </xf>
    <xf numFmtId="0" fontId="6" fillId="3" borderId="4" xfId="0" applyFont="1" applyFill="1" applyBorder="1" applyAlignment="1">
      <alignment horizontal="center" wrapText="1"/>
    </xf>
    <xf numFmtId="166" fontId="3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wrapText="1"/>
    </xf>
    <xf numFmtId="166" fontId="6" fillId="2" borderId="7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7" fillId="0" borderId="1" xfId="0" quotePrefix="1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5">
    <cellStyle name="Millares" xfId="1" builtinId="3"/>
    <cellStyle name="Millares 2" xfId="3" xr:uid="{00000000-0005-0000-0000-000001000000}"/>
    <cellStyle name="Millares 4" xfId="4" xr:uid="{48F7EE36-AE13-4C71-94ED-290E69226CAA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206690089853712"/>
          <c:y val="0.20379358437935846"/>
          <c:w val="0.86796638394752967"/>
          <c:h val="0.6500515050681426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262C-4EFC-BD34-BC379134E8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262C-4EFC-BD34-BC379134E8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262C-4EFC-BD34-BC379134E8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1'!$B$64:$B$67</c15:sqref>
                  </c15:fullRef>
                </c:ext>
              </c:extLst>
              <c:f>'HOJA 1'!$B$65:$B$67</c:f>
              <c:strCache>
                <c:ptCount val="3"/>
                <c:pt idx="0">
                  <c:v>0 - 1,1</c:v>
                </c:pt>
                <c:pt idx="1">
                  <c:v>1,1 -1,2</c:v>
                </c:pt>
                <c:pt idx="2">
                  <c:v>&gt;= 1,2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1'!$C$64:$C$67</c15:sqref>
                  </c15:fullRef>
                </c:ext>
              </c:extLst>
              <c:f>'HOJA 1'!$C$65:$C$67</c:f>
              <c:numCache>
                <c:formatCode>#,##0</c:formatCode>
                <c:ptCount val="3"/>
                <c:pt idx="0">
                  <c:v>9</c:v>
                </c:pt>
                <c:pt idx="1">
                  <c:v>3</c:v>
                </c:pt>
                <c:pt idx="2">
                  <c:v>21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1'!$D$64:$D$67</c15:f>
                <c15:dlblRangeCache>
                  <c:ptCount val="4"/>
                  <c:pt idx="1">
                    <c:v>27,27%</c:v>
                  </c:pt>
                  <c:pt idx="2">
                    <c:v>9,09%</c:v>
                  </c:pt>
                  <c:pt idx="3">
                    <c:v>63,64%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262C-4EFC-BD34-BC379134E88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29181648"/>
        <c:axId val="5291808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4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262C-4EFC-BD34-BC379134E88E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262C-4EFC-BD34-BC379134E88E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262C-4EFC-BD34-BC379134E88E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1'!$B$64:$B$67</c15:sqref>
                        </c15:fullRef>
                        <c15:formulaRef>
                          <c15:sqref>'HOJA 1'!$B$65:$B$67</c15:sqref>
                        </c15:formulaRef>
                      </c:ext>
                    </c:extLst>
                    <c:strCache>
                      <c:ptCount val="3"/>
                      <c:pt idx="0">
                        <c:v>0 - 1,1</c:v>
                      </c:pt>
                      <c:pt idx="1">
                        <c:v>1,1 -1,2</c:v>
                      </c:pt>
                      <c:pt idx="2">
                        <c:v>&gt;= 1,2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1'!$D$64:$D$67</c15:sqref>
                        </c15:fullRef>
                        <c15:formulaRef>
                          <c15:sqref>'HOJA 1'!$D$65:$D$67</c15:sqref>
                        </c15:formulaRef>
                      </c:ext>
                    </c:extLst>
                    <c:numCache>
                      <c:formatCode>0.00%</c:formatCode>
                      <c:ptCount val="3"/>
                      <c:pt idx="0">
                        <c:v>0.27272727272727271</c:v>
                      </c:pt>
                      <c:pt idx="1">
                        <c:v>9.0909090909090912E-2</c:v>
                      </c:pt>
                      <c:pt idx="2">
                        <c:v>0.63636363636363635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1'!$D$65:$D$67</c15:f>
                      <c15:dlblRangeCache>
                        <c:ptCount val="3"/>
                        <c:pt idx="0">
                          <c:v>27,27%</c:v>
                        </c:pt>
                        <c:pt idx="1">
                          <c:v>9,09%</c:v>
                        </c:pt>
                        <c:pt idx="2">
                          <c:v>63,64%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11-262C-4EFC-BD34-BC379134E88E}"/>
                  </c:ext>
                </c:extLst>
              </c15:ser>
            </c15:filteredBarSeries>
          </c:ext>
        </c:extLst>
      </c:barChart>
      <c:catAx>
        <c:axId val="529181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9180864"/>
        <c:crosses val="autoZero"/>
        <c:auto val="1"/>
        <c:lblAlgn val="ctr"/>
        <c:lblOffset val="100"/>
        <c:noMultiLvlLbl val="0"/>
      </c:catAx>
      <c:valAx>
        <c:axId val="529180864"/>
        <c:scaling>
          <c:orientation val="minMax"/>
          <c:max val="300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529181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layout>
        <c:manualLayout>
          <c:xMode val="edge"/>
          <c:yMode val="edge"/>
          <c:x val="0.17580519548406351"/>
          <c:y val="0.105090311986863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32F8CFE-4D6F-4809-9B61-3741E86E3A43}" type="CELLRANGE">
                      <a:rPr lang="en-US"/>
                      <a:pPr>
                        <a:defRPr>
                          <a:solidFill>
                            <a:sysClr val="windowText" lastClr="00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>
                        <a:solidFill>
                          <a:sysClr val="windowText" lastClr="000000"/>
                        </a:solidFill>
                      </a:defRPr>
                    </a:pPr>
                    <a:fld id="{BC4A6CF9-F930-4D7A-A81F-D1697F915AC1}" type="VALUE">
                      <a:rPr lang="en-US"/>
                      <a:pPr>
                        <a:defRPr>
                          <a:solidFill>
                            <a:sysClr val="windowText" lastClr="000000"/>
                          </a:solidFill>
                        </a:defRPr>
                      </a:pPr>
                      <a:t>[VALOR]</a:t>
                    </a:fld>
                    <a:endParaRPr lang="es-CO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641459150281028"/>
                      <c:h val="0.23098974697128374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D768-4271-866D-BF61BF2EE0C0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87EDE99-E3E2-4CBB-B187-DD1801F60846}" type="CELLRANGE">
                      <a:rPr lang="en-US"/>
                      <a:pPr>
                        <a:defRPr>
                          <a:solidFill>
                            <a:sysClr val="windowText" lastClr="00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>
                        <a:solidFill>
                          <a:sysClr val="windowText" lastClr="000000"/>
                        </a:solidFill>
                      </a:defRPr>
                    </a:pPr>
                    <a:fld id="{1D71CF54-3F95-40CC-A1C3-4EE5EBEC9542}" type="VALUE">
                      <a:rPr lang="en-US"/>
                      <a:pPr>
                        <a:defRPr>
                          <a:solidFill>
                            <a:sysClr val="windowText" lastClr="000000"/>
                          </a:solidFill>
                        </a:defRPr>
                      </a:pPr>
                      <a:t>[VALOR]</a:t>
                    </a:fld>
                    <a:endParaRPr lang="es-CO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9.8375371837793477E-2"/>
                      <c:h val="0.229688013136289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D768-4271-866D-BF61BF2EE0C0}"/>
                </c:ext>
              </c:extLst>
            </c:dLbl>
            <c:dLbl>
              <c:idx val="2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70BBEAA-E88D-4C36-B275-BD9D4F869B51}" type="CELLRANGE">
                      <a:rPr lang="en-US"/>
                      <a:pPr>
                        <a:defRPr>
                          <a:solidFill>
                            <a:sysClr val="windowText" lastClr="00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>
                        <a:solidFill>
                          <a:sysClr val="windowText" lastClr="000000"/>
                        </a:solidFill>
                      </a:defRPr>
                    </a:pPr>
                    <a:fld id="{61F11656-7195-47C2-9603-BDCC36FB0744}" type="VALUE">
                      <a:rPr lang="en-US"/>
                      <a:pPr>
                        <a:defRPr>
                          <a:solidFill>
                            <a:sysClr val="windowText" lastClr="000000"/>
                          </a:solidFill>
                        </a:defRPr>
                      </a:pPr>
                      <a:t>[VALOR]</a:t>
                    </a:fld>
                    <a:endParaRPr lang="es-CO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9.2773129705800664E-2"/>
                      <c:h val="0.229688013136289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768-4271-866D-BF61BF2EE0C0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B562EB07-B623-429B-BF77-B107E79661F4}" type="CELLRANGE">
                      <a:rPr lang="en-US"/>
                      <a:pPr>
                        <a:defRPr>
                          <a:solidFill>
                            <a:sysClr val="windowText" lastClr="00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>
                        <a:solidFill>
                          <a:sysClr val="windowText" lastClr="000000"/>
                        </a:solidFill>
                      </a:defRPr>
                    </a:pPr>
                    <a:fld id="{923B11B2-B196-4B9D-AAC3-B3785D38CA5F}" type="VALUE">
                      <a:rPr lang="en-US"/>
                      <a:pPr>
                        <a:defRPr>
                          <a:solidFill>
                            <a:sysClr val="windowText" lastClr="000000"/>
                          </a:solidFill>
                        </a:defRPr>
                      </a:pPr>
                      <a:t>[VALOR]</a:t>
                    </a:fld>
                    <a:endParaRPr lang="es-CO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9.5574250771797084E-2"/>
                      <c:h val="0.22311986863711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768-4271-866D-BF61BF2EE0C0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BB250E3E-DD2F-4218-9C77-F00D9FDF89D2}" type="CELLRANGE">
                      <a:rPr lang="en-US"/>
                      <a:pPr>
                        <a:defRPr>
                          <a:solidFill>
                            <a:sysClr val="windowText" lastClr="00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>
                        <a:solidFill>
                          <a:sysClr val="windowText" lastClr="000000"/>
                        </a:solidFill>
                      </a:defRPr>
                    </a:pPr>
                    <a:fld id="{375E9423-E15B-420E-BF94-803212F78FD6}" type="VALUE">
                      <a:rPr lang="en-US"/>
                      <a:pPr>
                        <a:defRPr>
                          <a:solidFill>
                            <a:sysClr val="windowText" lastClr="000000"/>
                          </a:solidFill>
                        </a:defRPr>
                      </a:pPr>
                      <a:t>[VALOR]</a:t>
                    </a:fld>
                    <a:endParaRPr lang="es-CO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2358546143176105"/>
                      <c:h val="0.20998357963875203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768-4271-866D-BF61BF2EE0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1'!$B$85:$B$90</c15:sqref>
                  </c15:fullRef>
                </c:ext>
              </c:extLst>
              <c:f>'HOJA 1'!$B$86:$B$90</c:f>
              <c:strCache>
                <c:ptCount val="5"/>
                <c:pt idx="0">
                  <c:v>0 - &lt; 15%</c:v>
                </c:pt>
                <c:pt idx="1">
                  <c:v> 15,1% - &lt;30%</c:v>
                </c:pt>
                <c:pt idx="2">
                  <c:v>30,1% &lt; 45%</c:v>
                </c:pt>
                <c:pt idx="3">
                  <c:v>45,1% &lt; =70%</c:v>
                </c:pt>
                <c:pt idx="4">
                  <c:v>&gt;70,01%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1'!$C$85:$C$90</c15:sqref>
                  </c15:fullRef>
                </c:ext>
              </c:extLst>
              <c:f>'HOJA 1'!$C$86:$C$90</c:f>
              <c:numCache>
                <c:formatCode>#,##0</c:formatCode>
                <c:ptCount val="5"/>
                <c:pt idx="0">
                  <c:v>3</c:v>
                </c:pt>
                <c:pt idx="1">
                  <c:v>5</c:v>
                </c:pt>
                <c:pt idx="2">
                  <c:v>4</c:v>
                </c:pt>
                <c:pt idx="3">
                  <c:v>12</c:v>
                </c:pt>
                <c:pt idx="4">
                  <c:v>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1'!$D$85:$D$90</c15:f>
                <c15:dlblRangeCache>
                  <c:ptCount val="6"/>
                  <c:pt idx="1">
                    <c:v>9,09%</c:v>
                  </c:pt>
                  <c:pt idx="2">
                    <c:v>15,15%</c:v>
                  </c:pt>
                  <c:pt idx="3">
                    <c:v>12,12%</c:v>
                  </c:pt>
                  <c:pt idx="4">
                    <c:v>36,36%</c:v>
                  </c:pt>
                  <c:pt idx="5">
                    <c:v>27,27%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D768-4271-866D-BF61BF2EE0C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36171728"/>
        <c:axId val="53617329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4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D768-4271-866D-BF61BF2EE0C0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D768-4271-866D-BF61BF2EE0C0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CA0DEDD-65DE-44C2-8DC1-E56A90D16F5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415B5C7-4946-4F63-B722-31B38C8304B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D768-4271-866D-BF61BF2EE0C0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4985F-7C5F-4431-9B92-AF6B7B20CD5C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55CCB67-DE12-4168-8E4B-B6003015E50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D768-4271-866D-BF61BF2EE0C0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D768-4271-866D-BF61BF2EE0C0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1'!$B$85:$B$90</c15:sqref>
                        </c15:fullRef>
                        <c15:formulaRef>
                          <c15:sqref>'HOJA 1'!$B$86:$B$90</c15:sqref>
                        </c15:formulaRef>
                      </c:ext>
                    </c:extLst>
                    <c:strCache>
                      <c:ptCount val="5"/>
                      <c:pt idx="0">
                        <c:v>0 - &lt; 15%</c:v>
                      </c:pt>
                      <c:pt idx="1">
                        <c:v> 15,1% - &lt;30%</c:v>
                      </c:pt>
                      <c:pt idx="2">
                        <c:v>30,1% &lt; 45%</c:v>
                      </c:pt>
                      <c:pt idx="3">
                        <c:v>45,1% &lt; =70%</c:v>
                      </c:pt>
                      <c:pt idx="4">
                        <c:v>&gt;70,01%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1'!$D$85:$D$90</c15:sqref>
                        </c15:fullRef>
                        <c15:formulaRef>
                          <c15:sqref>'HOJA 1'!$D$86:$D$90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9.0909090909090912E-2</c:v>
                      </c:pt>
                      <c:pt idx="1">
                        <c:v>0.15151515151515152</c:v>
                      </c:pt>
                      <c:pt idx="2">
                        <c:v>0.12121212121212122</c:v>
                      </c:pt>
                      <c:pt idx="3">
                        <c:v>0.36363636363636365</c:v>
                      </c:pt>
                      <c:pt idx="4">
                        <c:v>0.27272727272727271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1'!$D$85:$D$90</c15:f>
                      <c15:dlblRangeCache>
                        <c:ptCount val="6"/>
                        <c:pt idx="1">
                          <c:v>9,09%</c:v>
                        </c:pt>
                        <c:pt idx="2">
                          <c:v>15,15%</c:v>
                        </c:pt>
                        <c:pt idx="3">
                          <c:v>12,12%</c:v>
                        </c:pt>
                        <c:pt idx="4">
                          <c:v>36,36%</c:v>
                        </c:pt>
                        <c:pt idx="5">
                          <c:v>27,27%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F-D768-4271-866D-BF61BF2EE0C0}"/>
                  </c:ext>
                </c:extLst>
              </c15:ser>
            </c15:filteredBarSeries>
          </c:ext>
        </c:extLst>
      </c:barChart>
      <c:catAx>
        <c:axId val="536171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36173296"/>
        <c:crosses val="autoZero"/>
        <c:auto val="1"/>
        <c:lblAlgn val="ctr"/>
        <c:lblOffset val="100"/>
        <c:noMultiLvlLbl val="0"/>
      </c:catAx>
      <c:valAx>
        <c:axId val="536173296"/>
        <c:scaling>
          <c:orientation val="minMax"/>
          <c:max val="200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536171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964188423815442"/>
          <c:y val="0.24360177933924851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680C39-CAA6-48F3-9546-32ADF87E32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EBDE6E-7EF4-4C2C-9E17-05D4BFA290B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5A6F-4CFF-8D5F-C41C3DC2375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6EA1D9-C801-4067-9474-461F713FCE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DE3EE2-518D-4BF8-A559-7061A372F8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5A6F-4CFF-8D5F-C41C3DC2375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BE21BE7-B649-47C5-AF12-287F7E00DE7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712F3D-6328-477A-8348-1E00F86763C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5A6F-4CFF-8D5F-C41C3DC2375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5A6F-4CFF-8D5F-C41C3DC237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1'!$B$98:$B$103</c15:sqref>
                  </c15:fullRef>
                </c:ext>
              </c:extLst>
              <c:f>'HOJA 1'!$B$99:$B$102</c:f>
              <c:strCache>
                <c:ptCount val="4"/>
                <c:pt idx="0">
                  <c:v>&lt; 0</c:v>
                </c:pt>
                <c:pt idx="1">
                  <c:v> = 0</c:v>
                </c:pt>
                <c:pt idx="2">
                  <c:v>&gt;0&lt;104900</c:v>
                </c:pt>
                <c:pt idx="3">
                  <c:v>&gt; 104900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1'!$C$98:$C$103</c15:sqref>
                  </c15:fullRef>
                </c:ext>
              </c:extLst>
              <c:f>'HOJA 1'!$C$99:$C$102</c:f>
              <c:numCache>
                <c:formatCode>#,##0</c:formatCode>
                <c:ptCount val="4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28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1'!$D$98:$D$102</c15:f>
                <c15:dlblRangeCache>
                  <c:ptCount val="5"/>
                  <c:pt idx="1">
                    <c:v>15,15%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84,85%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5A6F-4CFF-8D5F-C41C3DC2375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73572032"/>
        <c:axId val="37376912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5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7AC646B4-B3F8-4564-ACC8-A82512C329B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6594584-038C-4C13-A4DF-3457D801C8C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6-5A6F-4CFF-8D5F-C41C3DC2375C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1BEE93F4-3FF3-4378-BB15-069AD66D184A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D5910C9-92A1-4D43-A1C7-958BF38D5B0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5A6F-4CFF-8D5F-C41C3DC2375C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BB27C575-385D-468A-BFDC-5F3C9580338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CCA0BC64-3449-4789-8416-E797C3C8EC1F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5A6F-4CFF-8D5F-C41C3DC2375C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C0B5B9BB-D288-47EA-B8FA-70BCEBC6A26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5A6F-4CFF-8D5F-C41C3DC2375C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1'!$B$98:$B$103</c15:sqref>
                        </c15:fullRef>
                        <c15:formulaRef>
                          <c15:sqref>'HOJA 1'!$B$99:$B$102</c15:sqref>
                        </c15:formulaRef>
                      </c:ext>
                    </c:extLst>
                    <c:strCache>
                      <c:ptCount val="4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&gt;0&lt;104900</c:v>
                      </c:pt>
                      <c:pt idx="3">
                        <c:v>&gt; 104900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1'!$D$98:$D$103</c15:sqref>
                        </c15:fullRef>
                        <c15:formulaRef>
                          <c15:sqref>'HOJA 1'!$D$99:$D$102</c15:sqref>
                        </c15:formulaRef>
                      </c:ext>
                    </c:extLst>
                    <c:numCache>
                      <c:formatCode>0.00%</c:formatCode>
                      <c:ptCount val="4"/>
                      <c:pt idx="0">
                        <c:v>0.15151515151515152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0.84848484848484851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1'!$D$99:$D$102</c15:f>
                      <c15:dlblRangeCache>
                        <c:ptCount val="4"/>
                        <c:pt idx="0">
                          <c:v>15,15%</c:v>
                        </c:pt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84,85%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B-5A6F-4CFF-8D5F-C41C3DC2375C}"/>
                  </c:ext>
                </c:extLst>
              </c15:ser>
            </c15:filteredBarSeries>
          </c:ext>
        </c:extLst>
      </c:barChart>
      <c:catAx>
        <c:axId val="373572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73769120"/>
        <c:crosses val="autoZero"/>
        <c:auto val="1"/>
        <c:lblAlgn val="ctr"/>
        <c:lblOffset val="100"/>
        <c:noMultiLvlLbl val="0"/>
      </c:catAx>
      <c:valAx>
        <c:axId val="373769120"/>
        <c:scaling>
          <c:orientation val="minMax"/>
          <c:max val="250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373572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CAPITAL DE TRABAJO</a:t>
            </a:r>
          </a:p>
        </c:rich>
      </c:tx>
      <c:layout>
        <c:manualLayout>
          <c:xMode val="edge"/>
          <c:yMode val="edge"/>
          <c:x val="0.2572444829174365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05870596450673"/>
          <c:y val="0.2598897637795276"/>
          <c:w val="0.89941288785442697"/>
          <c:h val="0.63942845318609032"/>
        </c:manualLayout>
      </c:layout>
      <c:barChart>
        <c:barDir val="col"/>
        <c:grouping val="clustered"/>
        <c:varyColors val="0"/>
        <c:ser>
          <c:idx val="2"/>
          <c:order val="0"/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1'!$B$74:$B$77</c15:sqref>
                  </c15:fullRef>
                </c:ext>
              </c:extLst>
              <c:f>'HOJA 1'!$B$75:$B$77</c:f>
              <c:strCache>
                <c:ptCount val="3"/>
                <c:pt idx="0">
                  <c:v>&lt; 0</c:v>
                </c:pt>
                <c:pt idx="1">
                  <c:v>&gt;0&lt;.52500</c:v>
                </c:pt>
                <c:pt idx="2">
                  <c:v>&gt; 52500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1'!$C$74:$C$77</c15:sqref>
                  </c15:fullRef>
                </c:ext>
              </c:extLst>
              <c:f>'HOJA 1'!$C$75:$C$77</c:f>
              <c:numCache>
                <c:formatCode>#,##0</c:formatCode>
                <c:ptCount val="3"/>
                <c:pt idx="0">
                  <c:v>8</c:v>
                </c:pt>
                <c:pt idx="1">
                  <c:v>1</c:v>
                </c:pt>
                <c:pt idx="2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26-4CBA-AD9A-352493BC539B}"/>
            </c:ext>
          </c:extLst>
        </c:ser>
        <c:ser>
          <c:idx val="3"/>
          <c:order val="1"/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1'!$B$74:$B$77</c15:sqref>
                  </c15:fullRef>
                </c:ext>
              </c:extLst>
              <c:f>'HOJA 1'!$B$75:$B$77</c:f>
              <c:strCache>
                <c:ptCount val="3"/>
                <c:pt idx="0">
                  <c:v>&lt; 0</c:v>
                </c:pt>
                <c:pt idx="1">
                  <c:v>&gt;0&lt;.52500</c:v>
                </c:pt>
                <c:pt idx="2">
                  <c:v>&gt; 52500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1'!$D$74:$D$77</c15:sqref>
                  </c15:fullRef>
                </c:ext>
              </c:extLst>
              <c:f>'HOJA 1'!$D$75:$D$77</c:f>
              <c:numCache>
                <c:formatCode>0.00%</c:formatCode>
                <c:ptCount val="3"/>
                <c:pt idx="0">
                  <c:v>0.24242424242424243</c:v>
                </c:pt>
                <c:pt idx="1">
                  <c:v>3.0303030303030304E-2</c:v>
                </c:pt>
                <c:pt idx="2">
                  <c:v>0.72727272727272729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26-4CBA-AD9A-352493BC539B}"/>
            </c:ext>
          </c:extLst>
        </c:ser>
        <c:ser>
          <c:idx val="0"/>
          <c:order val="2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ED26-4CBA-AD9A-352493BC539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ED26-4CBA-AD9A-352493BC53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1'!$B$75:$B$77</c15:sqref>
                  </c15:fullRef>
                </c:ext>
              </c:extLst>
              <c:f>'HOJA 1'!$B$76:$B$77</c:f>
              <c:strCache>
                <c:ptCount val="2"/>
                <c:pt idx="0">
                  <c:v>&gt;0&lt;.52500</c:v>
                </c:pt>
                <c:pt idx="1">
                  <c:v>&gt; 52500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1'!$C$75:$C$77</c15:sqref>
                  </c15:fullRef>
                </c:ext>
              </c:extLst>
              <c:f>'HOJA 1'!$C$76:$C$77</c:f>
              <c:numCache>
                <c:formatCode>#,##0</c:formatCode>
                <c:ptCount val="2"/>
                <c:pt idx="0">
                  <c:v>1</c:v>
                </c:pt>
                <c:pt idx="1">
                  <c:v>24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1'!$D$74:$D$77</c15:f>
                <c15:dlblRangeCache>
                  <c:ptCount val="4"/>
                  <c:pt idx="1">
                    <c:v>24,24%</c:v>
                  </c:pt>
                  <c:pt idx="2">
                    <c:v>3,03%</c:v>
                  </c:pt>
                  <c:pt idx="3">
                    <c:v>72,73%</c:v>
                  </c:pt>
                </c15:dlblRangeCache>
              </c15:datalabelsRange>
            </c:ext>
            <c:ext xmlns:c15="http://schemas.microsoft.com/office/drawing/2012/chart" uri="{02D57815-91ED-43cb-92C2-25804820EDAC}">
              <c15:categoryFilterExceptions>
                <c15:categoryFilterException>
                  <c15:sqref>'HOJA 1'!$C$75</c15:sqref>
                  <c15:dLbl>
                    <c:idx val="-1"/>
                    <c:tx>
                      <c:rich>
                        <a:bodyPr/>
                        <a:lstStyle/>
                        <a:p>
                          <a:fld id="{281FA0B4-0E91-4A49-9391-78B8917BAA06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64171A1-3113-4F22-B401-E55BC09BA3A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0-AC62-4466-B1A3-D09FDCFA00B8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4-ED26-4CBA-AD9A-352493BC539B}"/>
            </c:ext>
          </c:extLst>
        </c:ser>
        <c:ser>
          <c:idx val="1"/>
          <c:order val="3"/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1'!$B$75:$B$77</c15:sqref>
                  </c15:fullRef>
                </c:ext>
              </c:extLst>
              <c:f>'HOJA 1'!$B$76:$B$77</c:f>
              <c:strCache>
                <c:ptCount val="2"/>
                <c:pt idx="0">
                  <c:v>&gt;0&lt;.52500</c:v>
                </c:pt>
                <c:pt idx="1">
                  <c:v>&gt; 52500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1'!$D$75:$D$77</c15:sqref>
                  </c15:fullRef>
                </c:ext>
              </c:extLst>
              <c:f>'HOJA 1'!$D$76:$D$77</c:f>
              <c:numCache>
                <c:formatCode>0.00%</c:formatCode>
                <c:ptCount val="2"/>
                <c:pt idx="0">
                  <c:v>3.0303030303030304E-2</c:v>
                </c:pt>
                <c:pt idx="1">
                  <c:v>0.72727272727272729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5-ED26-4CBA-AD9A-352493BC539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86234632"/>
        <c:axId val="386232280"/>
        <c:extLst/>
      </c:barChart>
      <c:catAx>
        <c:axId val="38623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2280"/>
        <c:crosses val="autoZero"/>
        <c:auto val="1"/>
        <c:lblAlgn val="ctr"/>
        <c:lblOffset val="100"/>
        <c:noMultiLvlLbl val="0"/>
      </c:catAx>
      <c:valAx>
        <c:axId val="386232280"/>
        <c:scaling>
          <c:orientation val="minMax"/>
          <c:max val="400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386234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4.1974909454312939E-2"/>
          <c:y val="0.24291005060831483"/>
          <c:w val="0.89920154815976272"/>
          <c:h val="0.600487811951682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62B3-4A37-9583-2AB07B5B242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62B3-4A37-9583-2AB07B5B242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EC0DEA2-55A2-4202-B552-6CB6613A2C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0C1829-6769-41C8-A222-872CAF4C6F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62B3-4A37-9583-2AB07B5B242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FE7B392-A659-4343-BADA-BCC0639508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C92F78-9512-4455-8051-B55847E3532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62B3-4A37-9583-2AB07B5B242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1'!$B$110:$B$115</c15:sqref>
                  </c15:fullRef>
                </c:ext>
              </c:extLst>
              <c:f>'HOJA 1'!$B$112:$B$115</c:f>
              <c:strCache>
                <c:ptCount val="4"/>
                <c:pt idx="0">
                  <c:v>&lt; 0</c:v>
                </c:pt>
                <c:pt idx="1">
                  <c:v>0 - 1</c:v>
                </c:pt>
                <c:pt idx="2">
                  <c:v>1,1 - &lt;2</c:v>
                </c:pt>
                <c:pt idx="3">
                  <c:v>&gt;=2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1'!$C$110:$C$115</c15:sqref>
                  </c15:fullRef>
                </c:ext>
              </c:extLst>
              <c:f>'HOJA 1'!$C$112:$C$115</c:f>
              <c:numCache>
                <c:formatCode>#,##0</c:formatCode>
                <c:ptCount val="4"/>
                <c:pt idx="0">
                  <c:v>2</c:v>
                </c:pt>
                <c:pt idx="1">
                  <c:v>0</c:v>
                </c:pt>
                <c:pt idx="2">
                  <c:v>2</c:v>
                </c:pt>
                <c:pt idx="3" formatCode="General">
                  <c:v>29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1'!$D$110:$D$115</c15:f>
                <c15:dlblRangeCache>
                  <c:ptCount val="6"/>
                  <c:pt idx="1">
                    <c:v>0,00%</c:v>
                  </c:pt>
                  <c:pt idx="2">
                    <c:v>6,06%</c:v>
                  </c:pt>
                  <c:pt idx="3">
                    <c:v>0,00%</c:v>
                  </c:pt>
                  <c:pt idx="4">
                    <c:v>6,06%</c:v>
                  </c:pt>
                  <c:pt idx="5">
                    <c:v>87,88%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62B3-4A37-9583-2AB07B5B242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86234240"/>
        <c:axId val="38623071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4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B1489D0E-B5DA-44EE-AA57-79A6C0BD393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A313FB5-8B67-4EE7-BD19-49CBD4BAD8BD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62B3-4A37-9583-2AB07B5B2426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D3213A3F-21F4-453A-BF76-9F2A701BA52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D342DED-B6BF-4888-BCE5-66114F47F16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62B3-4A37-9583-2AB07B5B2426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57B99DCF-5A09-4501-A98F-2293D317A84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85D30B2-333B-40EF-A201-8F0B0F1F1DD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62B3-4A37-9583-2AB07B5B2426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50BDB722-EDED-4662-8273-1D3895F7843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82A1DD6-4B37-4760-8B92-53EB36FCEFF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62B3-4A37-9583-2AB07B5B2426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1'!$B$110:$B$115</c15:sqref>
                        </c15:fullRef>
                        <c15:formulaRef>
                          <c15:sqref>'HOJA 1'!$B$112:$B$115</c15:sqref>
                        </c15:formulaRef>
                      </c:ext>
                    </c:extLst>
                    <c:strCache>
                      <c:ptCount val="4"/>
                      <c:pt idx="0">
                        <c:v>&lt; 0</c:v>
                      </c:pt>
                      <c:pt idx="1">
                        <c:v>0 - 1</c:v>
                      </c:pt>
                      <c:pt idx="2">
                        <c:v>1,1 - &lt;2</c:v>
                      </c:pt>
                      <c:pt idx="3">
                        <c:v>&gt;=2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1'!$D$110:$D$115</c15:sqref>
                        </c15:fullRef>
                        <c15:formulaRef>
                          <c15:sqref>'HOJA 1'!$D$112:$D$115</c15:sqref>
                        </c15:formulaRef>
                      </c:ext>
                    </c:extLst>
                    <c:numCache>
                      <c:formatCode>0.00%</c:formatCode>
                      <c:ptCount val="4"/>
                      <c:pt idx="0">
                        <c:v>6.0606060606060608E-2</c:v>
                      </c:pt>
                      <c:pt idx="1">
                        <c:v>0</c:v>
                      </c:pt>
                      <c:pt idx="2">
                        <c:v>6.0606060606060608E-2</c:v>
                      </c:pt>
                      <c:pt idx="3">
                        <c:v>0.87878787878787878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1'!$D$110:$D$115</c15:f>
                      <c15:dlblRangeCache>
                        <c:ptCount val="6"/>
                        <c:pt idx="1">
                          <c:v>0,00%</c:v>
                        </c:pt>
                        <c:pt idx="2">
                          <c:v>6,06%</c:v>
                        </c:pt>
                        <c:pt idx="3">
                          <c:v>0,00%</c:v>
                        </c:pt>
                        <c:pt idx="4">
                          <c:v>6,06%</c:v>
                        </c:pt>
                        <c:pt idx="5">
                          <c:v>87,88%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D-62B3-4A37-9583-2AB07B5B2426}"/>
                  </c:ext>
                </c:extLst>
              </c15:ser>
            </c15:filteredBarSeries>
          </c:ext>
        </c:extLst>
      </c:barChart>
      <c:catAx>
        <c:axId val="386234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0712"/>
        <c:crosses val="autoZero"/>
        <c:auto val="1"/>
        <c:lblAlgn val="ctr"/>
        <c:lblOffset val="100"/>
        <c:noMultiLvlLbl val="0"/>
      </c:catAx>
      <c:valAx>
        <c:axId val="386230712"/>
        <c:scaling>
          <c:orientation val="minMax"/>
          <c:max val="350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386234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ACTIVOS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426451410554813"/>
          <c:y val="0.16648508430609602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A85A-409A-811B-8680E9E2070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85A-409A-811B-8680E9E2070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A85A-409A-811B-8680E9E2070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8ACAE4A-5608-4A77-AEEF-29D780DC4F2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560BDC-8336-432A-ACAD-8B3B82504E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85A-409A-811B-8680E9E2070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CD4EE4-CBAD-4DA4-9A0A-1556FB9EFD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1FC2921-3FE2-4E7E-90EE-435FC2B3B6D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85A-409A-811B-8680E9E2070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1'!$B$122:$B$127</c15:sqref>
                  </c15:fullRef>
                </c:ext>
              </c:extLst>
              <c:f>'HOJA 1'!$B$123:$B$127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&gt;=2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1'!$C$122:$C$127</c15:sqref>
                  </c15:fullRef>
                </c:ext>
              </c:extLst>
              <c:f>'HOJA 1'!$C$123:$C$127</c:f>
              <c:numCache>
                <c:formatCode>#,##0</c:formatCode>
                <c:ptCount val="5"/>
                <c:pt idx="0">
                  <c:v>8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23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1'!$D$122:$D$127</c15:f>
                <c15:dlblRangeCache>
                  <c:ptCount val="6"/>
                  <c:pt idx="1">
                    <c:v>24,24%</c:v>
                  </c:pt>
                  <c:pt idx="2">
                    <c:v>0,00%</c:v>
                  </c:pt>
                  <c:pt idx="3">
                    <c:v>6,06%</c:v>
                  </c:pt>
                  <c:pt idx="4">
                    <c:v>0,00%</c:v>
                  </c:pt>
                  <c:pt idx="5">
                    <c:v>69,70%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A85A-409A-811B-8680E9E2070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86228752"/>
        <c:axId val="3862330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1'!$B$122:$B$127</c15:sqref>
                        </c15:fullRef>
                        <c15:formulaRef>
                          <c15:sqref>'HOJA 1'!$B$123:$B$127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&gt;=2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1'!$D$122:$D$127</c15:sqref>
                        </c15:fullRef>
                        <c15:formulaRef>
                          <c15:sqref>'HOJA 1'!$D$123:$D$127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0.24242424242424243</c:v>
                      </c:pt>
                      <c:pt idx="1">
                        <c:v>0</c:v>
                      </c:pt>
                      <c:pt idx="2">
                        <c:v>6.0606060606060608E-2</c:v>
                      </c:pt>
                      <c:pt idx="3">
                        <c:v>0</c:v>
                      </c:pt>
                      <c:pt idx="4">
                        <c:v>0.69696969696969702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A85A-409A-811B-8680E9E20708}"/>
                  </c:ext>
                </c:extLst>
              </c15:ser>
            </c15:filteredBarSeries>
          </c:ext>
        </c:extLst>
      </c:barChart>
      <c:catAx>
        <c:axId val="386228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3064"/>
        <c:crosses val="autoZero"/>
        <c:auto val="1"/>
        <c:lblAlgn val="ctr"/>
        <c:lblOffset val="100"/>
        <c:noMultiLvlLbl val="0"/>
      </c:catAx>
      <c:valAx>
        <c:axId val="386233064"/>
        <c:scaling>
          <c:orientation val="minMax"/>
          <c:max val="250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386228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B3E3-4A9C-B678-20BEE47F192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B3E3-4A9C-B678-20BEE47F192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AB6B4E-DF19-41D1-8FAC-F39EDADAB1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393C9E1-A8AF-42FB-842B-0EEBD7DF00B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B3E3-4A9C-B678-20BEE47F192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E2A3AAC-E9EB-4CE9-9B77-B15961A096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E494B4-F675-4B8B-B6BC-C95AA5C74EA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3E3-4A9C-B678-20BEE47F192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3E3-4A9C-B678-20BEE47F19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1'!$B$134:$B$139</c15:sqref>
                  </c15:fullRef>
                </c:ext>
              </c:extLst>
              <c:f>'HOJA 1'!$B$135:$B$139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&gt;=2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1'!$C$134:$C$139</c15:sqref>
                  </c15:fullRef>
                </c:ext>
              </c:extLst>
              <c:f>'HOJA 1'!$C$135:$C$139</c:f>
              <c:numCache>
                <c:formatCode>#,##0</c:formatCode>
                <c:ptCount val="5"/>
                <c:pt idx="0">
                  <c:v>7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1'!$D$134:$D$139</c15:f>
                <c15:dlblRangeCache>
                  <c:ptCount val="6"/>
                  <c:pt idx="1">
                    <c:v>21,21%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3,03%</c:v>
                  </c:pt>
                  <c:pt idx="5">
                    <c:v>75,76%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B3E3-4A9C-B678-20BEE47F192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86235024"/>
        <c:axId val="38623267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5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1'!$B$134:$B$139</c15:sqref>
                        </c15:fullRef>
                        <c15:formulaRef>
                          <c15:sqref>'HOJA 1'!$B$135:$B$139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&gt;=2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1'!$D$134:$D$139</c15:sqref>
                        </c15:fullRef>
                        <c15:formulaRef>
                          <c15:sqref>'HOJA 1'!$D$135:$D$139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0.21212121212121213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3.0303030303030304E-2</c:v>
                      </c:pt>
                      <c:pt idx="4">
                        <c:v>0.75757575757575757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B3E3-4A9C-B678-20BEE47F1924}"/>
                  </c:ext>
                </c:extLst>
              </c15:ser>
            </c15:filteredBarSeries>
          </c:ext>
        </c:extLst>
      </c:barChart>
      <c:catAx>
        <c:axId val="386235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2672"/>
        <c:crosses val="autoZero"/>
        <c:auto val="1"/>
        <c:lblAlgn val="ctr"/>
        <c:lblOffset val="100"/>
        <c:noMultiLvlLbl val="0"/>
      </c:catAx>
      <c:valAx>
        <c:axId val="386232672"/>
        <c:scaling>
          <c:orientation val="minMax"/>
          <c:max val="220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386235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409575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5E22816F-006A-4E36-87CE-4715A2139EE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1066800</xdr:colOff>
      <xdr:row>61</xdr:row>
      <xdr:rowOff>19049</xdr:rowOff>
    </xdr:from>
    <xdr:to>
      <xdr:col>13</xdr:col>
      <xdr:colOff>695325</xdr:colOff>
      <xdr:row>70</xdr:row>
      <xdr:rowOff>85724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2F5FE182-499F-4FAD-8526-B1F435D0AD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</xdr:colOff>
      <xdr:row>81</xdr:row>
      <xdr:rowOff>114300</xdr:rowOff>
    </xdr:from>
    <xdr:to>
      <xdr:col>13</xdr:col>
      <xdr:colOff>819150</xdr:colOff>
      <xdr:row>92</xdr:row>
      <xdr:rowOff>76200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C564CA7C-61B6-4151-A95D-86395C7EF4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38099</xdr:colOff>
      <xdr:row>94</xdr:row>
      <xdr:rowOff>76199</xdr:rowOff>
    </xdr:from>
    <xdr:to>
      <xdr:col>13</xdr:col>
      <xdr:colOff>1133474</xdr:colOff>
      <xdr:row>105</xdr:row>
      <xdr:rowOff>85725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D48AC1D-1011-4905-A7E7-01C998CEF4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9525</xdr:colOff>
      <xdr:row>71</xdr:row>
      <xdr:rowOff>9525</xdr:rowOff>
    </xdr:from>
    <xdr:to>
      <xdr:col>13</xdr:col>
      <xdr:colOff>733425</xdr:colOff>
      <xdr:row>80</xdr:row>
      <xdr:rowOff>123825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BF78327F-F171-4E18-A2D0-F9F965DD49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38100</xdr:colOff>
      <xdr:row>107</xdr:row>
      <xdr:rowOff>28575</xdr:rowOff>
    </xdr:from>
    <xdr:to>
      <xdr:col>13</xdr:col>
      <xdr:colOff>1142999</xdr:colOff>
      <xdr:row>115</xdr:row>
      <xdr:rowOff>85725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4EBDE9A7-E8D8-4AB1-A461-9B36FABE13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76201</xdr:colOff>
      <xdr:row>119</xdr:row>
      <xdr:rowOff>0</xdr:rowOff>
    </xdr:from>
    <xdr:to>
      <xdr:col>14</xdr:col>
      <xdr:colOff>47625</xdr:colOff>
      <xdr:row>128</xdr:row>
      <xdr:rowOff>38100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7C3F3984-6E5A-4D15-80C5-F49238A34E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28575</xdr:colOff>
      <xdr:row>130</xdr:row>
      <xdr:rowOff>76201</xdr:rowOff>
    </xdr:from>
    <xdr:to>
      <xdr:col>14</xdr:col>
      <xdr:colOff>9525</xdr:colOff>
      <xdr:row>141</xdr:row>
      <xdr:rowOff>1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6ED33D82-A84B-4273-BC76-2A6751749D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M162"/>
  <sheetViews>
    <sheetView tabSelected="1" workbookViewId="0">
      <selection activeCell="E156" sqref="E156"/>
    </sheetView>
  </sheetViews>
  <sheetFormatPr baseColWidth="10" defaultColWidth="11.42578125" defaultRowHeight="12" x14ac:dyDescent="0.2"/>
  <cols>
    <col min="1" max="1" width="27.42578125" style="13" customWidth="1"/>
    <col min="2" max="2" width="23.28515625" style="13" customWidth="1"/>
    <col min="3" max="3" width="18" style="13" customWidth="1"/>
    <col min="4" max="6" width="15.7109375" style="13" customWidth="1"/>
    <col min="7" max="7" width="17.42578125" style="13" bestFit="1" customWidth="1"/>
    <col min="8" max="8" width="16.28515625" style="13" customWidth="1"/>
    <col min="9" max="9" width="15.85546875" style="13" customWidth="1"/>
    <col min="10" max="10" width="16.140625" style="13" customWidth="1"/>
    <col min="11" max="16" width="17.140625" style="13" customWidth="1"/>
    <col min="17" max="16384" width="11.42578125" style="13"/>
  </cols>
  <sheetData>
    <row r="3" spans="1:10" x14ac:dyDescent="0.2">
      <c r="F3" s="86" t="s">
        <v>35</v>
      </c>
      <c r="G3" s="86"/>
      <c r="H3" s="86"/>
      <c r="I3" s="86"/>
      <c r="J3" s="86"/>
    </row>
    <row r="4" spans="1:10" x14ac:dyDescent="0.2">
      <c r="F4" s="86" t="s">
        <v>34</v>
      </c>
      <c r="G4" s="86"/>
      <c r="H4" s="86"/>
      <c r="I4" s="86"/>
      <c r="J4" s="86"/>
    </row>
    <row r="5" spans="1:10" x14ac:dyDescent="0.2">
      <c r="F5" s="86" t="s">
        <v>36</v>
      </c>
      <c r="G5" s="86"/>
      <c r="H5" s="86"/>
      <c r="I5" s="86"/>
      <c r="J5" s="86"/>
    </row>
    <row r="7" spans="1:10" ht="12.75" thickBot="1" x14ac:dyDescent="0.25"/>
    <row r="8" spans="1:10" ht="47.25" customHeight="1" thickTop="1" thickBot="1" x14ac:dyDescent="0.25">
      <c r="A8" s="18" t="s">
        <v>13</v>
      </c>
      <c r="B8" s="87" t="s">
        <v>119</v>
      </c>
      <c r="C8" s="88"/>
      <c r="D8" s="88"/>
      <c r="E8" s="88"/>
      <c r="F8" s="89"/>
      <c r="G8" s="18" t="s">
        <v>16</v>
      </c>
      <c r="H8" s="90"/>
      <c r="I8" s="91"/>
      <c r="J8" s="92"/>
    </row>
    <row r="9" spans="1:10" ht="13.5" customHeight="1" thickTop="1" thickBot="1" x14ac:dyDescent="0.25">
      <c r="A9" s="21"/>
      <c r="B9" s="20"/>
      <c r="C9" s="20"/>
      <c r="D9" s="20"/>
      <c r="E9" s="20"/>
      <c r="F9" s="20"/>
      <c r="G9" s="21"/>
      <c r="H9" s="20"/>
      <c r="I9" s="20"/>
      <c r="J9" s="20"/>
    </row>
    <row r="10" spans="1:10" ht="18" customHeight="1" thickTop="1" thickBot="1" x14ac:dyDescent="0.25">
      <c r="A10" s="84" t="s">
        <v>39</v>
      </c>
      <c r="B10" s="85"/>
      <c r="C10" s="85"/>
      <c r="D10" s="85"/>
      <c r="E10" s="85"/>
      <c r="F10" s="85"/>
      <c r="G10" s="85"/>
      <c r="H10" s="85"/>
      <c r="I10" s="39"/>
    </row>
    <row r="11" spans="1:10" ht="39" customHeight="1" thickTop="1" thickBot="1" x14ac:dyDescent="0.25">
      <c r="A11" s="19" t="s">
        <v>38</v>
      </c>
      <c r="B11" s="22">
        <v>419740813</v>
      </c>
      <c r="C11" s="19" t="s">
        <v>33</v>
      </c>
      <c r="D11" s="23">
        <v>8</v>
      </c>
      <c r="E11" s="19" t="s">
        <v>115</v>
      </c>
      <c r="F11" s="22">
        <f>MROUND((1*($B$11/$D$11)),100000)</f>
        <v>52500000</v>
      </c>
      <c r="G11" s="19" t="s">
        <v>116</v>
      </c>
      <c r="H11" s="22">
        <f>MROUND(($B$11*25%),100000)</f>
        <v>104900000</v>
      </c>
    </row>
    <row r="12" spans="1:10" ht="13.5" thickTop="1" thickBot="1" x14ac:dyDescent="0.25"/>
    <row r="13" spans="1:10" ht="13.5" thickTop="1" thickBot="1" x14ac:dyDescent="0.25">
      <c r="A13" s="78" t="s">
        <v>60</v>
      </c>
      <c r="B13" s="79"/>
      <c r="C13" s="79"/>
      <c r="D13" s="79"/>
      <c r="E13" s="79"/>
      <c r="F13" s="79"/>
      <c r="G13" s="79"/>
      <c r="H13" s="79"/>
      <c r="I13" s="79"/>
      <c r="J13" s="80"/>
    </row>
    <row r="14" spans="1:10" ht="15.75" thickTop="1" x14ac:dyDescent="0.25">
      <c r="B14"/>
    </row>
    <row r="15" spans="1:10" x14ac:dyDescent="0.2">
      <c r="A15" s="14" t="s">
        <v>37</v>
      </c>
    </row>
    <row r="16" spans="1:10" x14ac:dyDescent="0.2">
      <c r="A16" s="14" t="s">
        <v>30</v>
      </c>
    </row>
    <row r="17" spans="1:12" x14ac:dyDescent="0.2">
      <c r="A17" s="14" t="s">
        <v>29</v>
      </c>
    </row>
    <row r="19" spans="1:12" ht="60" x14ac:dyDescent="0.2">
      <c r="A19" s="10" t="s">
        <v>0</v>
      </c>
      <c r="B19" s="10" t="s">
        <v>1</v>
      </c>
      <c r="C19" s="10" t="s">
        <v>2</v>
      </c>
      <c r="D19" s="11" t="s">
        <v>3</v>
      </c>
      <c r="E19" s="11" t="s">
        <v>4</v>
      </c>
      <c r="F19" s="11" t="s">
        <v>5</v>
      </c>
      <c r="G19" s="11" t="s">
        <v>6</v>
      </c>
      <c r="H19" s="11" t="s">
        <v>7</v>
      </c>
      <c r="I19" s="11" t="s">
        <v>8</v>
      </c>
      <c r="J19" s="11" t="s">
        <v>9</v>
      </c>
    </row>
    <row r="20" spans="1:12" ht="15" customHeight="1" x14ac:dyDescent="0.25">
      <c r="A20" s="63">
        <v>800002695</v>
      </c>
      <c r="B20" s="63" t="s">
        <v>79</v>
      </c>
      <c r="C20" s="63" t="s">
        <v>80</v>
      </c>
      <c r="D20" s="64">
        <v>2.1165834226958165</v>
      </c>
      <c r="E20" s="65">
        <v>693472</v>
      </c>
      <c r="F20" s="44">
        <v>0.15053034361958609</v>
      </c>
      <c r="G20" s="66">
        <v>5947160</v>
      </c>
      <c r="H20" s="44">
        <v>9.3138192439480669E-2</v>
      </c>
      <c r="I20" s="44">
        <v>0.1096427538522589</v>
      </c>
      <c r="J20" s="67">
        <v>12.090017428709164</v>
      </c>
      <c r="L20" s="51"/>
    </row>
    <row r="21" spans="1:12" ht="15" customHeight="1" x14ac:dyDescent="0.25">
      <c r="A21" s="63">
        <v>800022076</v>
      </c>
      <c r="B21" s="63" t="s">
        <v>81</v>
      </c>
      <c r="C21" s="63" t="s">
        <v>80</v>
      </c>
      <c r="D21" s="64">
        <v>1.7378580320578754</v>
      </c>
      <c r="E21" s="65">
        <v>1432589</v>
      </c>
      <c r="F21" s="44">
        <v>0.65113785439374094</v>
      </c>
      <c r="G21" s="66">
        <v>10413212</v>
      </c>
      <c r="H21" s="44">
        <v>8.0785588189435958E-2</v>
      </c>
      <c r="I21" s="44">
        <v>0.23156879932915991</v>
      </c>
      <c r="J21" s="67">
        <v>1.1344982989876731</v>
      </c>
      <c r="L21" s="51"/>
    </row>
    <row r="22" spans="1:12" ht="15" customHeight="1" x14ac:dyDescent="0.25">
      <c r="A22" s="63">
        <v>800026828</v>
      </c>
      <c r="B22" s="63" t="s">
        <v>82</v>
      </c>
      <c r="C22" s="63" t="s">
        <v>80</v>
      </c>
      <c r="D22" s="64">
        <v>0.94748867118094737</v>
      </c>
      <c r="E22" s="65">
        <v>-206023</v>
      </c>
      <c r="F22" s="44">
        <v>0.5110136708633275</v>
      </c>
      <c r="G22" s="66">
        <v>6007821</v>
      </c>
      <c r="H22" s="44">
        <v>-9.0710968889189862E-4</v>
      </c>
      <c r="I22" s="44">
        <v>-1.8550819007423823E-3</v>
      </c>
      <c r="J22" s="67">
        <v>-0.21574169070249133</v>
      </c>
      <c r="L22" s="51"/>
    </row>
    <row r="23" spans="1:12" ht="15" customHeight="1" x14ac:dyDescent="0.25">
      <c r="A23" s="63">
        <v>804006774</v>
      </c>
      <c r="B23" s="63" t="s">
        <v>83</v>
      </c>
      <c r="C23" s="63" t="s">
        <v>80</v>
      </c>
      <c r="D23" s="64">
        <v>0.29921189209969884</v>
      </c>
      <c r="E23" s="65">
        <v>-54686</v>
      </c>
      <c r="F23" s="44">
        <v>0.85173555742898521</v>
      </c>
      <c r="G23" s="66">
        <v>105345</v>
      </c>
      <c r="H23" s="44">
        <v>8.583841997632723E-3</v>
      </c>
      <c r="I23" s="44">
        <v>5.789548625943329E-2</v>
      </c>
      <c r="J23" s="67"/>
      <c r="L23" s="51"/>
    </row>
    <row r="24" spans="1:12" ht="15" customHeight="1" x14ac:dyDescent="0.25">
      <c r="A24" s="63">
        <v>805031131</v>
      </c>
      <c r="B24" s="63" t="s">
        <v>84</v>
      </c>
      <c r="C24" s="63" t="s">
        <v>80</v>
      </c>
      <c r="D24" s="64">
        <v>0.79911344611137847</v>
      </c>
      <c r="E24" s="65">
        <v>-151953</v>
      </c>
      <c r="F24" s="44">
        <v>0.37640352421829265</v>
      </c>
      <c r="G24" s="66">
        <v>3668870</v>
      </c>
      <c r="H24" s="44">
        <v>9.2694637322203264E-3</v>
      </c>
      <c r="I24" s="44">
        <v>1.4864522318861121E-2</v>
      </c>
      <c r="J24" s="67"/>
      <c r="L24" s="51"/>
    </row>
    <row r="25" spans="1:12" ht="15" customHeight="1" x14ac:dyDescent="0.25">
      <c r="A25" s="63">
        <v>811010647</v>
      </c>
      <c r="B25" s="63" t="s">
        <v>85</v>
      </c>
      <c r="C25" s="63" t="s">
        <v>80</v>
      </c>
      <c r="D25" s="64">
        <v>4.0798172499719962</v>
      </c>
      <c r="E25" s="65">
        <v>1677173</v>
      </c>
      <c r="F25" s="44">
        <v>1.348433396521181</v>
      </c>
      <c r="G25" s="66">
        <v>-1375437</v>
      </c>
      <c r="H25" s="44">
        <v>-4.8348203123555256E-2</v>
      </c>
      <c r="I25" s="44">
        <v>0.13875880901851556</v>
      </c>
      <c r="J25" s="67"/>
      <c r="L25" s="51"/>
    </row>
    <row r="26" spans="1:12" ht="15" customHeight="1" x14ac:dyDescent="0.25">
      <c r="A26" s="63">
        <v>811030714</v>
      </c>
      <c r="B26" s="63" t="s">
        <v>86</v>
      </c>
      <c r="C26" s="63" t="s">
        <v>80</v>
      </c>
      <c r="D26" s="64">
        <v>1.5362491298313659</v>
      </c>
      <c r="E26" s="65">
        <v>6077853</v>
      </c>
      <c r="F26" s="44">
        <v>0.49070306642418515</v>
      </c>
      <c r="G26" s="66">
        <v>45655808</v>
      </c>
      <c r="H26" s="44">
        <v>0.11595890816746225</v>
      </c>
      <c r="I26" s="44">
        <v>0.22768428498735582</v>
      </c>
      <c r="J26" s="67">
        <v>3.5857151037207569</v>
      </c>
      <c r="L26" s="51"/>
    </row>
    <row r="27" spans="1:12" ht="15" customHeight="1" x14ac:dyDescent="0.25">
      <c r="A27" s="63">
        <v>811033706</v>
      </c>
      <c r="B27" s="63" t="s">
        <v>87</v>
      </c>
      <c r="C27" s="63" t="s">
        <v>88</v>
      </c>
      <c r="D27" s="64">
        <v>3245.8194888178914</v>
      </c>
      <c r="E27" s="65">
        <v>2031257</v>
      </c>
      <c r="F27" s="44">
        <v>3.0808860549549357E-4</v>
      </c>
      <c r="G27" s="66">
        <v>2031257</v>
      </c>
      <c r="H27" s="44">
        <v>-2.1898406551952056E-2</v>
      </c>
      <c r="I27" s="44">
        <v>-2.1905155280695646E-2</v>
      </c>
      <c r="J27" s="67"/>
      <c r="L27" s="51"/>
    </row>
    <row r="28" spans="1:12" ht="15" customHeight="1" x14ac:dyDescent="0.25">
      <c r="A28" s="63">
        <v>830015970</v>
      </c>
      <c r="B28" s="63" t="s">
        <v>89</v>
      </c>
      <c r="C28" s="63" t="s">
        <v>80</v>
      </c>
      <c r="D28" s="64">
        <v>2.2290507522095577</v>
      </c>
      <c r="E28" s="65">
        <v>2381276</v>
      </c>
      <c r="F28" s="44">
        <v>0.45710381454705773</v>
      </c>
      <c r="G28" s="66">
        <v>5827085</v>
      </c>
      <c r="H28" s="44">
        <v>3.6500780931774029E-2</v>
      </c>
      <c r="I28" s="44">
        <v>6.723344519601139E-2</v>
      </c>
      <c r="J28" s="67"/>
      <c r="L28" s="51"/>
    </row>
    <row r="29" spans="1:12" ht="15" customHeight="1" x14ac:dyDescent="0.25">
      <c r="A29" s="63">
        <v>830032912</v>
      </c>
      <c r="B29" s="63" t="s">
        <v>90</v>
      </c>
      <c r="C29" s="63" t="s">
        <v>80</v>
      </c>
      <c r="D29" s="64">
        <v>0.25743451919117327</v>
      </c>
      <c r="E29" s="65">
        <v>-4466593</v>
      </c>
      <c r="F29" s="44">
        <v>1.625556201445117</v>
      </c>
      <c r="G29" s="66">
        <v>-2314760</v>
      </c>
      <c r="H29" s="44">
        <v>-0.53763279583971457</v>
      </c>
      <c r="I29" s="44">
        <v>0.85944763171991911</v>
      </c>
      <c r="J29" s="67"/>
      <c r="L29" s="51"/>
    </row>
    <row r="30" spans="1:12" ht="15" customHeight="1" x14ac:dyDescent="0.25">
      <c r="A30" s="63">
        <v>830033825</v>
      </c>
      <c r="B30" s="63" t="s">
        <v>91</v>
      </c>
      <c r="C30" s="63" t="s">
        <v>80</v>
      </c>
      <c r="D30" s="64">
        <v>1.0466424640033087</v>
      </c>
      <c r="E30" s="65">
        <v>11621766</v>
      </c>
      <c r="F30" s="44">
        <v>0.95679011897305832</v>
      </c>
      <c r="G30" s="66">
        <v>16716092</v>
      </c>
      <c r="H30" s="44">
        <v>2.2137926654546444E-2</v>
      </c>
      <c r="I30" s="44">
        <v>0.51233482084209636</v>
      </c>
      <c r="J30" s="67"/>
      <c r="L30" s="51"/>
    </row>
    <row r="31" spans="1:12" ht="15" customHeight="1" x14ac:dyDescent="0.25">
      <c r="A31" s="63">
        <v>860045913</v>
      </c>
      <c r="B31" s="63" t="s">
        <v>92</v>
      </c>
      <c r="C31" s="63" t="s">
        <v>80</v>
      </c>
      <c r="D31" s="64">
        <v>4.6306336922213465</v>
      </c>
      <c r="E31" s="65">
        <v>705109</v>
      </c>
      <c r="F31" s="44">
        <v>0.23027280374954934</v>
      </c>
      <c r="G31" s="66">
        <v>1665274</v>
      </c>
      <c r="H31" s="44">
        <v>8.1117284350068874E-2</v>
      </c>
      <c r="I31" s="44">
        <v>0.10538445925415277</v>
      </c>
      <c r="J31" s="67">
        <v>4.9327936588245214</v>
      </c>
      <c r="L31" s="51"/>
    </row>
    <row r="32" spans="1:12" ht="15" customHeight="1" x14ac:dyDescent="0.25">
      <c r="A32" s="63">
        <v>860051734</v>
      </c>
      <c r="B32" s="63" t="s">
        <v>93</v>
      </c>
      <c r="C32" s="63" t="s">
        <v>80</v>
      </c>
      <c r="D32" s="64">
        <v>1.8579498334422098</v>
      </c>
      <c r="E32" s="65">
        <v>740723</v>
      </c>
      <c r="F32" s="44">
        <v>6.3078536271451546E-2</v>
      </c>
      <c r="G32" s="66">
        <v>12823764</v>
      </c>
      <c r="H32" s="44">
        <v>6.4198639773077298E-2</v>
      </c>
      <c r="I32" s="44">
        <v>6.8520833664749287E-2</v>
      </c>
      <c r="J32" s="67"/>
      <c r="L32" s="51"/>
    </row>
    <row r="33" spans="1:12" ht="15" customHeight="1" x14ac:dyDescent="0.25">
      <c r="A33" s="63">
        <v>860511232</v>
      </c>
      <c r="B33" s="63" t="s">
        <v>94</v>
      </c>
      <c r="C33" s="63" t="s">
        <v>80</v>
      </c>
      <c r="D33" s="64">
        <v>1.1844567078855373</v>
      </c>
      <c r="E33" s="65">
        <v>2759289</v>
      </c>
      <c r="F33" s="44">
        <v>0.67851851764608162</v>
      </c>
      <c r="G33" s="66">
        <v>12555847</v>
      </c>
      <c r="H33" s="44">
        <v>-5.9482224156642352E-3</v>
      </c>
      <c r="I33" s="44">
        <v>-1.8502535113720325E-2</v>
      </c>
      <c r="J33" s="67">
        <v>-0.66192832944407876</v>
      </c>
      <c r="L33" s="51"/>
    </row>
    <row r="34" spans="1:12" ht="15" customHeight="1" x14ac:dyDescent="0.25">
      <c r="A34" s="63">
        <v>890115898</v>
      </c>
      <c r="B34" s="63" t="s">
        <v>95</v>
      </c>
      <c r="C34" s="63" t="s">
        <v>80</v>
      </c>
      <c r="D34" s="64">
        <v>1.2297128614233304</v>
      </c>
      <c r="E34" s="65">
        <v>1148514</v>
      </c>
      <c r="F34" s="44">
        <v>0.48209167675658549</v>
      </c>
      <c r="G34" s="66">
        <v>8529644</v>
      </c>
      <c r="H34" s="44">
        <v>0.16784652078286477</v>
      </c>
      <c r="I34" s="44">
        <v>0.32408538973021617</v>
      </c>
      <c r="J34" s="67">
        <v>8.9012957488874722</v>
      </c>
      <c r="L34" s="51"/>
    </row>
    <row r="35" spans="1:12" ht="15" customHeight="1" x14ac:dyDescent="0.25">
      <c r="A35" s="63">
        <v>890911850</v>
      </c>
      <c r="B35" s="63" t="s">
        <v>96</v>
      </c>
      <c r="C35" s="63" t="s">
        <v>80</v>
      </c>
      <c r="D35" s="64">
        <v>1.1346698381328688</v>
      </c>
      <c r="E35" s="65">
        <v>1692800</v>
      </c>
      <c r="F35" s="44">
        <v>0.6932989599744257</v>
      </c>
      <c r="G35" s="66">
        <v>5560707</v>
      </c>
      <c r="H35" s="44">
        <v>0.2302375064448669</v>
      </c>
      <c r="I35" s="44">
        <v>0.75069033488007908</v>
      </c>
      <c r="J35" s="67">
        <v>39.447826497826497</v>
      </c>
      <c r="L35" s="51"/>
    </row>
    <row r="36" spans="1:12" ht="15" customHeight="1" x14ac:dyDescent="0.25">
      <c r="A36" s="63">
        <v>890913319</v>
      </c>
      <c r="B36" s="63" t="s">
        <v>97</v>
      </c>
      <c r="C36" s="63" t="s">
        <v>80</v>
      </c>
      <c r="D36" s="64">
        <v>0.51304619422336273</v>
      </c>
      <c r="E36" s="65">
        <v>-14519637</v>
      </c>
      <c r="F36" s="44">
        <v>0.90880520226487882</v>
      </c>
      <c r="G36" s="66">
        <v>4081252</v>
      </c>
      <c r="H36" s="44">
        <v>-0.13760706710903728</v>
      </c>
      <c r="I36" s="44">
        <v>-1.5089354933241075</v>
      </c>
      <c r="J36" s="67"/>
      <c r="L36" s="51"/>
    </row>
    <row r="37" spans="1:12" ht="15" customHeight="1" x14ac:dyDescent="0.25">
      <c r="A37" s="63">
        <v>900103483</v>
      </c>
      <c r="B37" s="63" t="s">
        <v>98</v>
      </c>
      <c r="C37" s="63" t="s">
        <v>80</v>
      </c>
      <c r="D37" s="64">
        <v>0.81397755892985157</v>
      </c>
      <c r="E37" s="65">
        <v>-48526</v>
      </c>
      <c r="F37" s="44">
        <v>0.44260910637094669</v>
      </c>
      <c r="G37" s="66">
        <v>1040845</v>
      </c>
      <c r="H37" s="44">
        <v>6.0247880421045417E-2</v>
      </c>
      <c r="I37" s="44">
        <v>0.10808910068261846</v>
      </c>
      <c r="J37" s="67"/>
      <c r="L37" s="51"/>
    </row>
    <row r="38" spans="1:12" ht="15" customHeight="1" x14ac:dyDescent="0.25">
      <c r="A38" s="63">
        <v>900197191</v>
      </c>
      <c r="B38" s="63" t="s">
        <v>99</v>
      </c>
      <c r="C38" s="63" t="s">
        <v>100</v>
      </c>
      <c r="D38" s="64">
        <v>0.38311854062585365</v>
      </c>
      <c r="E38" s="65">
        <v>-3100643</v>
      </c>
      <c r="F38" s="44">
        <v>3.7631889522954105</v>
      </c>
      <c r="G38" s="66">
        <v>-35686309</v>
      </c>
      <c r="H38" s="44">
        <v>4.9202239274016832E-2</v>
      </c>
      <c r="I38" s="44">
        <v>-1.7806324548722594E-2</v>
      </c>
      <c r="J38" s="67"/>
      <c r="L38" s="51"/>
    </row>
    <row r="39" spans="1:12" ht="15" customHeight="1" x14ac:dyDescent="0.25">
      <c r="A39" s="63">
        <v>900210998</v>
      </c>
      <c r="B39" s="63" t="s">
        <v>101</v>
      </c>
      <c r="C39" s="63" t="s">
        <v>80</v>
      </c>
      <c r="D39" s="64">
        <v>1.1273546495847131</v>
      </c>
      <c r="E39" s="65">
        <v>25806</v>
      </c>
      <c r="F39" s="44">
        <v>0.31012627689562777</v>
      </c>
      <c r="G39" s="66">
        <v>643399</v>
      </c>
      <c r="H39" s="44">
        <v>5.4400820043897222E-2</v>
      </c>
      <c r="I39" s="44">
        <v>7.8856199652159856E-2</v>
      </c>
      <c r="J39" s="67"/>
      <c r="L39" s="51"/>
    </row>
    <row r="40" spans="1:12" ht="15" customHeight="1" x14ac:dyDescent="0.25">
      <c r="A40" s="63">
        <v>900259651</v>
      </c>
      <c r="B40" s="63" t="s">
        <v>102</v>
      </c>
      <c r="C40" s="63" t="s">
        <v>80</v>
      </c>
      <c r="D40" s="64">
        <v>1.4709608742426816</v>
      </c>
      <c r="E40" s="65">
        <v>207941</v>
      </c>
      <c r="F40" s="44">
        <v>6.0479088650159349</v>
      </c>
      <c r="G40" s="66">
        <v>-5032013</v>
      </c>
      <c r="H40" s="44">
        <v>3.9700015348331896E-2</v>
      </c>
      <c r="I40" s="44">
        <v>-7.8646458186813102E-3</v>
      </c>
      <c r="J40" s="67">
        <v>1.8074077457069784</v>
      </c>
      <c r="L40" s="51"/>
    </row>
    <row r="41" spans="1:12" ht="15" customHeight="1" x14ac:dyDescent="0.25">
      <c r="A41" s="63">
        <v>900295736</v>
      </c>
      <c r="B41" s="63" t="s">
        <v>103</v>
      </c>
      <c r="C41" s="63" t="s">
        <v>80</v>
      </c>
      <c r="D41" s="64">
        <v>2.7175004605070483</v>
      </c>
      <c r="E41" s="65">
        <v>1296031</v>
      </c>
      <c r="F41" s="44">
        <v>0.2929868461159349</v>
      </c>
      <c r="G41" s="66">
        <v>1895042</v>
      </c>
      <c r="H41" s="44">
        <v>4.2889564008269071E-2</v>
      </c>
      <c r="I41" s="44">
        <v>6.0663035436681612E-2</v>
      </c>
      <c r="J41" s="67">
        <v>2.2877868216282913</v>
      </c>
      <c r="L41" s="51"/>
    </row>
    <row r="42" spans="1:12" ht="15" customHeight="1" x14ac:dyDescent="0.25">
      <c r="A42" s="63">
        <v>900502725</v>
      </c>
      <c r="B42" s="63" t="s">
        <v>104</v>
      </c>
      <c r="C42" s="63" t="s">
        <v>88</v>
      </c>
      <c r="D42" s="64">
        <v>3.9582969610705701</v>
      </c>
      <c r="E42" s="65">
        <v>3439745</v>
      </c>
      <c r="F42" s="44">
        <v>0.25461663171140031</v>
      </c>
      <c r="G42" s="66">
        <v>3438127</v>
      </c>
      <c r="H42" s="44">
        <v>4.4034963649269107E-2</v>
      </c>
      <c r="I42" s="44">
        <v>5.9076933458246307E-2</v>
      </c>
      <c r="J42" s="67">
        <v>5.7320163679977423</v>
      </c>
      <c r="L42" s="51"/>
    </row>
    <row r="43" spans="1:12" ht="15" customHeight="1" x14ac:dyDescent="0.25">
      <c r="A43" s="63">
        <v>900516389</v>
      </c>
      <c r="B43" s="63" t="s">
        <v>105</v>
      </c>
      <c r="C43" s="63" t="s">
        <v>80</v>
      </c>
      <c r="D43" s="64">
        <v>8.3109237773911477</v>
      </c>
      <c r="E43" s="65">
        <v>2281732</v>
      </c>
      <c r="F43" s="44">
        <v>0.41272920163180149</v>
      </c>
      <c r="G43" s="66">
        <v>2022156</v>
      </c>
      <c r="H43" s="44">
        <v>5.0337596574924544E-2</v>
      </c>
      <c r="I43" s="44">
        <v>8.5714455264578993E-2</v>
      </c>
      <c r="J43" s="67">
        <v>2.4792310332990044</v>
      </c>
      <c r="L43" s="51"/>
    </row>
    <row r="44" spans="1:12" ht="15" customHeight="1" x14ac:dyDescent="0.25">
      <c r="A44" s="63">
        <v>900660217</v>
      </c>
      <c r="B44" s="63" t="s">
        <v>106</v>
      </c>
      <c r="C44" s="63" t="s">
        <v>100</v>
      </c>
      <c r="D44" s="64">
        <v>2.2105943193249926</v>
      </c>
      <c r="E44" s="65">
        <v>1916987</v>
      </c>
      <c r="F44" s="44">
        <v>0.4517862502553498</v>
      </c>
      <c r="G44" s="66">
        <v>1921487</v>
      </c>
      <c r="H44" s="44">
        <v>0.33324659999611983</v>
      </c>
      <c r="I44" s="44">
        <v>0.60787712849475428</v>
      </c>
      <c r="J44" s="67">
        <v>165.72474460839953</v>
      </c>
      <c r="L44" s="51"/>
    </row>
    <row r="45" spans="1:12" ht="15" customHeight="1" x14ac:dyDescent="0.25">
      <c r="A45" s="63">
        <v>900676519</v>
      </c>
      <c r="B45" s="63" t="s">
        <v>107</v>
      </c>
      <c r="C45" s="63" t="s">
        <v>100</v>
      </c>
      <c r="D45" s="64">
        <v>104.90001460493647</v>
      </c>
      <c r="E45" s="65">
        <v>3557017</v>
      </c>
      <c r="F45" s="44">
        <v>0.22892100025283663</v>
      </c>
      <c r="G45" s="66">
        <v>2769139</v>
      </c>
      <c r="H45" s="44">
        <v>-8.0997657641401946E-2</v>
      </c>
      <c r="I45" s="44">
        <v>-0.10504456439348116</v>
      </c>
      <c r="J45" s="67"/>
      <c r="L45" s="51"/>
    </row>
    <row r="46" spans="1:12" ht="15" customHeight="1" x14ac:dyDescent="0.25">
      <c r="A46" s="63">
        <v>900693739</v>
      </c>
      <c r="B46" s="63" t="s">
        <v>108</v>
      </c>
      <c r="C46" s="63" t="s">
        <v>80</v>
      </c>
      <c r="D46" s="64">
        <v>3.1504949624238998</v>
      </c>
      <c r="E46" s="65">
        <v>3227508</v>
      </c>
      <c r="F46" s="44">
        <v>0.60547116316469018</v>
      </c>
      <c r="G46" s="66">
        <v>2930690</v>
      </c>
      <c r="H46" s="44">
        <v>8.0961142135734701E-2</v>
      </c>
      <c r="I46" s="44">
        <v>0.20520969464528832</v>
      </c>
      <c r="J46" s="67">
        <v>41.099296111528737</v>
      </c>
      <c r="L46" s="51"/>
    </row>
    <row r="47" spans="1:12" ht="15" customHeight="1" x14ac:dyDescent="0.25">
      <c r="A47" s="63">
        <v>900693770</v>
      </c>
      <c r="B47" s="63" t="s">
        <v>109</v>
      </c>
      <c r="C47" s="63" t="s">
        <v>88</v>
      </c>
      <c r="D47" s="64">
        <v>2.068876627680293</v>
      </c>
      <c r="E47" s="65">
        <v>2203021</v>
      </c>
      <c r="F47" s="44">
        <v>0.56125933235493142</v>
      </c>
      <c r="G47" s="66">
        <v>3033152</v>
      </c>
      <c r="H47" s="44">
        <v>0.21221775837174472</v>
      </c>
      <c r="I47" s="44">
        <v>0.48369748697064968</v>
      </c>
      <c r="J47" s="67"/>
      <c r="L47" s="51"/>
    </row>
    <row r="48" spans="1:12" ht="15" customHeight="1" x14ac:dyDescent="0.25">
      <c r="A48" s="63">
        <v>900730171</v>
      </c>
      <c r="B48" s="63" t="s">
        <v>110</v>
      </c>
      <c r="C48" s="63" t="s">
        <v>80</v>
      </c>
      <c r="D48" s="64">
        <v>2.4715477229793383</v>
      </c>
      <c r="E48" s="65">
        <v>2088422</v>
      </c>
      <c r="F48" s="44">
        <v>0.72469605599039078</v>
      </c>
      <c r="G48" s="66">
        <v>2672480</v>
      </c>
      <c r="H48" s="44">
        <v>0.10846335468478621</v>
      </c>
      <c r="I48" s="44">
        <v>0.39397675567263368</v>
      </c>
      <c r="J48" s="67"/>
      <c r="L48" s="51"/>
    </row>
    <row r="49" spans="1:12" ht="15" customHeight="1" x14ac:dyDescent="0.25">
      <c r="A49" s="63">
        <v>900867699</v>
      </c>
      <c r="B49" s="63" t="s">
        <v>111</v>
      </c>
      <c r="C49" s="63" t="s">
        <v>80</v>
      </c>
      <c r="D49" s="64">
        <v>13.639021048224413</v>
      </c>
      <c r="E49" s="65">
        <v>664130</v>
      </c>
      <c r="F49" s="44">
        <v>7.5980039475791891E-2</v>
      </c>
      <c r="G49" s="66">
        <v>680683</v>
      </c>
      <c r="H49" s="44">
        <v>5.1792293261151097E-2</v>
      </c>
      <c r="I49" s="44">
        <v>5.6051054602509538E-2</v>
      </c>
      <c r="J49" s="67"/>
      <c r="L49" s="51"/>
    </row>
    <row r="50" spans="1:12" ht="15" customHeight="1" x14ac:dyDescent="0.25">
      <c r="A50" s="63">
        <v>900952781</v>
      </c>
      <c r="B50" s="63" t="s">
        <v>112</v>
      </c>
      <c r="C50" s="63" t="s">
        <v>80</v>
      </c>
      <c r="D50" s="64">
        <v>1.5865574004357639</v>
      </c>
      <c r="E50" s="65">
        <v>1340391</v>
      </c>
      <c r="F50" s="44">
        <v>0.61221234634118571</v>
      </c>
      <c r="G50" s="66">
        <v>1628192</v>
      </c>
      <c r="H50" s="44">
        <v>0.25987592734745224</v>
      </c>
      <c r="I50" s="44">
        <v>0.67015008058017722</v>
      </c>
      <c r="J50" s="67"/>
      <c r="L50" s="51"/>
    </row>
    <row r="51" spans="1:12" ht="15" customHeight="1" x14ac:dyDescent="0.25">
      <c r="A51" s="63">
        <v>900961499</v>
      </c>
      <c r="B51" s="63" t="s">
        <v>113</v>
      </c>
      <c r="C51" s="63" t="s">
        <v>100</v>
      </c>
      <c r="D51" s="64">
        <v>0.18276061947476538</v>
      </c>
      <c r="E51" s="65">
        <v>-819146</v>
      </c>
      <c r="F51" s="44">
        <v>3.1173759295371206</v>
      </c>
      <c r="G51" s="66">
        <v>-680802</v>
      </c>
      <c r="H51" s="44">
        <v>-0.82264540588621315</v>
      </c>
      <c r="I51" s="44">
        <v>0.38852118530791624</v>
      </c>
      <c r="J51" s="67"/>
      <c r="L51" s="51"/>
    </row>
    <row r="52" spans="1:12" ht="15" customHeight="1" x14ac:dyDescent="0.25">
      <c r="A52" s="63">
        <v>901240462</v>
      </c>
      <c r="B52" s="63" t="s">
        <v>114</v>
      </c>
      <c r="C52" s="63" t="s">
        <v>80</v>
      </c>
      <c r="D52" s="64">
        <v>2.5872566004687241</v>
      </c>
      <c r="E52" s="65">
        <v>2908862</v>
      </c>
      <c r="F52" s="44">
        <v>0.47679136669529432</v>
      </c>
      <c r="G52" s="66">
        <v>3529161</v>
      </c>
      <c r="H52" s="44">
        <v>0.19622008273405772</v>
      </c>
      <c r="I52" s="44">
        <v>0.37503219603752846</v>
      </c>
      <c r="J52" s="67">
        <v>32.192172982439075</v>
      </c>
      <c r="L52" s="51"/>
    </row>
    <row r="53" spans="1:12" ht="12.75" thickBot="1" x14ac:dyDescent="0.25"/>
    <row r="54" spans="1:12" ht="40.5" customHeight="1" thickTop="1" thickBot="1" x14ac:dyDescent="0.25">
      <c r="A54" s="26" t="s">
        <v>26</v>
      </c>
      <c r="B54" s="24">
        <f>COUNTA(B20:B52)</f>
        <v>33</v>
      </c>
      <c r="D54" s="54"/>
    </row>
    <row r="55" spans="1:12" ht="12.75" thickTop="1" x14ac:dyDescent="0.2"/>
    <row r="56" spans="1:12" ht="15.75" customHeight="1" x14ac:dyDescent="0.2">
      <c r="A56" s="81" t="s">
        <v>40</v>
      </c>
      <c r="B56" s="13" t="s">
        <v>31</v>
      </c>
      <c r="D56" s="12">
        <f t="shared" ref="D56:J56" si="0">SUBTOTAL(1,D20:D52)</f>
        <v>103.72723225008707</v>
      </c>
      <c r="E56" s="42">
        <f t="shared" si="0"/>
        <v>1053097.1818181819</v>
      </c>
      <c r="F56" s="45">
        <f t="shared" si="0"/>
        <v>0.87437699084265608</v>
      </c>
      <c r="G56" s="12">
        <f t="shared" si="0"/>
        <v>3778920.3030303032</v>
      </c>
      <c r="H56" s="45">
        <f t="shared" si="0"/>
        <v>2.5375152213872737E-2</v>
      </c>
      <c r="I56" s="45">
        <f t="shared" si="0"/>
        <v>0.16239736598419396</v>
      </c>
      <c r="J56" s="12">
        <f t="shared" si="0"/>
        <v>21.369142159187263</v>
      </c>
    </row>
    <row r="57" spans="1:12" x14ac:dyDescent="0.2">
      <c r="A57" s="81"/>
      <c r="B57" s="13" t="s">
        <v>10</v>
      </c>
      <c r="D57" s="12">
        <f t="shared" ref="D57:J57" si="1">SUBTOTAL(7,D20:D52)</f>
        <v>564.34891823314501</v>
      </c>
      <c r="E57" s="42">
        <f t="shared" si="1"/>
        <v>3832186.9730688739</v>
      </c>
      <c r="F57" s="45">
        <f t="shared" si="1"/>
        <v>1.2166638178600115</v>
      </c>
      <c r="G57" s="12">
        <f t="shared" si="1"/>
        <v>11108405.316456916</v>
      </c>
      <c r="H57" s="45">
        <f t="shared" si="1"/>
        <v>0.20882377583768857</v>
      </c>
      <c r="I57" s="45">
        <f t="shared" si="1"/>
        <v>0.38835485256828045</v>
      </c>
      <c r="J57" s="12">
        <f t="shared" si="1"/>
        <v>42.433622995033552</v>
      </c>
    </row>
    <row r="58" spans="1:12" x14ac:dyDescent="0.2">
      <c r="A58" s="81"/>
      <c r="B58" s="13" t="s">
        <v>11</v>
      </c>
      <c r="D58" s="12">
        <f t="shared" ref="D58:J58" si="2">SUBTOTAL(5,D20:D52)</f>
        <v>0.18276061947476538</v>
      </c>
      <c r="E58" s="42">
        <f t="shared" si="2"/>
        <v>-14519637</v>
      </c>
      <c r="F58" s="45">
        <f t="shared" si="2"/>
        <v>3.0808860549549357E-4</v>
      </c>
      <c r="G58" s="12">
        <f t="shared" si="2"/>
        <v>-35686309</v>
      </c>
      <c r="H58" s="45">
        <f t="shared" si="2"/>
        <v>-0.82264540588621315</v>
      </c>
      <c r="I58" s="45">
        <f t="shared" si="2"/>
        <v>-1.5089354933241075</v>
      </c>
      <c r="J58" s="12">
        <f t="shared" si="2"/>
        <v>-0.66192832944407876</v>
      </c>
    </row>
    <row r="59" spans="1:12" x14ac:dyDescent="0.2">
      <c r="A59" s="81"/>
      <c r="B59" s="13" t="s">
        <v>12</v>
      </c>
      <c r="D59" s="12">
        <f t="shared" ref="D59:J59" si="3">SUBTOTAL(4,D20:D52)</f>
        <v>3245.8194888178914</v>
      </c>
      <c r="E59" s="42">
        <f t="shared" si="3"/>
        <v>11621766</v>
      </c>
      <c r="F59" s="45">
        <f t="shared" si="3"/>
        <v>6.0479088650159349</v>
      </c>
      <c r="G59" s="12">
        <f t="shared" si="3"/>
        <v>45655808</v>
      </c>
      <c r="H59" s="45">
        <f t="shared" si="3"/>
        <v>0.33324659999611983</v>
      </c>
      <c r="I59" s="45">
        <f t="shared" si="3"/>
        <v>0.85944763171991911</v>
      </c>
      <c r="J59" s="12">
        <f t="shared" si="3"/>
        <v>165.72474460839953</v>
      </c>
    </row>
    <row r="62" spans="1:12" ht="36" customHeight="1" x14ac:dyDescent="0.2">
      <c r="A62" s="27" t="s">
        <v>57</v>
      </c>
      <c r="B62" s="70" t="s">
        <v>46</v>
      </c>
      <c r="C62" s="70"/>
      <c r="D62" s="70"/>
      <c r="E62" s="70"/>
      <c r="F62" s="70"/>
      <c r="G62" s="70"/>
      <c r="H62" s="70"/>
      <c r="I62" s="70"/>
      <c r="J62" s="70"/>
    </row>
    <row r="64" spans="1:12" ht="12" customHeight="1" x14ac:dyDescent="0.2">
      <c r="B64" s="43" t="s">
        <v>20</v>
      </c>
      <c r="C64" s="77" t="s">
        <v>15</v>
      </c>
      <c r="D64" s="77"/>
      <c r="E64" s="32"/>
    </row>
    <row r="65" spans="2:10" ht="14.25" x14ac:dyDescent="0.2">
      <c r="B65" s="2" t="s">
        <v>48</v>
      </c>
      <c r="C65" s="3">
        <f>COUNTIF(D19:D52,"&gt;=0")-COUNTIF(D19:D52,"&gt;1,1")</f>
        <v>9</v>
      </c>
      <c r="D65" s="4">
        <f>+C65/$B$54</f>
        <v>0.27272727272727271</v>
      </c>
      <c r="E65" s="30"/>
      <c r="G65" s="17"/>
    </row>
    <row r="66" spans="2:10" ht="14.25" x14ac:dyDescent="0.2">
      <c r="B66" s="2" t="s">
        <v>77</v>
      </c>
      <c r="C66" s="3">
        <f>COUNTIF(D20:D52,"&gt;=1,1")-COUNTIF(D20:D52,"&gt;1,2")</f>
        <v>3</v>
      </c>
      <c r="D66" s="4">
        <f t="shared" ref="D66:D67" si="4">+C66/$B$54</f>
        <v>9.0909090909090912E-2</v>
      </c>
      <c r="E66" s="30"/>
    </row>
    <row r="67" spans="2:10" ht="14.25" x14ac:dyDescent="0.2">
      <c r="B67" s="2" t="s">
        <v>78</v>
      </c>
      <c r="C67" s="3">
        <f>COUNTIF(D20:D52,"&gt;=1,2")</f>
        <v>21</v>
      </c>
      <c r="D67" s="4">
        <f t="shared" si="4"/>
        <v>0.63636363636363635</v>
      </c>
      <c r="E67" s="30"/>
    </row>
    <row r="68" spans="2:10" ht="14.25" x14ac:dyDescent="0.2">
      <c r="B68" s="28" t="s">
        <v>14</v>
      </c>
      <c r="C68" s="5">
        <f>SUM(C65:C67)</f>
        <v>33</v>
      </c>
      <c r="D68" s="6">
        <f>SUM(D65:D67)</f>
        <v>1</v>
      </c>
      <c r="E68" s="31"/>
    </row>
    <row r="72" spans="2:10" ht="36" customHeight="1" x14ac:dyDescent="0.2">
      <c r="B72" s="70" t="s">
        <v>45</v>
      </c>
      <c r="C72" s="70"/>
      <c r="D72" s="70"/>
      <c r="E72" s="70"/>
      <c r="F72" s="70"/>
      <c r="G72" s="70"/>
      <c r="H72" s="70"/>
      <c r="I72" s="70"/>
      <c r="J72" s="70"/>
    </row>
    <row r="74" spans="2:10" ht="12" customHeight="1" x14ac:dyDescent="0.2">
      <c r="B74" s="29" t="s">
        <v>20</v>
      </c>
      <c r="C74" s="82" t="s">
        <v>15</v>
      </c>
      <c r="D74" s="83"/>
      <c r="E74" s="32"/>
    </row>
    <row r="75" spans="2:10" ht="14.25" x14ac:dyDescent="0.2">
      <c r="B75" s="2" t="s">
        <v>23</v>
      </c>
      <c r="C75" s="3">
        <f>COUNTIF(E20:E52,"&lt;0")</f>
        <v>8</v>
      </c>
      <c r="D75" s="4">
        <f>+C75/$B$54</f>
        <v>0.24242424242424243</v>
      </c>
      <c r="E75" s="30"/>
    </row>
    <row r="76" spans="2:10" ht="14.25" x14ac:dyDescent="0.2">
      <c r="B76" s="2" t="s">
        <v>122</v>
      </c>
      <c r="C76" s="3">
        <f>COUNTIFS(E20:E52,"&gt;0",E20:E52,"&lt;52500")</f>
        <v>1</v>
      </c>
      <c r="D76" s="4">
        <f>+C76/$B$54</f>
        <v>3.0303030303030304E-2</v>
      </c>
      <c r="E76" s="30"/>
    </row>
    <row r="77" spans="2:10" ht="14.25" x14ac:dyDescent="0.2">
      <c r="B77" s="2" t="s">
        <v>123</v>
      </c>
      <c r="C77" s="3">
        <f>COUNTIF(E14:E52,"&gt;52500")</f>
        <v>24</v>
      </c>
      <c r="D77" s="4">
        <f>+C77/$B$54</f>
        <v>0.72727272727272729</v>
      </c>
      <c r="E77" s="30"/>
    </row>
    <row r="78" spans="2:10" ht="14.25" x14ac:dyDescent="0.2">
      <c r="B78" s="28" t="s">
        <v>14</v>
      </c>
      <c r="C78" s="5">
        <f>SUM(C75:C77)</f>
        <v>33</v>
      </c>
      <c r="D78" s="6">
        <f>SUM(D75:D77)</f>
        <v>1</v>
      </c>
      <c r="E78" s="31"/>
    </row>
    <row r="79" spans="2:10" x14ac:dyDescent="0.2">
      <c r="C79" s="17">
        <f>+F11</f>
        <v>52500000</v>
      </c>
    </row>
    <row r="83" spans="2:10" ht="36" customHeight="1" x14ac:dyDescent="0.2">
      <c r="B83" s="70" t="s">
        <v>44</v>
      </c>
      <c r="C83" s="70"/>
      <c r="D83" s="70"/>
      <c r="E83" s="70"/>
      <c r="F83" s="70"/>
      <c r="G83" s="70"/>
      <c r="H83" s="70"/>
      <c r="I83" s="70"/>
      <c r="J83" s="70"/>
    </row>
    <row r="85" spans="2:10" ht="12" customHeight="1" x14ac:dyDescent="0.2">
      <c r="B85" s="29" t="s">
        <v>20</v>
      </c>
      <c r="C85" s="82" t="s">
        <v>15</v>
      </c>
      <c r="D85" s="83"/>
      <c r="E85" s="35"/>
    </row>
    <row r="86" spans="2:10" ht="14.25" x14ac:dyDescent="0.2">
      <c r="B86" s="2" t="s">
        <v>70</v>
      </c>
      <c r="C86" s="3">
        <f>COUNTIF(F20:F52,"&gt;=0")-COUNTIF(F20:F52,"&gt;15%")</f>
        <v>3</v>
      </c>
      <c r="D86" s="33">
        <f t="shared" ref="D86:D90" si="5">+C86/$B$54</f>
        <v>9.0909090909090912E-2</v>
      </c>
      <c r="E86" s="57">
        <v>2</v>
      </c>
      <c r="F86" s="8"/>
    </row>
    <row r="87" spans="2:10" ht="14.25" x14ac:dyDescent="0.2">
      <c r="B87" s="2" t="s">
        <v>71</v>
      </c>
      <c r="C87" s="3">
        <f>COUNTIF(F20:F52,"&lt;30%")-COUNTIF(F20:F52,"&lt;15,01%")</f>
        <v>5</v>
      </c>
      <c r="D87" s="33">
        <f t="shared" si="5"/>
        <v>0.15151515151515152</v>
      </c>
      <c r="E87" s="57">
        <v>8</v>
      </c>
      <c r="F87" s="8"/>
    </row>
    <row r="88" spans="2:10" ht="14.25" x14ac:dyDescent="0.2">
      <c r="B88" s="2" t="s">
        <v>72</v>
      </c>
      <c r="C88" s="3">
        <f>COUNTIF(F20:F52,"&lt;45%")-COUNTIF(F20:F52,"&lt;30,01%")</f>
        <v>4</v>
      </c>
      <c r="D88" s="33">
        <f t="shared" si="5"/>
        <v>0.12121212121212122</v>
      </c>
      <c r="E88" s="57">
        <v>21</v>
      </c>
      <c r="F88" s="8"/>
    </row>
    <row r="89" spans="2:10" ht="14.25" x14ac:dyDescent="0.2">
      <c r="B89" s="2" t="s">
        <v>74</v>
      </c>
      <c r="C89" s="3">
        <f>COUNTIF(F20:F52,"&lt;=70%")-COUNTIF(F20:F52,"&lt;45,%")</f>
        <v>12</v>
      </c>
      <c r="D89" s="33">
        <f t="shared" si="5"/>
        <v>0.36363636363636365</v>
      </c>
      <c r="E89" s="57">
        <v>16</v>
      </c>
      <c r="F89" s="8"/>
    </row>
    <row r="90" spans="2:10" ht="14.25" x14ac:dyDescent="0.2">
      <c r="B90" s="2" t="s">
        <v>73</v>
      </c>
      <c r="C90" s="3">
        <f>COUNTIF(F20:F52,"&gt;70,01%")</f>
        <v>9</v>
      </c>
      <c r="D90" s="33">
        <f t="shared" si="5"/>
        <v>0.27272727272727271</v>
      </c>
      <c r="E90" s="57">
        <v>5</v>
      </c>
      <c r="F90" s="8"/>
    </row>
    <row r="91" spans="2:10" ht="14.25" x14ac:dyDescent="0.2">
      <c r="B91" s="28" t="s">
        <v>14</v>
      </c>
      <c r="C91" s="5">
        <f>SUM(C86:C90)</f>
        <v>33</v>
      </c>
      <c r="D91" s="34">
        <f>SUM(D86:D90)</f>
        <v>1</v>
      </c>
      <c r="E91" s="58">
        <f>SUM(E86:E90)</f>
        <v>52</v>
      </c>
    </row>
    <row r="96" spans="2:10" ht="36" customHeight="1" x14ac:dyDescent="0.2">
      <c r="B96" s="70" t="s">
        <v>41</v>
      </c>
      <c r="C96" s="70"/>
      <c r="D96" s="70"/>
      <c r="E96" s="70"/>
      <c r="F96" s="70"/>
      <c r="G96" s="70"/>
      <c r="H96" s="70"/>
      <c r="I96" s="70"/>
      <c r="J96" s="70"/>
    </row>
    <row r="98" spans="2:10" ht="12" customHeight="1" x14ac:dyDescent="0.2">
      <c r="B98" s="29" t="s">
        <v>20</v>
      </c>
      <c r="C98" s="73" t="s">
        <v>15</v>
      </c>
      <c r="D98" s="73"/>
      <c r="E98" s="36"/>
    </row>
    <row r="99" spans="2:10" ht="14.25" x14ac:dyDescent="0.2">
      <c r="B99" s="2" t="s">
        <v>23</v>
      </c>
      <c r="C99" s="3">
        <f>COUNTIF(G20:G52,"&lt;0")</f>
        <v>5</v>
      </c>
      <c r="D99" s="4">
        <f>+C99/$B$54</f>
        <v>0.15151515151515152</v>
      </c>
      <c r="E99" s="9"/>
    </row>
    <row r="100" spans="2:10" ht="14.25" x14ac:dyDescent="0.2">
      <c r="B100" s="2" t="s">
        <v>24</v>
      </c>
      <c r="C100" s="3">
        <f>COUNTIF(G20:G52,"=0")</f>
        <v>0</v>
      </c>
      <c r="D100" s="4">
        <f>+C100/$B$54</f>
        <v>0</v>
      </c>
      <c r="E100" s="9"/>
    </row>
    <row r="101" spans="2:10" ht="14.25" x14ac:dyDescent="0.2">
      <c r="B101" s="2" t="s">
        <v>125</v>
      </c>
      <c r="C101" s="3">
        <f>COUNTIFS(G20:G52,"&gt;0",G20:G52,"&lt;104900")</f>
        <v>0</v>
      </c>
      <c r="D101" s="4">
        <f>+C101/$B$54</f>
        <v>0</v>
      </c>
      <c r="E101" s="9"/>
    </row>
    <row r="102" spans="2:10" ht="14.25" x14ac:dyDescent="0.2">
      <c r="B102" s="2" t="s">
        <v>124</v>
      </c>
      <c r="C102" s="3">
        <f>COUNTIF(G20:G52,"&gt;104900")</f>
        <v>28</v>
      </c>
      <c r="D102" s="4">
        <f>+C102/$B$54</f>
        <v>0.84848484848484851</v>
      </c>
      <c r="E102" s="9"/>
    </row>
    <row r="103" spans="2:10" ht="14.25" x14ac:dyDescent="0.2">
      <c r="B103" s="28" t="s">
        <v>14</v>
      </c>
      <c r="C103" s="5">
        <f>SUM(C99:C102)</f>
        <v>33</v>
      </c>
      <c r="D103" s="6">
        <f>SUM(D99:D102)</f>
        <v>1</v>
      </c>
      <c r="E103" s="7"/>
    </row>
    <row r="104" spans="2:10" x14ac:dyDescent="0.2">
      <c r="C104" s="17">
        <f>+H11</f>
        <v>104900000</v>
      </c>
    </row>
    <row r="105" spans="2:10" x14ac:dyDescent="0.2">
      <c r="C105" s="54"/>
    </row>
    <row r="108" spans="2:10" ht="36" customHeight="1" x14ac:dyDescent="0.2">
      <c r="B108" s="70" t="s">
        <v>42</v>
      </c>
      <c r="C108" s="70"/>
      <c r="D108" s="70"/>
      <c r="E108" s="70"/>
      <c r="F108" s="70"/>
      <c r="G108" s="70"/>
      <c r="H108" s="70"/>
      <c r="I108" s="70"/>
      <c r="J108" s="70"/>
    </row>
    <row r="110" spans="2:10" ht="12" customHeight="1" x14ac:dyDescent="0.2">
      <c r="B110" s="29" t="s">
        <v>20</v>
      </c>
      <c r="C110" s="77" t="s">
        <v>15</v>
      </c>
      <c r="D110" s="77"/>
      <c r="E110" s="37"/>
    </row>
    <row r="111" spans="2:10" ht="14.25" x14ac:dyDescent="0.2">
      <c r="B111" s="2" t="s">
        <v>25</v>
      </c>
      <c r="C111" s="3">
        <f>COUNTIF(J20:J52,"=0")</f>
        <v>0</v>
      </c>
      <c r="D111" s="4">
        <f t="shared" ref="D111:D115" si="6">+C111/$B$54</f>
        <v>0</v>
      </c>
      <c r="E111" s="9"/>
    </row>
    <row r="112" spans="2:10" ht="14.25" x14ac:dyDescent="0.2">
      <c r="B112" s="2" t="s">
        <v>23</v>
      </c>
      <c r="C112" s="3">
        <f>COUNTIF(J20:J52,"&lt;0")</f>
        <v>2</v>
      </c>
      <c r="D112" s="4">
        <f t="shared" si="6"/>
        <v>6.0606060606060608E-2</v>
      </c>
      <c r="E112" s="9"/>
    </row>
    <row r="113" spans="2:10" ht="14.25" x14ac:dyDescent="0.2">
      <c r="B113" s="2" t="s">
        <v>21</v>
      </c>
      <c r="C113" s="3">
        <f>COUNTIF(J20:J52,"&gt;0")-COUNTIF(J20:J52,"&gt;1")</f>
        <v>0</v>
      </c>
      <c r="D113" s="4">
        <f t="shared" si="6"/>
        <v>0</v>
      </c>
      <c r="E113" s="9"/>
    </row>
    <row r="114" spans="2:10" ht="14.25" x14ac:dyDescent="0.2">
      <c r="B114" s="2" t="s">
        <v>75</v>
      </c>
      <c r="C114" s="60">
        <f>COUNTIF(J20:J52,"&gt;=1")-COUNTIF(J20:J52,"&gt;2")</f>
        <v>2</v>
      </c>
      <c r="D114" s="4">
        <f t="shared" si="6"/>
        <v>6.0606060606060608E-2</v>
      </c>
      <c r="E114" s="9"/>
    </row>
    <row r="115" spans="2:10" ht="14.25" x14ac:dyDescent="0.2">
      <c r="B115" s="2" t="s">
        <v>76</v>
      </c>
      <c r="C115" s="62">
        <f>(COUNTIF(J20:J52,"&gt;=2")+COUNTBLANK(J20:J52))</f>
        <v>29</v>
      </c>
      <c r="D115" s="4">
        <f t="shared" si="6"/>
        <v>0.87878787878787878</v>
      </c>
      <c r="E115" s="9"/>
    </row>
    <row r="116" spans="2:10" ht="14.25" x14ac:dyDescent="0.2">
      <c r="B116" s="28" t="s">
        <v>14</v>
      </c>
      <c r="C116" s="61">
        <f>SUM(C111:C115)</f>
        <v>33</v>
      </c>
      <c r="D116" s="6">
        <f>SUM(D111:D115)</f>
        <v>1</v>
      </c>
      <c r="E116" s="7"/>
    </row>
    <row r="117" spans="2:10" x14ac:dyDescent="0.2">
      <c r="C117" s="54"/>
      <c r="E117" s="59"/>
    </row>
    <row r="120" spans="2:10" ht="36" customHeight="1" x14ac:dyDescent="0.2">
      <c r="B120" s="70" t="s">
        <v>43</v>
      </c>
      <c r="C120" s="70"/>
      <c r="D120" s="70"/>
      <c r="E120" s="70"/>
      <c r="F120" s="70"/>
      <c r="G120" s="70"/>
      <c r="H120" s="70"/>
      <c r="I120" s="70"/>
      <c r="J120" s="70"/>
    </row>
    <row r="122" spans="2:10" ht="14.25" x14ac:dyDescent="0.2">
      <c r="B122" s="29" t="s">
        <v>20</v>
      </c>
      <c r="C122" s="71" t="s">
        <v>15</v>
      </c>
      <c r="D122" s="71"/>
      <c r="E122" s="32"/>
    </row>
    <row r="123" spans="2:10" ht="14.25" x14ac:dyDescent="0.2">
      <c r="B123" s="2" t="s">
        <v>23</v>
      </c>
      <c r="C123" s="3">
        <f>COUNTIF(H20:H52,"&lt;0%")</f>
        <v>8</v>
      </c>
      <c r="D123" s="4">
        <f t="shared" ref="D123:D127" si="7">+C123/$B$54</f>
        <v>0.24242424242424243</v>
      </c>
      <c r="E123" s="30"/>
    </row>
    <row r="124" spans="2:10" ht="14.25" x14ac:dyDescent="0.2">
      <c r="B124" s="2" t="s">
        <v>24</v>
      </c>
      <c r="C124" s="3">
        <f>COUNTIF(H20:H52,"=0%")</f>
        <v>0</v>
      </c>
      <c r="D124" s="4">
        <f t="shared" si="7"/>
        <v>0</v>
      </c>
      <c r="E124" s="30"/>
    </row>
    <row r="125" spans="2:10" ht="14.25" x14ac:dyDescent="0.2">
      <c r="B125" s="2" t="s">
        <v>21</v>
      </c>
      <c r="C125" s="3">
        <f>COUNTIF(H20:H52,"&gt;0%")-COUNTIF(H20:H52,"&gt;1%")</f>
        <v>2</v>
      </c>
      <c r="D125" s="4">
        <f t="shared" si="7"/>
        <v>6.0606060606060608E-2</v>
      </c>
      <c r="E125" s="30"/>
    </row>
    <row r="126" spans="2:10" ht="14.25" x14ac:dyDescent="0.2">
      <c r="B126" s="2" t="s">
        <v>22</v>
      </c>
      <c r="C126" s="3">
        <f>COUNTIF(H20:H52,"&gt;1%")-COUNTIF(H20:H52,"&gt;2%")</f>
        <v>0</v>
      </c>
      <c r="D126" s="4">
        <f t="shared" si="7"/>
        <v>0</v>
      </c>
      <c r="E126" s="30"/>
    </row>
    <row r="127" spans="2:10" ht="14.25" x14ac:dyDescent="0.2">
      <c r="B127" s="2" t="s">
        <v>76</v>
      </c>
      <c r="C127" s="3">
        <f>COUNTIF(H20:H52,"&gt;=2%")</f>
        <v>23</v>
      </c>
      <c r="D127" s="4">
        <f t="shared" si="7"/>
        <v>0.69696969696969702</v>
      </c>
      <c r="E127" s="30"/>
    </row>
    <row r="128" spans="2:10" ht="14.25" x14ac:dyDescent="0.2">
      <c r="B128" s="28" t="s">
        <v>14</v>
      </c>
      <c r="C128" s="5">
        <f>SUM(C123:C127)</f>
        <v>33</v>
      </c>
      <c r="D128" s="6">
        <f>SUM(D123:D127)</f>
        <v>1</v>
      </c>
      <c r="E128" s="31"/>
    </row>
    <row r="132" spans="2:10" ht="36" customHeight="1" x14ac:dyDescent="0.2">
      <c r="B132" s="72" t="s">
        <v>47</v>
      </c>
      <c r="C132" s="72"/>
      <c r="D132" s="72"/>
      <c r="E132" s="72"/>
      <c r="F132" s="72"/>
      <c r="G132" s="72"/>
      <c r="H132" s="72"/>
      <c r="I132" s="72"/>
      <c r="J132" s="72"/>
    </row>
    <row r="134" spans="2:10" ht="12" customHeight="1" x14ac:dyDescent="0.2">
      <c r="B134" s="29" t="s">
        <v>20</v>
      </c>
      <c r="C134" s="73" t="s">
        <v>15</v>
      </c>
      <c r="D134" s="73"/>
      <c r="E134" s="37"/>
    </row>
    <row r="135" spans="2:10" ht="14.25" x14ac:dyDescent="0.2">
      <c r="B135" s="2" t="s">
        <v>23</v>
      </c>
      <c r="C135" s="3">
        <f>COUNTIF(I20:I52,"&lt;0%")</f>
        <v>7</v>
      </c>
      <c r="D135" s="4">
        <f t="shared" ref="D135:D139" si="8">+C135/$B$54</f>
        <v>0.21212121212121213</v>
      </c>
      <c r="E135" s="9"/>
    </row>
    <row r="136" spans="2:10" ht="14.25" x14ac:dyDescent="0.2">
      <c r="B136" s="2" t="s">
        <v>24</v>
      </c>
      <c r="C136" s="3">
        <f>COUNTIF(I20:I52,"=0%")</f>
        <v>0</v>
      </c>
      <c r="D136" s="4">
        <f t="shared" si="8"/>
        <v>0</v>
      </c>
      <c r="E136" s="9"/>
    </row>
    <row r="137" spans="2:10" ht="14.25" x14ac:dyDescent="0.2">
      <c r="B137" s="2" t="s">
        <v>21</v>
      </c>
      <c r="C137" s="3">
        <f>COUNTIF(I20:I52,"&gt;0%")-COUNTIF(I20:I52,"&gt;1%")</f>
        <v>0</v>
      </c>
      <c r="D137" s="4">
        <f t="shared" si="8"/>
        <v>0</v>
      </c>
      <c r="E137" s="9"/>
    </row>
    <row r="138" spans="2:10" ht="14.25" x14ac:dyDescent="0.2">
      <c r="B138" s="2" t="s">
        <v>22</v>
      </c>
      <c r="C138" s="3">
        <f>COUNTIF(I20:I52,"&gt;1%")-COUNTIF(I20:I52,"&gt;2%")</f>
        <v>1</v>
      </c>
      <c r="D138" s="4">
        <f t="shared" si="8"/>
        <v>3.0303030303030304E-2</v>
      </c>
      <c r="E138" s="9"/>
    </row>
    <row r="139" spans="2:10" ht="14.25" x14ac:dyDescent="0.2">
      <c r="B139" s="2" t="s">
        <v>76</v>
      </c>
      <c r="C139" s="3">
        <f>COUNTIF(I20:I52,"&gt;=2%")</f>
        <v>25</v>
      </c>
      <c r="D139" s="4">
        <f t="shared" si="8"/>
        <v>0.75757575757575757</v>
      </c>
      <c r="E139" s="9"/>
    </row>
    <row r="140" spans="2:10" ht="14.25" x14ac:dyDescent="0.2">
      <c r="B140" s="28" t="s">
        <v>14</v>
      </c>
      <c r="C140" s="5">
        <f>SUM(C135:C139)</f>
        <v>33</v>
      </c>
      <c r="D140" s="6">
        <f>SUM(D135:D139)</f>
        <v>1</v>
      </c>
      <c r="E140" s="7"/>
    </row>
    <row r="145" spans="1:13" ht="97.5" customHeight="1" x14ac:dyDescent="0.2">
      <c r="A145" s="27" t="s">
        <v>61</v>
      </c>
      <c r="B145" s="52" t="s">
        <v>50</v>
      </c>
      <c r="C145" s="74" t="s">
        <v>27</v>
      </c>
      <c r="D145" s="74"/>
      <c r="E145" s="74"/>
      <c r="F145" s="52" t="s">
        <v>49</v>
      </c>
      <c r="G145" s="52" t="s">
        <v>56</v>
      </c>
      <c r="H145" s="52" t="s">
        <v>51</v>
      </c>
      <c r="I145" s="52" t="s">
        <v>52</v>
      </c>
      <c r="J145" s="52" t="s">
        <v>53</v>
      </c>
      <c r="K145" s="52" t="s">
        <v>54</v>
      </c>
      <c r="L145" s="52" t="s">
        <v>55</v>
      </c>
      <c r="M145" s="52" t="s">
        <v>28</v>
      </c>
    </row>
    <row r="146" spans="1:13" ht="53.25" customHeight="1" x14ac:dyDescent="0.2">
      <c r="B146" s="46"/>
      <c r="C146" s="75"/>
      <c r="D146" s="75"/>
      <c r="E146" s="75"/>
      <c r="F146" s="47"/>
      <c r="G146" s="48"/>
      <c r="H146" s="49"/>
      <c r="I146" s="48"/>
      <c r="J146" s="47"/>
      <c r="K146" s="50"/>
      <c r="L146" s="50"/>
      <c r="M146" s="48"/>
    </row>
    <row r="147" spans="1:13" ht="12.75" thickBot="1" x14ac:dyDescent="0.25"/>
    <row r="148" spans="1:13" ht="37.5" thickTop="1" thickBot="1" x14ac:dyDescent="0.25">
      <c r="B148" s="76" t="s">
        <v>118</v>
      </c>
      <c r="C148" s="76"/>
      <c r="D148" s="55" t="s">
        <v>3</v>
      </c>
      <c r="E148" s="55" t="s">
        <v>4</v>
      </c>
      <c r="F148" s="55" t="s">
        <v>5</v>
      </c>
      <c r="G148" s="55" t="s">
        <v>6</v>
      </c>
      <c r="H148" s="55" t="s">
        <v>7</v>
      </c>
      <c r="I148" s="55" t="s">
        <v>8</v>
      </c>
      <c r="J148" s="56" t="s">
        <v>9</v>
      </c>
    </row>
    <row r="149" spans="1:13" ht="25.5" thickTop="1" thickBot="1" x14ac:dyDescent="0.25">
      <c r="A149" s="25" t="s">
        <v>58</v>
      </c>
      <c r="B149" s="68" t="s">
        <v>59</v>
      </c>
      <c r="C149" s="69"/>
      <c r="D149" s="16" t="s">
        <v>64</v>
      </c>
      <c r="E149" s="15" t="s">
        <v>120</v>
      </c>
      <c r="F149" s="15" t="s">
        <v>32</v>
      </c>
      <c r="G149" s="15" t="s">
        <v>121</v>
      </c>
      <c r="H149" s="15" t="s">
        <v>62</v>
      </c>
      <c r="I149" s="15" t="s">
        <v>62</v>
      </c>
      <c r="J149" s="15" t="s">
        <v>63</v>
      </c>
    </row>
    <row r="150" spans="1:13" ht="25.5" customHeight="1" thickTop="1" thickBot="1" x14ac:dyDescent="0.25">
      <c r="B150" s="68" t="s">
        <v>17</v>
      </c>
      <c r="C150" s="69"/>
      <c r="D150" s="40">
        <f>COUNTIF(D20:D52,"&gt;=1,2")/$B$54</f>
        <v>0.63636363636363635</v>
      </c>
      <c r="E150" s="41">
        <f>COUNTIF(E20:E52,"&gt;=52500")/$B$54</f>
        <v>0.72727272727272729</v>
      </c>
      <c r="F150" s="41">
        <f>COUNTIF(F20:F52,"&lt;=70%")/$B$54</f>
        <v>0.72727272727272729</v>
      </c>
      <c r="G150" s="41">
        <f>COUNTIF(G20:G52,"&gt;=104900")/$B$54</f>
        <v>0.84848484848484851</v>
      </c>
      <c r="H150" s="41">
        <f>COUNTIF(H20:H52,"&gt;=2%")/$B$54</f>
        <v>0.69696969696969702</v>
      </c>
      <c r="I150" s="41">
        <f>COUNTIF(I20:I52,"&gt;=2%")/$B$54</f>
        <v>0.75757575757575757</v>
      </c>
      <c r="J150" s="53">
        <f>(COUNTIF(J20:J52,"&gt;=2")+COUNTBLANK(J20:J52))/$B$54</f>
        <v>0.87878787878787878</v>
      </c>
    </row>
    <row r="151" spans="1:13" ht="12.75" thickTop="1" x14ac:dyDescent="0.2"/>
    <row r="152" spans="1:13" x14ac:dyDescent="0.2">
      <c r="G152" s="38"/>
    </row>
    <row r="153" spans="1:13" x14ac:dyDescent="0.2">
      <c r="G153" s="38"/>
    </row>
    <row r="154" spans="1:13" x14ac:dyDescent="0.2">
      <c r="G154" s="38"/>
    </row>
    <row r="156" spans="1:13" ht="18.75" x14ac:dyDescent="0.2">
      <c r="A156" s="1" t="s">
        <v>18</v>
      </c>
      <c r="B156" s="1" t="s">
        <v>117</v>
      </c>
    </row>
    <row r="157" spans="1:13" ht="18.75" x14ac:dyDescent="0.2">
      <c r="A157" s="1" t="s">
        <v>126</v>
      </c>
      <c r="B157" s="1" t="s">
        <v>127</v>
      </c>
    </row>
    <row r="158" spans="1:13" ht="18.75" x14ac:dyDescent="0.2">
      <c r="A158" s="1" t="s">
        <v>19</v>
      </c>
      <c r="B158" s="1" t="s">
        <v>69</v>
      </c>
      <c r="C158" s="1"/>
      <c r="L158" s="54"/>
    </row>
    <row r="159" spans="1:13" x14ac:dyDescent="0.2">
      <c r="G159" s="38"/>
      <c r="L159" s="54"/>
    </row>
    <row r="160" spans="1:13" x14ac:dyDescent="0.2">
      <c r="E160" s="17">
        <f>+F11</f>
        <v>52500000</v>
      </c>
      <c r="G160" s="17">
        <f>+H11</f>
        <v>104900000</v>
      </c>
    </row>
    <row r="161" spans="7:7" x14ac:dyDescent="0.2">
      <c r="G161" s="38"/>
    </row>
    <row r="162" spans="7:7" x14ac:dyDescent="0.2">
      <c r="G162" s="38"/>
    </row>
  </sheetData>
  <autoFilter ref="A19:J52" xr:uid="{00000000-0009-0000-0000-000000000000}"/>
  <sortState xmlns:xlrd2="http://schemas.microsoft.com/office/spreadsheetml/2017/richdata2" ref="L20:M136">
    <sortCondition ref="L20:L136"/>
  </sortState>
  <mergeCells count="27">
    <mergeCell ref="A10:H10"/>
    <mergeCell ref="F3:J3"/>
    <mergeCell ref="F4:J4"/>
    <mergeCell ref="F5:J5"/>
    <mergeCell ref="B8:F8"/>
    <mergeCell ref="H8:J8"/>
    <mergeCell ref="C110:D110"/>
    <mergeCell ref="A13:J13"/>
    <mergeCell ref="A56:A59"/>
    <mergeCell ref="B62:J62"/>
    <mergeCell ref="C64:D64"/>
    <mergeCell ref="B72:J72"/>
    <mergeCell ref="C74:D74"/>
    <mergeCell ref="B83:J83"/>
    <mergeCell ref="C85:D85"/>
    <mergeCell ref="B96:J96"/>
    <mergeCell ref="C98:D98"/>
    <mergeCell ref="B108:J108"/>
    <mergeCell ref="B149:C149"/>
    <mergeCell ref="B150:C150"/>
    <mergeCell ref="B120:J120"/>
    <mergeCell ref="C122:D122"/>
    <mergeCell ref="B132:J132"/>
    <mergeCell ref="C134:D134"/>
    <mergeCell ref="C145:E145"/>
    <mergeCell ref="C146:E146"/>
    <mergeCell ref="B148:C148"/>
  </mergeCells>
  <pageMargins left="0.70866141732283472" right="0.70866141732283472" top="0.74803149606299213" bottom="0.74803149606299213" header="0.31496062992125984" footer="0.31496062992125984"/>
  <pageSetup scale="4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116C4-B2BE-491C-A0D6-D40846328DEF}">
  <dimension ref="A1"/>
  <sheetViews>
    <sheetView workbookViewId="0">
      <selection activeCell="I19" sqref="I1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28D0B-769F-484C-A199-83D672D6EEDD}">
  <dimension ref="B7:B10"/>
  <sheetViews>
    <sheetView workbookViewId="0">
      <selection activeCell="B9" sqref="B9:B37"/>
    </sheetView>
  </sheetViews>
  <sheetFormatPr baseColWidth="10" defaultRowHeight="15" x14ac:dyDescent="0.25"/>
  <sheetData>
    <row r="7" spans="2:2" x14ac:dyDescent="0.25">
      <c r="B7" t="s">
        <v>65</v>
      </c>
    </row>
    <row r="8" spans="2:2" x14ac:dyDescent="0.25">
      <c r="B8" t="s">
        <v>68</v>
      </c>
    </row>
    <row r="9" spans="2:2" x14ac:dyDescent="0.25">
      <c r="B9" t="s">
        <v>66</v>
      </c>
    </row>
    <row r="10" spans="2:2" x14ac:dyDescent="0.25">
      <c r="B10" t="s">
        <v>67</v>
      </c>
    </row>
  </sheetData>
  <sortState xmlns:xlrd2="http://schemas.microsoft.com/office/spreadsheetml/2017/richdata2" ref="B7:B66">
    <sortCondition ref="B7:B6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 1</vt:lpstr>
      <vt:lpstr>Hoja2</vt:lpstr>
      <vt:lpstr>Hoja1</vt:lpstr>
      <vt:lpstr>'HOJA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Katherinne Rodriguez Lozano</dc:creator>
  <cp:lastModifiedBy>Doris Juliana Peralta Rivera</cp:lastModifiedBy>
  <cp:lastPrinted>2020-06-26T00:06:40Z</cp:lastPrinted>
  <dcterms:created xsi:type="dcterms:W3CDTF">2018-11-28T12:47:08Z</dcterms:created>
  <dcterms:modified xsi:type="dcterms:W3CDTF">2026-04-08T19:25:41Z</dcterms:modified>
</cp:coreProperties>
</file>