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agiraldos\AppData\Local\Microsoft\Windows\INetCache\Content.Outlook\4GJE38RZ\"/>
    </mc:Choice>
  </mc:AlternateContent>
  <xr:revisionPtr revIDLastSave="0" documentId="13_ncr:1_{BB3E141E-CBFF-4D8D-B9D5-1DF6E6C368E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studios previos" sheetId="1" r:id="rId1"/>
    <sheet name="PRIMER INFORME FINANCIERO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aAREl0nCp6Sujq+mWiQ520hgFeJ38zpY72ds16y6BWY="/>
    </ext>
  </extLst>
</workbook>
</file>

<file path=xl/calcChain.xml><?xml version="1.0" encoding="utf-8"?>
<calcChain xmlns="http://schemas.openxmlformats.org/spreadsheetml/2006/main">
  <c r="C43" i="1" l="1"/>
  <c r="C45" i="1" s="1"/>
  <c r="J10" i="1"/>
  <c r="J11" i="1"/>
  <c r="J12" i="1"/>
  <c r="J13" i="1"/>
  <c r="J9" i="1"/>
  <c r="L21" i="1"/>
  <c r="L22" i="1"/>
  <c r="L23" i="1"/>
  <c r="L24" i="1"/>
  <c r="L25" i="1"/>
  <c r="L26" i="1"/>
  <c r="L27" i="1"/>
  <c r="L28" i="1"/>
  <c r="L29" i="1"/>
  <c r="L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K20" i="1"/>
  <c r="J20" i="1"/>
  <c r="I30" i="1"/>
  <c r="H30" i="1"/>
  <c r="I29" i="1"/>
  <c r="I28" i="1"/>
  <c r="I27" i="1"/>
  <c r="I26" i="1"/>
  <c r="I25" i="1"/>
  <c r="I24" i="1"/>
  <c r="I23" i="1"/>
  <c r="I22" i="1"/>
  <c r="I21" i="1"/>
  <c r="I20" i="1"/>
  <c r="K10" i="1"/>
  <c r="K12" i="1"/>
  <c r="K13" i="1"/>
  <c r="I10" i="1"/>
  <c r="I11" i="1"/>
  <c r="K11" i="1" s="1"/>
  <c r="I12" i="1"/>
  <c r="I13" i="1"/>
  <c r="I9" i="1"/>
  <c r="K9" i="1" s="1"/>
  <c r="G19" i="1"/>
  <c r="E30" i="1"/>
  <c r="E31" i="1"/>
  <c r="F14" i="1"/>
  <c r="G10" i="1"/>
  <c r="G11" i="1"/>
  <c r="G12" i="1"/>
  <c r="G13" i="1"/>
  <c r="G9" i="1"/>
  <c r="F25" i="1"/>
  <c r="F24" i="1"/>
  <c r="G24" i="1" s="1"/>
  <c r="F23" i="1"/>
  <c r="F22" i="1"/>
  <c r="G22" i="1" s="1"/>
  <c r="F21" i="1"/>
  <c r="G21" i="1" s="1"/>
  <c r="F20" i="1"/>
  <c r="G20" i="1" s="1"/>
  <c r="F26" i="1"/>
  <c r="G27" i="1"/>
  <c r="G26" i="1"/>
  <c r="G25" i="1"/>
  <c r="G23" i="1"/>
  <c r="G28" i="1"/>
  <c r="G29" i="1"/>
  <c r="F27" i="1"/>
  <c r="F28" i="1"/>
  <c r="F29" i="1"/>
  <c r="F51" i="2"/>
  <c r="E51" i="2"/>
  <c r="G51" i="2" s="1"/>
  <c r="G47" i="2"/>
  <c r="G44" i="2"/>
  <c r="G40" i="2"/>
  <c r="G39" i="2"/>
  <c r="G36" i="2"/>
  <c r="G35" i="2"/>
  <c r="G34" i="2"/>
  <c r="G33" i="2"/>
  <c r="G31" i="2"/>
  <c r="G26" i="2"/>
  <c r="F17" i="2"/>
  <c r="F19" i="2" s="1"/>
  <c r="E17" i="2"/>
  <c r="G16" i="2"/>
  <c r="G15" i="2"/>
  <c r="G14" i="2"/>
  <c r="G13" i="2"/>
  <c r="G12" i="2"/>
  <c r="G11" i="2"/>
  <c r="G10" i="2"/>
  <c r="G17" i="2" s="1"/>
  <c r="E29" i="1"/>
  <c r="E28" i="1"/>
  <c r="E27" i="1"/>
  <c r="E26" i="1"/>
  <c r="E25" i="1"/>
  <c r="E24" i="1"/>
  <c r="E22" i="1"/>
  <c r="E21" i="1"/>
  <c r="E20" i="1"/>
  <c r="F13" i="1"/>
  <c r="F12" i="1"/>
  <c r="F11" i="1"/>
  <c r="F9" i="1"/>
  <c r="F54" i="2" l="1"/>
</calcChain>
</file>

<file path=xl/sharedStrings.xml><?xml version="1.0" encoding="utf-8"?>
<sst xmlns="http://schemas.openxmlformats.org/spreadsheetml/2006/main" count="154" uniqueCount="113">
  <si>
    <t xml:space="preserve">                                 </t>
  </si>
  <si>
    <r>
      <rPr>
        <sz val="10"/>
        <color rgb="FF000000"/>
        <rFont val="Arial"/>
        <family val="2"/>
      </rPr>
      <t xml:space="preserve">CONTRATO INTERADMINISTRATIVO </t>
    </r>
    <r>
      <rPr>
        <b/>
        <sz val="10"/>
        <color rgb="FF000000"/>
        <rFont val="Arial"/>
        <family val="2"/>
      </rPr>
      <t>No. CO1.PCCNTR. 8899310 DEL 16 DE ENERO</t>
    </r>
    <r>
      <rPr>
        <sz val="10"/>
        <color rgb="FF000000"/>
        <rFont val="Arial"/>
        <family val="2"/>
      </rPr>
      <t xml:space="preserve"> SUSCRITO CON LA SECRETARÍA DE EDUCACIÓN DEL DISTRITO Y EL CABILDO INDÍGENA MUISCA DE BOSA
</t>
    </r>
  </si>
  <si>
    <t>Equipo de talento humano requerido</t>
  </si>
  <si>
    <t>CANTIDAD</t>
  </si>
  <si>
    <t>CONCEPTO</t>
  </si>
  <si>
    <t>TIEMPO EN MESES</t>
  </si>
  <si>
    <t>VALOR UNITARIO</t>
  </si>
  <si>
    <t>VALOR TOTAL</t>
  </si>
  <si>
    <t>Coordinador/a</t>
  </si>
  <si>
    <t>Pedagogos/as</t>
  </si>
  <si>
    <t>Sabedores/as</t>
  </si>
  <si>
    <t>Auxiliar administrativo</t>
  </si>
  <si>
    <t>Diseñador gráfico *</t>
  </si>
  <si>
    <t>Total gastos talento humano</t>
  </si>
  <si>
    <t>Actividades logísticas</t>
  </si>
  <si>
    <t>2  (Actividades de
pagamento)</t>
  </si>
  <si>
    <t xml:space="preserve">Insumos para pagamentos rituales de armonización para el inicio y cierre de las actividades: Los insumos propios de armonización carbón litúrgico, copal, siete esencias, velón, Ayo, Mambe, Ozca, Ambil, entre otros. </t>
  </si>
  <si>
    <t>2 (Buses)</t>
  </si>
  <si>
    <t>Alquiler de transporte terrestre ida y vuelta con capacidad para 30 o 40 personas en el marco de los pagamentos de inicio y cierre.</t>
  </si>
  <si>
    <t>9 (insumos para espacios de armonización)</t>
  </si>
  <si>
    <t>Armonización propia para los espacios de pilotaje</t>
  </si>
  <si>
    <t>9 (paquetes de material propio)</t>
  </si>
  <si>
    <t>Cada paquete contiene elementos de acuerdo con saber que se vaya a transmitir en el encuentro pilotaje y será manipulado por el sabedor y equipo pedagógico contratado para esta vigencia</t>
  </si>
  <si>
    <t xml:space="preserve">20 (Kits ancestrales) </t>
  </si>
  <si>
    <t>Cada paquete contiene elementos de acuerdo con saber que se vaya a transmitir en el encuentro pilotaje y será entregado a cada uno de los 20 comuneros participantes.</t>
  </si>
  <si>
    <t xml:space="preserve">360 (alimento propio) </t>
  </si>
  <si>
    <t>Alimento propio que se entregará en el marco de la jornada pedagógica, dos tertulias y la asamblea de socialización del capitulo.</t>
  </si>
  <si>
    <t>300 (cartillas)</t>
  </si>
  <si>
    <t>Cartillas impresas con el contenido pedagógico diseñado por el equipo pedagógico contratado y comuneros.</t>
  </si>
  <si>
    <t>4 (círculos de palabra)</t>
  </si>
  <si>
    <t>Cuatro círculos de palabra con expertos en construcción de material pedagógico contando con participación de 20 comuneros.</t>
  </si>
  <si>
    <t>20 (kits de papelería)</t>
  </si>
  <si>
    <t>Laboratorio de cocreación pedagógica para construcción de
material pedagógico que contara con participación de 20
comuneros material de papelería como (hojas, colores, lápiz,
marcadores, entre otros).</t>
  </si>
  <si>
    <t>505(refrigerios)</t>
  </si>
  <si>
    <t xml:space="preserve">Alimento propio </t>
  </si>
  <si>
    <t>TOTAL A.L</t>
  </si>
  <si>
    <t>TOTAL</t>
  </si>
  <si>
    <r>
      <rPr>
        <sz val="11"/>
        <color theme="1"/>
        <rFont val="Times New Roman"/>
        <family val="1"/>
      </rPr>
      <t xml:space="preserve">CONTRATO INTERADMINISTRATIVO </t>
    </r>
    <r>
      <rPr>
        <b/>
        <sz val="11"/>
        <color theme="1"/>
        <rFont val="Times New Roman"/>
        <family val="1"/>
      </rPr>
      <t>No. CO1.PCCNTR. 8899310 DEL 16 DE ENERO</t>
    </r>
    <r>
      <rPr>
        <sz val="11"/>
        <color theme="1"/>
        <rFont val="Times New Roman"/>
        <family val="1"/>
      </rPr>
      <t xml:space="preserve"> SUSCRITO CON LA SECRETARÍA DE EDUCACIÓN DEL DISTRITO Y EL CABILDO INDÍGENA MUISCA DE BOSA </t>
    </r>
  </si>
  <si>
    <t xml:space="preserve">PRIMER INFORME FINANCIERO </t>
  </si>
  <si>
    <t xml:space="preserve">RUBRO </t>
  </si>
  <si>
    <t xml:space="preserve">DESCRIPCIÓN </t>
  </si>
  <si>
    <t>NOMBRE DEL COMUNERO/A A CARGO</t>
  </si>
  <si>
    <t xml:space="preserve">PRESUPUESTO </t>
  </si>
  <si>
    <t xml:space="preserve">VALOR PAGADO AL CORTE </t>
  </si>
  <si>
    <t xml:space="preserve">SALDO POR EJECUTAR </t>
  </si>
  <si>
    <t xml:space="preserve">SOPORTES </t>
  </si>
  <si>
    <t>CUENTA DE COBRO No</t>
  </si>
  <si>
    <t xml:space="preserve">SI </t>
  </si>
  <si>
    <t xml:space="preserve">NO </t>
  </si>
  <si>
    <t xml:space="preserve">TALENTO HUMANO </t>
  </si>
  <si>
    <t>Coordinadora</t>
  </si>
  <si>
    <t>Yury Tunjo</t>
  </si>
  <si>
    <t>X</t>
  </si>
  <si>
    <t>001 Y 002</t>
  </si>
  <si>
    <t>Pedagogo</t>
  </si>
  <si>
    <t>José Neuta</t>
  </si>
  <si>
    <t>003 Y 004</t>
  </si>
  <si>
    <t>Pedagoga</t>
  </si>
  <si>
    <t>Ivon Mteus</t>
  </si>
  <si>
    <t>005 Y 006</t>
  </si>
  <si>
    <t>Martín González</t>
  </si>
  <si>
    <t>007 Y 008</t>
  </si>
  <si>
    <t>Sabedora</t>
  </si>
  <si>
    <t>Luz Chiguasuque</t>
  </si>
  <si>
    <t>009 Y 010</t>
  </si>
  <si>
    <t>Administrativa</t>
  </si>
  <si>
    <t xml:space="preserve">Gina Neuta </t>
  </si>
  <si>
    <t>011 Y 012</t>
  </si>
  <si>
    <t xml:space="preserve">Diseñador gráfico </t>
  </si>
  <si>
    <t>Se vinculará en el mes de agosto</t>
  </si>
  <si>
    <t>N.A</t>
  </si>
  <si>
    <t xml:space="preserve">Total </t>
  </si>
  <si>
    <t>VALOR PAGADO AL CORTE</t>
  </si>
  <si>
    <t>COMPROBANTE DE EGRESO No</t>
  </si>
  <si>
    <t>NOMBRE DEL PROVEEDOR</t>
  </si>
  <si>
    <r>
      <rPr>
        <b/>
        <sz val="11"/>
        <color theme="1"/>
        <rFont val="Georgia"/>
        <family val="1"/>
      </rPr>
      <t xml:space="preserve">"2  (Actividades de pagamento)" </t>
    </r>
    <r>
      <rPr>
        <sz val="11"/>
        <color theme="1"/>
        <rFont val="Georgia"/>
        <family val="1"/>
      </rPr>
      <t xml:space="preserve">Insumos para pagamentos rituales de armonización para el inicio y cierre de las actividades: Los insumos propios de armonización carbón litúrgico, copal, siete esencias, velón, Ayo, Mambe, Ozca, Ambil, entre otros. </t>
    </r>
  </si>
  <si>
    <t>Insumos propios de armonización carbón litúrgico, copal, siete esencias, verde yaco, incienso.</t>
  </si>
  <si>
    <t>013</t>
  </si>
  <si>
    <t>Daniel Sierra</t>
  </si>
  <si>
    <t>Los insumos propios de Armonización, medicinas como mambe, Osca y Hayo.</t>
  </si>
  <si>
    <t>014</t>
  </si>
  <si>
    <t>Los insumos propios de Armonización, medicinas como mambe de maíz, mambe verde, ambira, entre otras.</t>
  </si>
  <si>
    <t>015</t>
  </si>
  <si>
    <t>Suministro de 31 aseguranzas para proceso de pagamento de inicio del PEC, elaboradas con tejido ancestral y piedras naturales.</t>
  </si>
  <si>
    <t>016</t>
  </si>
  <si>
    <t>Yamile Chiguasuque</t>
  </si>
  <si>
    <t>Insumos propios de armonización cuarzos y velones.</t>
  </si>
  <si>
    <t>017</t>
  </si>
  <si>
    <r>
      <rPr>
        <b/>
        <sz val="11"/>
        <color theme="1"/>
        <rFont val="Georgia"/>
        <family val="1"/>
      </rPr>
      <t xml:space="preserve">2 (Buses) </t>
    </r>
    <r>
      <rPr>
        <sz val="11"/>
        <color theme="1"/>
        <rFont val="Georgia"/>
        <family val="1"/>
      </rPr>
      <t>Alquiler de transporte terrestre ida y vuelta con capacidad para 30 o 40 personas en el marco de los pagamentos de inicio y cierre.</t>
    </r>
  </si>
  <si>
    <t>Alquiler de transporte terrestre para 40 personas en el marco del PAGAMENTO DE INICIO.</t>
  </si>
  <si>
    <t>018</t>
  </si>
  <si>
    <t>Alexandra Cabrera</t>
  </si>
  <si>
    <r>
      <rPr>
        <b/>
        <sz val="11"/>
        <color theme="1"/>
        <rFont val="Georgia"/>
        <family val="1"/>
      </rPr>
      <t xml:space="preserve">9 (insumos para espacios de armonización) </t>
    </r>
    <r>
      <rPr>
        <sz val="11"/>
        <color theme="1"/>
        <rFont val="Georgia"/>
        <family val="1"/>
      </rPr>
      <t>Armonización propia para los espacios de pilotaje</t>
    </r>
  </si>
  <si>
    <r>
      <rPr>
        <b/>
        <sz val="11"/>
        <color theme="1"/>
        <rFont val="Georgia"/>
        <family val="1"/>
      </rPr>
      <t xml:space="preserve">9 (paquetes de material propio) </t>
    </r>
    <r>
      <rPr>
        <sz val="11"/>
        <color theme="1"/>
        <rFont val="Georgia"/>
        <family val="1"/>
      </rPr>
      <t>Cada paquete contiene elementos de acuerdo con saber que se vaya a transmitir en el encuentro pilotaje y será manipulado por el sabedor y equipo pedagógico contratado para esta vigencia.</t>
    </r>
  </si>
  <si>
    <r>
      <rPr>
        <b/>
        <sz val="11"/>
        <color theme="1"/>
        <rFont val="Georgia"/>
        <family val="1"/>
      </rPr>
      <t xml:space="preserve">20 (Kits ancestrales) </t>
    </r>
    <r>
      <rPr>
        <sz val="11"/>
        <color theme="1"/>
        <rFont val="Georgia"/>
        <family val="1"/>
      </rPr>
      <t>Cada paquete contiene elementos de acuerdo con saber que se vaya a transmitir en el encuentro pilotaje y será entregado a cada uno de los 20 comuneros participantes.</t>
    </r>
  </si>
  <si>
    <r>
      <rPr>
        <b/>
        <sz val="11"/>
        <color theme="1"/>
        <rFont val="Georgia"/>
        <family val="1"/>
      </rPr>
      <t xml:space="preserve">360 (alimento propio) </t>
    </r>
    <r>
      <rPr>
        <sz val="11"/>
        <color theme="1"/>
        <rFont val="Georgia"/>
        <family val="1"/>
      </rPr>
      <t>Alimento propio que se entregará en el marco de la jornada pedagógica, dos tertulias y la asamblea de socialización del capitulo.</t>
    </r>
  </si>
  <si>
    <t>15 almuerzos para primer tertulia</t>
  </si>
  <si>
    <t>019</t>
  </si>
  <si>
    <t>Olga Pintor</t>
  </si>
  <si>
    <t>15 almuerzos para segunda tertulia</t>
  </si>
  <si>
    <t>020</t>
  </si>
  <si>
    <t>Transito Neuta</t>
  </si>
  <si>
    <r>
      <rPr>
        <b/>
        <sz val="11"/>
        <color theme="1"/>
        <rFont val="Georgia"/>
        <family val="1"/>
      </rPr>
      <t xml:space="preserve">300 (cartillas) </t>
    </r>
    <r>
      <rPr>
        <sz val="11"/>
        <color theme="1"/>
        <rFont val="Georgia"/>
        <family val="1"/>
      </rPr>
      <t>Cartillas impresas con el contenido pedagógico diseñado por el equipo pedagógico contratado y comuneros.</t>
    </r>
  </si>
  <si>
    <r>
      <rPr>
        <b/>
        <sz val="11"/>
        <color theme="1"/>
        <rFont val="Georgia"/>
        <family val="1"/>
      </rPr>
      <t>4 (círculos de palabra)</t>
    </r>
    <r>
      <rPr>
        <sz val="11"/>
        <color theme="1"/>
        <rFont val="Georgia"/>
        <family val="1"/>
      </rPr>
      <t xml:space="preserve"> Cuatro círculos de palabra con expertos en construcción de material pedagógico contando con participación de 20 comuneros.</t>
    </r>
  </si>
  <si>
    <r>
      <rPr>
        <b/>
        <sz val="11"/>
        <color theme="1"/>
        <rFont val="Georgia"/>
        <family val="1"/>
      </rPr>
      <t xml:space="preserve">20 (kits de papelería) </t>
    </r>
    <r>
      <rPr>
        <sz val="11"/>
        <color theme="1"/>
        <rFont val="Georgia"/>
        <family val="1"/>
      </rPr>
      <t xml:space="preserve">Laboratorio de cocreación pedagógica para construcción de material pedagógico que contara con participación de 20 comuneros material de papelería como (hojas, colores, lápiz, marcadores, entre otros). </t>
    </r>
  </si>
  <si>
    <r>
      <rPr>
        <b/>
        <sz val="11"/>
        <color theme="1"/>
        <rFont val="Georgia"/>
        <family val="1"/>
      </rPr>
      <t xml:space="preserve"> 505(refrigerios) </t>
    </r>
    <r>
      <rPr>
        <sz val="11"/>
        <color theme="1"/>
        <rFont val="Georgia"/>
        <family val="1"/>
      </rPr>
      <t xml:space="preserve">Alimento propio </t>
    </r>
  </si>
  <si>
    <t>31 refrigerios para espacio de pagamento de inicio del PEC FASE VII</t>
  </si>
  <si>
    <t>021</t>
  </si>
  <si>
    <t>Aurora tunjo</t>
  </si>
  <si>
    <t>VR UNITARIO PROPUESTA</t>
  </si>
  <si>
    <t>VR TOTAL PROPUESTA</t>
  </si>
  <si>
    <t xml:space="preserve">DIFERENCIA UNITARIA </t>
  </si>
  <si>
    <t>DIFERENCIA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</si>
</sst>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#,##0"/>
    <numFmt numFmtId="165" formatCode="_-[$$-240A]\ * #,##0_-;\-[$$-240A]\ * #,##0_-;_-[$$-240A]\ * &quot;-&quot;_-;_-@"/>
    <numFmt numFmtId="166" formatCode="_-&quot;$&quot;\ * #,##0_-;\-&quot;$&quot;\ * #,##0_-;_-&quot;$&quot;\ * &quot;-&quot;??_-;_-@"/>
    <numFmt numFmtId="167" formatCode="&quot;$&quot;#,##0.000"/>
    <numFmt numFmtId="168" formatCode="_-&quot;$&quot;\ * #,##0_-;\-&quot;$&quot;\ * #,##0_-;_-&quot;$&quot;\ * &quot;-&quot;??_-;_-@_-"/>
  </numFmts>
  <fonts count="25" x14ac:knownFonts="1">
    <font>
      <sz val="11"/>
      <color theme="1"/>
      <name val="Calibri"/>
      <scheme val="minor"/>
    </font>
    <font>
      <b/>
      <sz val="10"/>
      <color rgb="FF000000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  <font>
      <b/>
      <i/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sz val="11"/>
      <color theme="1"/>
      <name val="Georgia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FFFF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FFFFFF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1"/>
      <color theme="1"/>
      <name val="Georgia"/>
      <family val="1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 val="doubleAccounting"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  <fill>
      <patternFill patternType="solid">
        <fgColor rgb="FF7D5E02"/>
        <bgColor rgb="FF7D5E02"/>
      </patternFill>
    </fill>
    <fill>
      <patternFill patternType="solid">
        <fgColor rgb="FFA5A5A5"/>
        <b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4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7" fillId="0" borderId="19" xfId="0" applyFont="1" applyBorder="1" applyAlignment="1">
      <alignment wrapText="1"/>
    </xf>
    <xf numFmtId="6" fontId="7" fillId="0" borderId="19" xfId="0" applyNumberFormat="1" applyFont="1" applyBorder="1" applyAlignment="1">
      <alignment horizontal="right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6" fontId="3" fillId="0" borderId="19" xfId="0" applyNumberFormat="1" applyFont="1" applyBorder="1" applyAlignment="1">
      <alignment horizontal="center" vertical="center" wrapText="1"/>
    </xf>
    <xf numFmtId="6" fontId="3" fillId="0" borderId="20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/>
    </xf>
    <xf numFmtId="6" fontId="3" fillId="2" borderId="20" xfId="0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164" fontId="7" fillId="0" borderId="19" xfId="0" applyNumberFormat="1" applyFont="1" applyBorder="1" applyAlignment="1">
      <alignment horizontal="center" vertical="center" wrapText="1"/>
    </xf>
    <xf numFmtId="164" fontId="7" fillId="0" borderId="19" xfId="0" applyNumberFormat="1" applyFont="1" applyBorder="1" applyAlignment="1">
      <alignment horizontal="center" vertical="center"/>
    </xf>
    <xf numFmtId="6" fontId="7" fillId="0" borderId="20" xfId="0" applyNumberFormat="1" applyFont="1" applyBorder="1" applyAlignment="1">
      <alignment horizontal="center" vertical="center" wrapText="1"/>
    </xf>
    <xf numFmtId="6" fontId="7" fillId="0" borderId="19" xfId="0" applyNumberFormat="1" applyFont="1" applyBorder="1" applyAlignment="1">
      <alignment horizontal="center" vertical="center" wrapText="1"/>
    </xf>
    <xf numFmtId="6" fontId="7" fillId="2" borderId="20" xfId="0" applyNumberFormat="1" applyFont="1" applyFill="1" applyBorder="1" applyAlignment="1">
      <alignment horizontal="center" vertical="center" wrapText="1"/>
    </xf>
    <xf numFmtId="6" fontId="6" fillId="3" borderId="20" xfId="0" applyNumberFormat="1" applyFont="1" applyFill="1" applyBorder="1" applyAlignment="1">
      <alignment horizontal="center" vertical="center" wrapText="1"/>
    </xf>
    <xf numFmtId="6" fontId="6" fillId="3" borderId="24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10" fillId="3" borderId="19" xfId="0" applyFont="1" applyFill="1" applyBorder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165" fontId="13" fillId="0" borderId="19" xfId="0" applyNumberFormat="1" applyFont="1" applyBorder="1" applyAlignment="1">
      <alignment vertical="center"/>
    </xf>
    <xf numFmtId="165" fontId="13" fillId="0" borderId="19" xfId="0" applyNumberFormat="1" applyFont="1" applyBorder="1" applyAlignment="1">
      <alignment horizontal="center" vertical="center"/>
    </xf>
    <xf numFmtId="165" fontId="14" fillId="0" borderId="19" xfId="0" applyNumberFormat="1" applyFont="1" applyBorder="1" applyAlignment="1">
      <alignment horizontal="right"/>
    </xf>
    <xf numFmtId="0" fontId="14" fillId="0" borderId="19" xfId="0" applyFont="1" applyBorder="1" applyAlignment="1">
      <alignment horizontal="center"/>
    </xf>
    <xf numFmtId="0" fontId="11" fillId="0" borderId="19" xfId="0" applyFont="1" applyBorder="1"/>
    <xf numFmtId="49" fontId="14" fillId="0" borderId="20" xfId="0" applyNumberFormat="1" applyFont="1" applyBorder="1" applyAlignment="1">
      <alignment horizontal="center" wrapText="1"/>
    </xf>
    <xf numFmtId="0" fontId="13" fillId="0" borderId="19" xfId="0" applyFont="1" applyBorder="1" applyAlignment="1">
      <alignment horizontal="center" vertical="center"/>
    </xf>
    <xf numFmtId="0" fontId="11" fillId="0" borderId="2" xfId="0" applyFont="1" applyBorder="1"/>
    <xf numFmtId="49" fontId="14" fillId="0" borderId="38" xfId="0" applyNumberFormat="1" applyFont="1" applyBorder="1" applyAlignment="1">
      <alignment horizontal="center" wrapText="1"/>
    </xf>
    <xf numFmtId="165" fontId="10" fillId="6" borderId="42" xfId="0" applyNumberFormat="1" applyFont="1" applyFill="1" applyBorder="1" applyAlignment="1">
      <alignment horizontal="right"/>
    </xf>
    <xf numFmtId="165" fontId="10" fillId="6" borderId="42" xfId="0" applyNumberFormat="1" applyFont="1" applyFill="1" applyBorder="1" applyAlignment="1">
      <alignment horizontal="center"/>
    </xf>
    <xf numFmtId="0" fontId="16" fillId="3" borderId="19" xfId="0" applyFont="1" applyFill="1" applyBorder="1" applyAlignment="1">
      <alignment horizontal="center"/>
    </xf>
    <xf numFmtId="0" fontId="17" fillId="0" borderId="19" xfId="0" applyFont="1" applyBorder="1" applyAlignment="1">
      <alignment horizontal="center"/>
    </xf>
    <xf numFmtId="49" fontId="17" fillId="0" borderId="19" xfId="0" applyNumberFormat="1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165" fontId="17" fillId="0" borderId="19" xfId="0" applyNumberFormat="1" applyFont="1" applyBorder="1" applyAlignment="1">
      <alignment horizontal="center"/>
    </xf>
    <xf numFmtId="165" fontId="17" fillId="0" borderId="19" xfId="0" applyNumberFormat="1" applyFont="1" applyBorder="1" applyAlignment="1">
      <alignment horizontal="center" vertical="center"/>
    </xf>
    <xf numFmtId="165" fontId="17" fillId="0" borderId="19" xfId="0" applyNumberFormat="1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1" fillId="6" borderId="48" xfId="0" applyFont="1" applyFill="1" applyBorder="1"/>
    <xf numFmtId="165" fontId="16" fillId="6" borderId="49" xfId="0" applyNumberFormat="1" applyFont="1" applyFill="1" applyBorder="1" applyAlignment="1">
      <alignment horizontal="center"/>
    </xf>
    <xf numFmtId="165" fontId="16" fillId="6" borderId="50" xfId="0" applyNumberFormat="1" applyFont="1" applyFill="1" applyBorder="1" applyAlignment="1">
      <alignment horizontal="right"/>
    </xf>
    <xf numFmtId="165" fontId="11" fillId="0" borderId="0" xfId="0" applyNumberFormat="1" applyFont="1"/>
    <xf numFmtId="0" fontId="11" fillId="0" borderId="0" xfId="0" applyFont="1"/>
    <xf numFmtId="168" fontId="7" fillId="0" borderId="0" xfId="1" applyNumberFormat="1" applyFont="1"/>
    <xf numFmtId="168" fontId="0" fillId="0" borderId="0" xfId="1" applyNumberFormat="1" applyFont="1"/>
    <xf numFmtId="166" fontId="17" fillId="7" borderId="19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8" fontId="0" fillId="0" borderId="0" xfId="1" applyNumberFormat="1" applyFont="1" applyAlignment="1">
      <alignment horizontal="center" vertical="center"/>
    </xf>
    <xf numFmtId="165" fontId="17" fillId="7" borderId="19" xfId="0" applyNumberFormat="1" applyFont="1" applyFill="1" applyBorder="1" applyAlignment="1">
      <alignment horizontal="center"/>
    </xf>
    <xf numFmtId="164" fontId="3" fillId="7" borderId="19" xfId="0" applyNumberFormat="1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168" fontId="3" fillId="0" borderId="0" xfId="1" applyNumberFormat="1" applyFont="1" applyAlignment="1">
      <alignment horizontal="center" vertical="center"/>
    </xf>
    <xf numFmtId="168" fontId="3" fillId="0" borderId="0" xfId="1" applyNumberFormat="1" applyFont="1"/>
    <xf numFmtId="10" fontId="0" fillId="0" borderId="0" xfId="2" applyNumberFormat="1" applyFont="1" applyAlignment="1">
      <alignment horizontal="center" vertical="center"/>
    </xf>
    <xf numFmtId="0" fontId="0" fillId="0" borderId="0" xfId="0" applyAlignment="1">
      <alignment wrapText="1"/>
    </xf>
    <xf numFmtId="168" fontId="0" fillId="0" borderId="0" xfId="0" applyNumberFormat="1"/>
    <xf numFmtId="168" fontId="0" fillId="8" borderId="0" xfId="1" applyNumberFormat="1" applyFont="1" applyFill="1" applyAlignment="1">
      <alignment horizontal="center" vertical="center"/>
    </xf>
    <xf numFmtId="6" fontId="0" fillId="9" borderId="0" xfId="0" applyNumberFormat="1" applyFill="1" applyAlignment="1">
      <alignment horizontal="center" vertical="center"/>
    </xf>
    <xf numFmtId="0" fontId="22" fillId="3" borderId="20" xfId="0" applyFont="1" applyFill="1" applyBorder="1" applyAlignment="1">
      <alignment horizontal="center" vertical="center" wrapText="1"/>
    </xf>
    <xf numFmtId="168" fontId="23" fillId="0" borderId="0" xfId="1" applyNumberFormat="1" applyFont="1" applyAlignment="1">
      <alignment horizontal="center" vertical="center"/>
    </xf>
    <xf numFmtId="0" fontId="7" fillId="0" borderId="19" xfId="0" applyFont="1" applyBorder="1" applyAlignment="1">
      <alignment horizontal="center" wrapText="1"/>
    </xf>
    <xf numFmtId="0" fontId="3" fillId="0" borderId="19" xfId="0" applyFont="1" applyBorder="1" applyAlignment="1">
      <alignment horizontal="center" vertical="top" wrapText="1"/>
    </xf>
    <xf numFmtId="0" fontId="7" fillId="0" borderId="18" xfId="0" applyFont="1" applyBorder="1" applyAlignment="1">
      <alignment horizont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9" fontId="7" fillId="0" borderId="0" xfId="2" applyFont="1"/>
    <xf numFmtId="0" fontId="6" fillId="3" borderId="25" xfId="0" applyFont="1" applyFill="1" applyBorder="1" applyAlignment="1">
      <alignment horizontal="center" wrapText="1"/>
    </xf>
    <xf numFmtId="0" fontId="2" fillId="0" borderId="26" xfId="0" applyFont="1" applyBorder="1"/>
    <xf numFmtId="0" fontId="2" fillId="0" borderId="27" xfId="0" applyFont="1" applyBorder="1"/>
    <xf numFmtId="0" fontId="6" fillId="3" borderId="21" xfId="0" applyFont="1" applyFill="1" applyBorder="1" applyAlignment="1">
      <alignment horizontal="center" wrapText="1"/>
    </xf>
    <xf numFmtId="0" fontId="2" fillId="0" borderId="22" xfId="0" applyFont="1" applyBorder="1"/>
    <xf numFmtId="0" fontId="2" fillId="0" borderId="23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12" xfId="0" applyFont="1" applyBorder="1"/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0" fillId="0" borderId="0" xfId="0"/>
    <xf numFmtId="0" fontId="2" fillId="0" borderId="9" xfId="0" applyFont="1" applyBorder="1"/>
    <xf numFmtId="0" fontId="2" fillId="0" borderId="13" xfId="0" applyFont="1" applyBorder="1"/>
    <xf numFmtId="0" fontId="2" fillId="0" borderId="14" xfId="0" applyFont="1" applyBorder="1"/>
    <xf numFmtId="0" fontId="4" fillId="3" borderId="15" xfId="0" applyFont="1" applyFill="1" applyBorder="1" applyAlignment="1">
      <alignment horizontal="center" wrapText="1"/>
    </xf>
    <xf numFmtId="0" fontId="2" fillId="0" borderId="16" xfId="0" applyFont="1" applyBorder="1"/>
    <xf numFmtId="0" fontId="2" fillId="0" borderId="17" xfId="0" applyFont="1" applyBorder="1"/>
    <xf numFmtId="0" fontId="6" fillId="3" borderId="2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4" fillId="3" borderId="15" xfId="0" applyFont="1" applyFill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167" fontId="17" fillId="0" borderId="37" xfId="0" applyNumberFormat="1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2" fillId="0" borderId="45" xfId="0" applyFont="1" applyBorder="1"/>
    <xf numFmtId="0" fontId="2" fillId="0" borderId="39" xfId="0" applyFont="1" applyBorder="1"/>
    <xf numFmtId="6" fontId="17" fillId="0" borderId="37" xfId="0" applyNumberFormat="1" applyFont="1" applyBorder="1" applyAlignment="1">
      <alignment horizontal="center" vertical="center" wrapText="1"/>
    </xf>
    <xf numFmtId="165" fontId="17" fillId="0" borderId="36" xfId="0" applyNumberFormat="1" applyFont="1" applyBorder="1" applyAlignment="1">
      <alignment horizontal="center" vertical="center"/>
    </xf>
    <xf numFmtId="165" fontId="17" fillId="0" borderId="36" xfId="0" applyNumberFormat="1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wrapText="1"/>
    </xf>
    <xf numFmtId="0" fontId="2" fillId="0" borderId="47" xfId="0" applyFont="1" applyBorder="1"/>
    <xf numFmtId="0" fontId="10" fillId="4" borderId="28" xfId="0" applyFont="1" applyFill="1" applyBorder="1" applyAlignment="1">
      <alignment wrapText="1"/>
    </xf>
    <xf numFmtId="0" fontId="2" fillId="0" borderId="31" xfId="0" applyFont="1" applyBorder="1"/>
    <xf numFmtId="0" fontId="2" fillId="0" borderId="32" xfId="0" applyFont="1" applyBorder="1"/>
    <xf numFmtId="0" fontId="10" fillId="4" borderId="29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30" xfId="0" applyFont="1" applyBorder="1"/>
    <xf numFmtId="0" fontId="2" fillId="0" borderId="33" xfId="0" applyFont="1" applyBorder="1"/>
    <xf numFmtId="0" fontId="11" fillId="4" borderId="29" xfId="0" applyFont="1" applyFill="1" applyBorder="1"/>
    <xf numFmtId="0" fontId="12" fillId="5" borderId="25" xfId="0" applyFont="1" applyFill="1" applyBorder="1" applyAlignment="1">
      <alignment horizontal="center"/>
    </xf>
    <xf numFmtId="0" fontId="2" fillId="0" borderId="34" xfId="0" applyFont="1" applyBorder="1"/>
    <xf numFmtId="0" fontId="10" fillId="3" borderId="35" xfId="0" applyFont="1" applyFill="1" applyBorder="1" applyAlignment="1">
      <alignment horizontal="center"/>
    </xf>
    <xf numFmtId="0" fontId="10" fillId="3" borderId="36" xfId="0" applyFont="1" applyFill="1" applyBorder="1" applyAlignment="1">
      <alignment horizontal="center"/>
    </xf>
    <xf numFmtId="0" fontId="10" fillId="3" borderId="36" xfId="0" applyFont="1" applyFill="1" applyBorder="1" applyAlignment="1">
      <alignment horizontal="center" wrapText="1"/>
    </xf>
    <xf numFmtId="0" fontId="10" fillId="3" borderId="38" xfId="0" applyFont="1" applyFill="1" applyBorder="1" applyAlignment="1">
      <alignment horizontal="center" wrapText="1"/>
    </xf>
    <xf numFmtId="0" fontId="2" fillId="0" borderId="40" xfId="0" applyFont="1" applyBorder="1"/>
    <xf numFmtId="0" fontId="16" fillId="3" borderId="36" xfId="0" applyFont="1" applyFill="1" applyBorder="1" applyAlignment="1">
      <alignment horizontal="center" wrapText="1"/>
    </xf>
    <xf numFmtId="0" fontId="16" fillId="3" borderId="37" xfId="0" applyFont="1" applyFill="1" applyBorder="1" applyAlignment="1">
      <alignment horizontal="center" wrapText="1"/>
    </xf>
    <xf numFmtId="0" fontId="16" fillId="3" borderId="38" xfId="0" applyFont="1" applyFill="1" applyBorder="1" applyAlignment="1">
      <alignment horizontal="center" wrapText="1"/>
    </xf>
    <xf numFmtId="165" fontId="10" fillId="3" borderId="36" xfId="0" applyNumberFormat="1" applyFont="1" applyFill="1" applyBorder="1" applyAlignment="1">
      <alignment horizontal="center"/>
    </xf>
    <xf numFmtId="165" fontId="10" fillId="3" borderId="36" xfId="0" applyNumberFormat="1" applyFont="1" applyFill="1" applyBorder="1" applyAlignment="1">
      <alignment horizontal="center" wrapText="1"/>
    </xf>
    <xf numFmtId="0" fontId="15" fillId="5" borderId="15" xfId="0" applyFont="1" applyFill="1" applyBorder="1" applyAlignment="1">
      <alignment horizontal="center"/>
    </xf>
    <xf numFmtId="0" fontId="16" fillId="3" borderId="35" xfId="0" applyFont="1" applyFill="1" applyBorder="1" applyAlignment="1">
      <alignment horizontal="center" wrapText="1"/>
    </xf>
    <xf numFmtId="0" fontId="16" fillId="3" borderId="2" xfId="0" applyFont="1" applyFill="1" applyBorder="1" applyAlignment="1">
      <alignment horizontal="center" wrapText="1"/>
    </xf>
    <xf numFmtId="165" fontId="16" fillId="3" borderId="36" xfId="0" applyNumberFormat="1" applyFont="1" applyFill="1" applyBorder="1" applyAlignment="1">
      <alignment horizontal="center"/>
    </xf>
    <xf numFmtId="165" fontId="16" fillId="3" borderId="36" xfId="0" applyNumberFormat="1" applyFont="1" applyFill="1" applyBorder="1" applyAlignment="1">
      <alignment horizontal="center" wrapText="1"/>
    </xf>
    <xf numFmtId="0" fontId="10" fillId="3" borderId="37" xfId="0" applyFont="1" applyFill="1" applyBorder="1" applyAlignment="1">
      <alignment horizontal="center" wrapText="1"/>
    </xf>
    <xf numFmtId="0" fontId="11" fillId="0" borderId="43" xfId="0" applyFont="1" applyBorder="1"/>
    <xf numFmtId="0" fontId="2" fillId="0" borderId="44" xfId="0" applyFont="1" applyBorder="1"/>
    <xf numFmtId="0" fontId="10" fillId="4" borderId="35" xfId="0" applyFont="1" applyFill="1" applyBorder="1" applyAlignment="1">
      <alignment horizontal="center" vertical="center" wrapText="1"/>
    </xf>
    <xf numFmtId="0" fontId="2" fillId="0" borderId="41" xfId="0" applyFont="1" applyBorder="1"/>
    <xf numFmtId="0" fontId="10" fillId="6" borderId="37" xfId="0" applyFont="1" applyFill="1" applyBorder="1" applyAlignment="1">
      <alignment horizontal="center"/>
    </xf>
    <xf numFmtId="6" fontId="3" fillId="0" borderId="38" xfId="0" applyNumberFormat="1" applyFont="1" applyBorder="1" applyAlignment="1">
      <alignment horizontal="center" vertical="center" wrapText="1"/>
    </xf>
    <xf numFmtId="0" fontId="2" fillId="0" borderId="46" xfId="0" applyFont="1" applyBorder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142875</xdr:rowOff>
    </xdr:from>
    <xdr:ext cx="809625" cy="8382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7725" y="142875"/>
          <a:ext cx="809625" cy="838200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66675</xdr:colOff>
      <xdr:row>1</xdr:row>
      <xdr:rowOff>133350</xdr:rowOff>
    </xdr:from>
    <xdr:ext cx="1857375" cy="457200"/>
    <xdr:pic>
      <xdr:nvPicPr>
        <xdr:cNvPr id="3" name="image2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266700</xdr:colOff>
      <xdr:row>0</xdr:row>
      <xdr:rowOff>9525</xdr:rowOff>
    </xdr:from>
    <xdr:ext cx="1047750" cy="1076325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76200</xdr:colOff>
      <xdr:row>1</xdr:row>
      <xdr:rowOff>85725</xdr:rowOff>
    </xdr:from>
    <xdr:ext cx="2162175" cy="542925"/>
    <xdr:pic>
      <xdr:nvPicPr>
        <xdr:cNvPr id="3" name="image2.png" title="Imag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994"/>
  <sheetViews>
    <sheetView workbookViewId="0">
      <selection activeCell="C11" sqref="C11"/>
    </sheetView>
  </sheetViews>
  <sheetFormatPr baseColWidth="10" defaultColWidth="14.42578125" defaultRowHeight="15" customHeight="1" x14ac:dyDescent="0.25"/>
  <cols>
    <col min="1" max="1" width="10.7109375" customWidth="1"/>
    <col min="2" max="2" width="15" customWidth="1"/>
    <col min="3" max="3" width="36.28515625" customWidth="1"/>
    <col min="4" max="4" width="15.140625" customWidth="1"/>
    <col min="5" max="5" width="15.85546875" customWidth="1"/>
    <col min="6" max="6" width="14" style="56" customWidth="1"/>
    <col min="7" max="9" width="14.28515625" style="57" customWidth="1"/>
    <col min="10" max="11" width="14.42578125" style="56"/>
  </cols>
  <sheetData>
    <row r="1" spans="2:11" ht="15" customHeight="1" x14ac:dyDescent="0.25">
      <c r="B1" s="1" t="s">
        <v>0</v>
      </c>
      <c r="C1" s="84" t="s">
        <v>1</v>
      </c>
      <c r="D1" s="85"/>
      <c r="E1" s="90"/>
      <c r="F1" s="91"/>
      <c r="G1" s="61"/>
      <c r="H1" s="62"/>
      <c r="I1" s="62"/>
    </row>
    <row r="2" spans="2:11" x14ac:dyDescent="0.25">
      <c r="B2" s="2"/>
      <c r="C2" s="86"/>
      <c r="D2" s="87"/>
      <c r="E2" s="92"/>
      <c r="F2" s="93"/>
      <c r="G2" s="61"/>
      <c r="H2" s="62"/>
      <c r="I2" s="62"/>
    </row>
    <row r="3" spans="2:11" x14ac:dyDescent="0.25">
      <c r="B3" s="2"/>
      <c r="C3" s="86"/>
      <c r="D3" s="87"/>
      <c r="E3" s="92"/>
      <c r="F3" s="93"/>
      <c r="G3" s="61"/>
      <c r="H3" s="62"/>
      <c r="I3" s="62"/>
    </row>
    <row r="4" spans="2:11" x14ac:dyDescent="0.25">
      <c r="B4" s="2"/>
      <c r="C4" s="86"/>
      <c r="D4" s="87"/>
      <c r="E4" s="92"/>
      <c r="F4" s="93"/>
      <c r="G4" s="61"/>
      <c r="H4" s="62"/>
      <c r="I4" s="62"/>
    </row>
    <row r="5" spans="2:11" x14ac:dyDescent="0.25">
      <c r="B5" s="2"/>
      <c r="C5" s="86"/>
      <c r="D5" s="87"/>
      <c r="E5" s="92"/>
      <c r="F5" s="93"/>
      <c r="G5" s="61"/>
      <c r="H5" s="62"/>
      <c r="I5" s="62"/>
    </row>
    <row r="6" spans="2:11" x14ac:dyDescent="0.25">
      <c r="B6" s="3"/>
      <c r="C6" s="88"/>
      <c r="D6" s="89"/>
      <c r="E6" s="94"/>
      <c r="F6" s="95"/>
      <c r="G6" s="61"/>
      <c r="H6" s="62"/>
      <c r="I6" s="62"/>
    </row>
    <row r="7" spans="2:11" ht="18" customHeight="1" x14ac:dyDescent="0.25">
      <c r="B7" s="96" t="s">
        <v>2</v>
      </c>
      <c r="C7" s="97"/>
      <c r="D7" s="97"/>
      <c r="E7" s="97"/>
      <c r="F7" s="98"/>
      <c r="H7" s="54"/>
      <c r="I7" s="54"/>
    </row>
    <row r="8" spans="2:11" ht="30" x14ac:dyDescent="0.25">
      <c r="B8" s="73" t="s">
        <v>3</v>
      </c>
      <c r="C8" s="74" t="s">
        <v>4</v>
      </c>
      <c r="D8" s="75" t="s">
        <v>5</v>
      </c>
      <c r="E8" s="75" t="s">
        <v>6</v>
      </c>
      <c r="F8" s="60" t="s">
        <v>7</v>
      </c>
      <c r="H8" s="68" t="s">
        <v>109</v>
      </c>
      <c r="I8" s="68" t="s">
        <v>110</v>
      </c>
      <c r="J8" s="68" t="s">
        <v>111</v>
      </c>
      <c r="K8" s="68" t="s">
        <v>112</v>
      </c>
    </row>
    <row r="9" spans="2:11" ht="18" customHeight="1" x14ac:dyDescent="0.25">
      <c r="B9" s="72">
        <v>1</v>
      </c>
      <c r="C9" s="4" t="s">
        <v>8</v>
      </c>
      <c r="D9" s="70">
        <v>9</v>
      </c>
      <c r="E9" s="5">
        <v>4698000</v>
      </c>
      <c r="F9" s="18">
        <f>E9*D9</f>
        <v>42282000</v>
      </c>
      <c r="G9" s="57">
        <f>+D9*E9*B9</f>
        <v>42282000</v>
      </c>
      <c r="H9" s="66">
        <v>4680000</v>
      </c>
      <c r="I9" s="66">
        <f>+H9*D9*B9</f>
        <v>42120000</v>
      </c>
      <c r="J9" s="67">
        <f>+H9-E9</f>
        <v>-18000</v>
      </c>
      <c r="K9" s="67">
        <f>+I9-F9</f>
        <v>-162000</v>
      </c>
    </row>
    <row r="10" spans="2:11" ht="18" customHeight="1" x14ac:dyDescent="0.25">
      <c r="B10" s="72">
        <v>3</v>
      </c>
      <c r="C10" s="4" t="s">
        <v>9</v>
      </c>
      <c r="D10" s="70">
        <v>9</v>
      </c>
      <c r="E10" s="5">
        <v>4176000</v>
      </c>
      <c r="F10" s="18">
        <v>112752000</v>
      </c>
      <c r="G10" s="57">
        <f t="shared" ref="G10:G13" si="0">+D10*E10*B10</f>
        <v>112752000</v>
      </c>
      <c r="H10" s="66">
        <v>4160000</v>
      </c>
      <c r="I10" s="66">
        <f t="shared" ref="I10:I13" si="1">+H10*D10*B10</f>
        <v>112320000</v>
      </c>
      <c r="J10" s="67">
        <f t="shared" ref="J10:J13" si="2">+H10-E10</f>
        <v>-16000</v>
      </c>
      <c r="K10" s="67">
        <f>+I10-F10</f>
        <v>-432000</v>
      </c>
    </row>
    <row r="11" spans="2:11" ht="18" customHeight="1" x14ac:dyDescent="0.25">
      <c r="B11" s="72">
        <v>1</v>
      </c>
      <c r="C11" s="4" t="s">
        <v>10</v>
      </c>
      <c r="D11" s="70">
        <v>9</v>
      </c>
      <c r="E11" s="5">
        <v>2610000</v>
      </c>
      <c r="F11" s="18">
        <f t="shared" ref="F11:F13" si="3">D11*E11</f>
        <v>23490000</v>
      </c>
      <c r="G11" s="57">
        <f t="shared" si="0"/>
        <v>23490000</v>
      </c>
      <c r="H11" s="66">
        <v>2600000</v>
      </c>
      <c r="I11" s="66">
        <f t="shared" si="1"/>
        <v>23400000</v>
      </c>
      <c r="J11" s="67">
        <f t="shared" si="2"/>
        <v>-10000</v>
      </c>
      <c r="K11" s="67">
        <f>+I11-F11</f>
        <v>-90000</v>
      </c>
    </row>
    <row r="12" spans="2:11" ht="18" customHeight="1" x14ac:dyDescent="0.25">
      <c r="B12" s="72">
        <v>1</v>
      </c>
      <c r="C12" s="4" t="s">
        <v>11</v>
      </c>
      <c r="D12" s="70">
        <v>9</v>
      </c>
      <c r="E12" s="5">
        <v>2818800</v>
      </c>
      <c r="F12" s="18">
        <f t="shared" si="3"/>
        <v>25369200</v>
      </c>
      <c r="G12" s="57">
        <f t="shared" si="0"/>
        <v>25369200</v>
      </c>
      <c r="H12" s="66">
        <v>2808000</v>
      </c>
      <c r="I12" s="66">
        <f t="shared" si="1"/>
        <v>25272000</v>
      </c>
      <c r="J12" s="67">
        <f t="shared" si="2"/>
        <v>-10800</v>
      </c>
      <c r="K12" s="67">
        <f>+I12-F12</f>
        <v>-97200</v>
      </c>
    </row>
    <row r="13" spans="2:11" ht="18" customHeight="1" x14ac:dyDescent="0.25">
      <c r="B13" s="72">
        <v>1</v>
      </c>
      <c r="C13" s="4" t="s">
        <v>12</v>
      </c>
      <c r="D13" s="71">
        <v>2</v>
      </c>
      <c r="E13" s="5">
        <v>3132000</v>
      </c>
      <c r="F13" s="18">
        <f t="shared" si="3"/>
        <v>6264000</v>
      </c>
      <c r="G13" s="57">
        <f t="shared" si="0"/>
        <v>6264000</v>
      </c>
      <c r="H13" s="66">
        <v>3120000</v>
      </c>
      <c r="I13" s="66">
        <f t="shared" si="1"/>
        <v>6240000</v>
      </c>
      <c r="J13" s="67">
        <f t="shared" si="2"/>
        <v>-12000</v>
      </c>
      <c r="K13" s="67">
        <f>+I13-F13</f>
        <v>-24000</v>
      </c>
    </row>
    <row r="14" spans="2:11" ht="17.25" customHeight="1" x14ac:dyDescent="0.25">
      <c r="B14" s="99" t="s">
        <v>13</v>
      </c>
      <c r="C14" s="100"/>
      <c r="D14" s="100"/>
      <c r="E14" s="101"/>
      <c r="F14" s="22">
        <f>SUM(F9:F13)</f>
        <v>210157200</v>
      </c>
      <c r="H14" s="54"/>
      <c r="I14" s="54"/>
    </row>
    <row r="15" spans="2:11" ht="15" customHeight="1" x14ac:dyDescent="0.25">
      <c r="H15" s="54"/>
      <c r="I15" s="54"/>
    </row>
    <row r="16" spans="2:11" ht="15" customHeight="1" x14ac:dyDescent="0.25">
      <c r="H16" s="54"/>
      <c r="I16" s="54"/>
    </row>
    <row r="17" spans="2:12" ht="15" customHeight="1" x14ac:dyDescent="0.25">
      <c r="H17" s="54"/>
      <c r="I17" s="54"/>
    </row>
    <row r="18" spans="2:12" x14ac:dyDescent="0.25">
      <c r="B18" s="102" t="s">
        <v>14</v>
      </c>
      <c r="C18" s="97"/>
      <c r="D18" s="97"/>
      <c r="E18" s="98"/>
    </row>
    <row r="19" spans="2:12" ht="30.75" customHeight="1" x14ac:dyDescent="0.25">
      <c r="B19" s="6" t="s">
        <v>3</v>
      </c>
      <c r="C19" s="7" t="s">
        <v>4</v>
      </c>
      <c r="D19" s="7" t="s">
        <v>6</v>
      </c>
      <c r="E19" s="8" t="s">
        <v>7</v>
      </c>
      <c r="G19" s="57">
        <f>142350000-66995725</f>
        <v>75354275</v>
      </c>
      <c r="H19" s="68" t="s">
        <v>109</v>
      </c>
      <c r="I19" s="68" t="s">
        <v>110</v>
      </c>
      <c r="J19" s="68" t="s">
        <v>111</v>
      </c>
      <c r="K19" s="68" t="s">
        <v>112</v>
      </c>
      <c r="L19" s="64"/>
    </row>
    <row r="20" spans="2:12" ht="112.5" customHeight="1" x14ac:dyDescent="0.25">
      <c r="B20" s="9" t="s">
        <v>15</v>
      </c>
      <c r="C20" s="10" t="s">
        <v>16</v>
      </c>
      <c r="D20" s="11">
        <v>2088000</v>
      </c>
      <c r="E20" s="12">
        <f t="shared" ref="E20:E21" si="4">D20*2</f>
        <v>4176000</v>
      </c>
      <c r="F20" s="56">
        <f>+D20*2</f>
        <v>4176000</v>
      </c>
      <c r="G20" s="57" t="b">
        <f t="shared" ref="G20:G27" si="5">+F20=E20</f>
        <v>1</v>
      </c>
      <c r="H20" s="66">
        <v>2080000</v>
      </c>
      <c r="I20" s="66">
        <f>+H20*2</f>
        <v>4160000</v>
      </c>
      <c r="J20" s="67">
        <f>+H20-D20</f>
        <v>-8000</v>
      </c>
      <c r="K20" s="67">
        <f>+I20-E20</f>
        <v>-16000</v>
      </c>
      <c r="L20" s="63">
        <f>+J20/H20</f>
        <v>-3.8461538461538464E-3</v>
      </c>
    </row>
    <row r="21" spans="2:12" ht="73.5" customHeight="1" x14ac:dyDescent="0.25">
      <c r="B21" s="9" t="s">
        <v>17</v>
      </c>
      <c r="C21" s="10" t="s">
        <v>18</v>
      </c>
      <c r="D21" s="11">
        <v>522000</v>
      </c>
      <c r="E21" s="12">
        <f t="shared" si="4"/>
        <v>1044000</v>
      </c>
      <c r="F21" s="56">
        <f>+D21*2</f>
        <v>1044000</v>
      </c>
      <c r="G21" s="57" t="b">
        <f t="shared" si="5"/>
        <v>1</v>
      </c>
      <c r="H21" s="66">
        <v>520000</v>
      </c>
      <c r="I21" s="66">
        <f>+H21*2</f>
        <v>1040000</v>
      </c>
      <c r="J21" s="67">
        <f t="shared" ref="J21:J29" si="6">+H21-D21</f>
        <v>-2000</v>
      </c>
      <c r="K21" s="67">
        <f t="shared" ref="K21:K29" si="7">+I21-E21</f>
        <v>-4000</v>
      </c>
      <c r="L21" s="63">
        <f t="shared" ref="L21:L29" si="8">+J21/H21</f>
        <v>-3.8461538461538464E-3</v>
      </c>
    </row>
    <row r="22" spans="2:12" ht="74.25" customHeight="1" x14ac:dyDescent="0.25">
      <c r="B22" s="9" t="s">
        <v>19</v>
      </c>
      <c r="C22" s="10" t="s">
        <v>20</v>
      </c>
      <c r="D22" s="13">
        <v>417600</v>
      </c>
      <c r="E22" s="14">
        <f>D22*9</f>
        <v>3758400</v>
      </c>
      <c r="F22" s="56">
        <f>+D22*9</f>
        <v>3758400</v>
      </c>
      <c r="G22" s="57" t="b">
        <f t="shared" si="5"/>
        <v>1</v>
      </c>
      <c r="H22" s="66">
        <v>416000</v>
      </c>
      <c r="I22" s="66">
        <f>+H22*9</f>
        <v>3744000</v>
      </c>
      <c r="J22" s="67">
        <f t="shared" si="6"/>
        <v>-1600</v>
      </c>
      <c r="K22" s="67">
        <f t="shared" si="7"/>
        <v>-14400</v>
      </c>
      <c r="L22" s="63">
        <f t="shared" si="8"/>
        <v>-3.8461538461538464E-3</v>
      </c>
    </row>
    <row r="23" spans="2:12" ht="100.5" customHeight="1" x14ac:dyDescent="0.25">
      <c r="B23" s="9" t="s">
        <v>21</v>
      </c>
      <c r="C23" s="10" t="s">
        <v>22</v>
      </c>
      <c r="D23" s="59">
        <v>1041000</v>
      </c>
      <c r="E23" s="12">
        <v>9369000</v>
      </c>
      <c r="F23" s="56">
        <f>+D23*9</f>
        <v>9369000</v>
      </c>
      <c r="G23" s="57" t="b">
        <f t="shared" si="5"/>
        <v>1</v>
      </c>
      <c r="H23" s="66">
        <v>1040000</v>
      </c>
      <c r="I23" s="66">
        <f>+H23*9</f>
        <v>9360000</v>
      </c>
      <c r="J23" s="67">
        <f t="shared" si="6"/>
        <v>-1000</v>
      </c>
      <c r="K23" s="67">
        <f t="shared" si="7"/>
        <v>-9000</v>
      </c>
      <c r="L23" s="63">
        <f t="shared" si="8"/>
        <v>-9.6153846153846159E-4</v>
      </c>
    </row>
    <row r="24" spans="2:12" ht="84.75" customHeight="1" x14ac:dyDescent="0.25">
      <c r="B24" s="15" t="s">
        <v>23</v>
      </c>
      <c r="C24" s="10" t="s">
        <v>24</v>
      </c>
      <c r="D24" s="16">
        <v>47502</v>
      </c>
      <c r="E24" s="12">
        <f>D24*20</f>
        <v>950040</v>
      </c>
      <c r="F24" s="56">
        <f>+D24*20</f>
        <v>950040</v>
      </c>
      <c r="G24" s="57" t="b">
        <f t="shared" si="5"/>
        <v>1</v>
      </c>
      <c r="H24" s="66">
        <v>47320</v>
      </c>
      <c r="I24" s="66">
        <f>+H24*20</f>
        <v>946400</v>
      </c>
      <c r="J24" s="67">
        <f t="shared" si="6"/>
        <v>-182</v>
      </c>
      <c r="K24" s="67">
        <f t="shared" si="7"/>
        <v>-3640</v>
      </c>
      <c r="L24" s="63">
        <f t="shared" si="8"/>
        <v>-3.8461538461538464E-3</v>
      </c>
    </row>
    <row r="25" spans="2:12" ht="69" customHeight="1" x14ac:dyDescent="0.25">
      <c r="B25" s="15" t="s">
        <v>25</v>
      </c>
      <c r="C25" s="10" t="s">
        <v>26</v>
      </c>
      <c r="D25" s="17">
        <v>25056</v>
      </c>
      <c r="E25" s="18">
        <f>D25*360</f>
        <v>9020160</v>
      </c>
      <c r="F25" s="56">
        <f>+D25*360</f>
        <v>9020160</v>
      </c>
      <c r="G25" s="57" t="b">
        <f t="shared" si="5"/>
        <v>1</v>
      </c>
      <c r="H25" s="66">
        <v>24960</v>
      </c>
      <c r="I25" s="66">
        <f>+H25*360</f>
        <v>8985600</v>
      </c>
      <c r="J25" s="67">
        <f t="shared" si="6"/>
        <v>-96</v>
      </c>
      <c r="K25" s="67">
        <f t="shared" si="7"/>
        <v>-34560</v>
      </c>
      <c r="L25" s="63">
        <f t="shared" si="8"/>
        <v>-3.8461538461538464E-3</v>
      </c>
    </row>
    <row r="26" spans="2:12" ht="78.75" customHeight="1" x14ac:dyDescent="0.25">
      <c r="B26" s="15" t="s">
        <v>27</v>
      </c>
      <c r="C26" s="10" t="s">
        <v>28</v>
      </c>
      <c r="D26" s="19">
        <v>31320</v>
      </c>
      <c r="E26" s="18">
        <f>D26*300</f>
        <v>9396000</v>
      </c>
      <c r="F26" s="56">
        <f>+D26*300</f>
        <v>9396000</v>
      </c>
      <c r="G26" s="57" t="b">
        <f t="shared" si="5"/>
        <v>1</v>
      </c>
      <c r="H26" s="66">
        <v>31200</v>
      </c>
      <c r="I26" s="66">
        <f>+H26*300</f>
        <v>9360000</v>
      </c>
      <c r="J26" s="67">
        <f t="shared" si="6"/>
        <v>-120</v>
      </c>
      <c r="K26" s="67">
        <f t="shared" si="7"/>
        <v>-36000</v>
      </c>
      <c r="L26" s="63">
        <f t="shared" si="8"/>
        <v>-3.8461538461538464E-3</v>
      </c>
    </row>
    <row r="27" spans="2:12" ht="73.5" customHeight="1" x14ac:dyDescent="0.25">
      <c r="B27" s="15" t="s">
        <v>29</v>
      </c>
      <c r="C27" s="10" t="s">
        <v>30</v>
      </c>
      <c r="D27" s="19">
        <v>2877000</v>
      </c>
      <c r="E27" s="18">
        <f>D27*4</f>
        <v>11508000</v>
      </c>
      <c r="F27" s="56">
        <f>+D27*4</f>
        <v>11508000</v>
      </c>
      <c r="G27" s="57" t="b">
        <f t="shared" si="5"/>
        <v>1</v>
      </c>
      <c r="H27" s="66">
        <v>3120000</v>
      </c>
      <c r="I27" s="66">
        <f>+H27*4</f>
        <v>12480000</v>
      </c>
      <c r="J27" s="67">
        <f t="shared" si="6"/>
        <v>243000</v>
      </c>
      <c r="K27" s="67">
        <f t="shared" si="7"/>
        <v>972000</v>
      </c>
      <c r="L27" s="63">
        <f t="shared" si="8"/>
        <v>7.7884615384615385E-2</v>
      </c>
    </row>
    <row r="28" spans="2:12" ht="109.5" customHeight="1" x14ac:dyDescent="0.25">
      <c r="B28" s="15" t="s">
        <v>31</v>
      </c>
      <c r="C28" s="10" t="s">
        <v>32</v>
      </c>
      <c r="D28" s="16">
        <v>27450</v>
      </c>
      <c r="E28" s="20">
        <f>D28*20</f>
        <v>549000</v>
      </c>
      <c r="F28" s="56">
        <f>+D28*20</f>
        <v>549000</v>
      </c>
      <c r="G28" s="57" t="b">
        <f>+F28=E28</f>
        <v>1</v>
      </c>
      <c r="H28" s="66">
        <v>26000</v>
      </c>
      <c r="I28" s="66">
        <f>+H28*20</f>
        <v>520000</v>
      </c>
      <c r="J28" s="67">
        <f t="shared" si="6"/>
        <v>-1450</v>
      </c>
      <c r="K28" s="67">
        <f t="shared" si="7"/>
        <v>-29000</v>
      </c>
      <c r="L28" s="63">
        <f t="shared" si="8"/>
        <v>-5.5769230769230772E-2</v>
      </c>
    </row>
    <row r="29" spans="2:12" ht="45.75" customHeight="1" x14ac:dyDescent="0.25">
      <c r="B29" s="15" t="s">
        <v>33</v>
      </c>
      <c r="C29" s="10" t="s">
        <v>34</v>
      </c>
      <c r="D29" s="16">
        <v>10440</v>
      </c>
      <c r="E29" s="18">
        <f>D29*505</f>
        <v>5272200</v>
      </c>
      <c r="F29" s="56">
        <f>+D29*505</f>
        <v>5272200</v>
      </c>
      <c r="G29" s="57" t="b">
        <f>+F29=E29</f>
        <v>1</v>
      </c>
      <c r="H29" s="66">
        <v>10400</v>
      </c>
      <c r="I29" s="66">
        <f>+H29*505</f>
        <v>5252000</v>
      </c>
      <c r="J29" s="67">
        <f t="shared" si="6"/>
        <v>-40</v>
      </c>
      <c r="K29" s="67">
        <f t="shared" si="7"/>
        <v>-20200</v>
      </c>
      <c r="L29" s="63">
        <f t="shared" si="8"/>
        <v>-3.8461538461538464E-3</v>
      </c>
    </row>
    <row r="30" spans="2:12" ht="18" customHeight="1" x14ac:dyDescent="0.25">
      <c r="B30" s="78" t="s">
        <v>35</v>
      </c>
      <c r="C30" s="79"/>
      <c r="D30" s="80"/>
      <c r="E30" s="21">
        <f>SUM(E20:E29)</f>
        <v>55042800</v>
      </c>
      <c r="H30" s="69">
        <f>+SUM(H20:H29)</f>
        <v>7315880</v>
      </c>
      <c r="I30" s="69">
        <f>+SUM(I20:I29)</f>
        <v>55848000</v>
      </c>
    </row>
    <row r="31" spans="2:12" ht="18.75" customHeight="1" x14ac:dyDescent="0.25">
      <c r="B31" s="81" t="s">
        <v>36</v>
      </c>
      <c r="C31" s="82"/>
      <c r="D31" s="83"/>
      <c r="E31" s="22">
        <f>SUM(F14,E30)</f>
        <v>265200000</v>
      </c>
    </row>
    <row r="32" spans="2:12" ht="15.75" customHeight="1" x14ac:dyDescent="0.25"/>
    <row r="33" spans="3:3" ht="15.75" customHeight="1" x14ac:dyDescent="0.25"/>
    <row r="34" spans="3:3" ht="15.75" customHeight="1" x14ac:dyDescent="0.25"/>
    <row r="35" spans="3:3" ht="15.75" customHeight="1" x14ac:dyDescent="0.25"/>
    <row r="36" spans="3:3" ht="15.75" customHeight="1" x14ac:dyDescent="0.25"/>
    <row r="37" spans="3:3" ht="15.75" customHeight="1" x14ac:dyDescent="0.25"/>
    <row r="38" spans="3:3" ht="15.75" customHeight="1" x14ac:dyDescent="0.25"/>
    <row r="39" spans="3:3" ht="15.75" customHeight="1" x14ac:dyDescent="0.25"/>
    <row r="40" spans="3:3" ht="15.75" customHeight="1" x14ac:dyDescent="0.25">
      <c r="C40" s="54">
        <v>6874000</v>
      </c>
    </row>
    <row r="41" spans="3:3" ht="15.75" customHeight="1" x14ac:dyDescent="0.25"/>
    <row r="42" spans="3:3" ht="15.75" customHeight="1" x14ac:dyDescent="0.25"/>
    <row r="43" spans="3:3" ht="15.75" customHeight="1" x14ac:dyDescent="0.25">
      <c r="C43">
        <f>+C40*4.5%</f>
        <v>309330</v>
      </c>
    </row>
    <row r="44" spans="3:3" ht="15.75" customHeight="1" x14ac:dyDescent="0.25"/>
    <row r="45" spans="3:3" ht="15.75" customHeight="1" x14ac:dyDescent="0.25">
      <c r="C45" s="65">
        <f>+C40+C43</f>
        <v>7183330</v>
      </c>
    </row>
    <row r="46" spans="3:3" ht="15.75" customHeight="1" x14ac:dyDescent="0.25"/>
    <row r="47" spans="3:3" ht="15.75" customHeight="1" x14ac:dyDescent="0.25"/>
    <row r="48" spans="3:3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</sheetData>
  <mergeCells count="7">
    <mergeCell ref="B30:D30"/>
    <mergeCell ref="B31:D31"/>
    <mergeCell ref="C1:D6"/>
    <mergeCell ref="E1:F6"/>
    <mergeCell ref="B7:F7"/>
    <mergeCell ref="B14:E14"/>
    <mergeCell ref="B18:E18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M55"/>
  <sheetViews>
    <sheetView tabSelected="1" workbookViewId="0">
      <selection activeCell="A20" sqref="A20"/>
    </sheetView>
  </sheetViews>
  <sheetFormatPr baseColWidth="10" defaultColWidth="14.42578125" defaultRowHeight="15" customHeight="1" x14ac:dyDescent="0.25"/>
  <cols>
    <col min="2" max="2" width="27.28515625" customWidth="1"/>
    <col min="3" max="3" width="20.140625" customWidth="1"/>
    <col min="4" max="4" width="25.140625" customWidth="1"/>
    <col min="5" max="5" width="18.42578125" customWidth="1"/>
    <col min="6" max="6" width="21.42578125" customWidth="1"/>
    <col min="7" max="7" width="22.42578125" customWidth="1"/>
    <col min="8" max="8" width="15" customWidth="1"/>
    <col min="9" max="9" width="8.28515625" customWidth="1"/>
    <col min="10" max="10" width="26.140625" customWidth="1"/>
    <col min="11" max="11" width="27.140625" customWidth="1"/>
    <col min="12" max="12" width="17.5703125" bestFit="1" customWidth="1"/>
  </cols>
  <sheetData>
    <row r="1" spans="1:13" x14ac:dyDescent="0.25">
      <c r="A1" s="23"/>
      <c r="B1" s="114" t="s">
        <v>0</v>
      </c>
      <c r="C1" s="117" t="s">
        <v>37</v>
      </c>
      <c r="D1" s="118"/>
      <c r="E1" s="118"/>
      <c r="F1" s="118"/>
      <c r="G1" s="118"/>
      <c r="H1" s="119"/>
      <c r="I1" s="121"/>
      <c r="J1" s="119"/>
      <c r="K1" s="23"/>
      <c r="L1" s="23"/>
    </row>
    <row r="2" spans="1:13" x14ac:dyDescent="0.25">
      <c r="A2" s="23"/>
      <c r="B2" s="115"/>
      <c r="C2" s="86"/>
      <c r="D2" s="92"/>
      <c r="E2" s="92"/>
      <c r="F2" s="92"/>
      <c r="G2" s="92"/>
      <c r="H2" s="87"/>
      <c r="I2" s="86"/>
      <c r="J2" s="87"/>
      <c r="K2" s="23"/>
      <c r="L2" s="23"/>
    </row>
    <row r="3" spans="1:13" x14ac:dyDescent="0.25">
      <c r="A3" s="23"/>
      <c r="B3" s="115"/>
      <c r="C3" s="86"/>
      <c r="D3" s="92"/>
      <c r="E3" s="92"/>
      <c r="F3" s="92"/>
      <c r="G3" s="92"/>
      <c r="H3" s="87"/>
      <c r="I3" s="86"/>
      <c r="J3" s="87"/>
      <c r="K3" s="23"/>
      <c r="L3" s="23"/>
    </row>
    <row r="4" spans="1:13" x14ac:dyDescent="0.25">
      <c r="A4" s="23"/>
      <c r="B4" s="115"/>
      <c r="C4" s="86"/>
      <c r="D4" s="92"/>
      <c r="E4" s="92"/>
      <c r="F4" s="92"/>
      <c r="G4" s="92"/>
      <c r="H4" s="87"/>
      <c r="I4" s="86"/>
      <c r="J4" s="87"/>
      <c r="K4" s="23"/>
      <c r="L4" s="23"/>
    </row>
    <row r="5" spans="1:13" x14ac:dyDescent="0.25">
      <c r="A5" s="23"/>
      <c r="B5" s="115"/>
      <c r="C5" s="86"/>
      <c r="D5" s="92"/>
      <c r="E5" s="92"/>
      <c r="F5" s="92"/>
      <c r="G5" s="92"/>
      <c r="H5" s="87"/>
      <c r="I5" s="86"/>
      <c r="J5" s="87"/>
      <c r="K5" s="23"/>
      <c r="L5" s="23"/>
    </row>
    <row r="6" spans="1:13" x14ac:dyDescent="0.25">
      <c r="A6" s="23"/>
      <c r="B6" s="116"/>
      <c r="C6" s="88"/>
      <c r="D6" s="120"/>
      <c r="E6" s="120"/>
      <c r="F6" s="120"/>
      <c r="G6" s="120"/>
      <c r="H6" s="89"/>
      <c r="I6" s="88"/>
      <c r="J6" s="89"/>
      <c r="K6" s="23"/>
      <c r="L6" s="23"/>
    </row>
    <row r="7" spans="1:13" x14ac:dyDescent="0.25">
      <c r="A7" s="23"/>
      <c r="B7" s="122" t="s">
        <v>38</v>
      </c>
      <c r="C7" s="79"/>
      <c r="D7" s="79"/>
      <c r="E7" s="79"/>
      <c r="F7" s="79"/>
      <c r="G7" s="79"/>
      <c r="H7" s="79"/>
      <c r="I7" s="79"/>
      <c r="J7" s="123"/>
      <c r="K7" s="23"/>
      <c r="L7" s="23"/>
    </row>
    <row r="8" spans="1:13" x14ac:dyDescent="0.25">
      <c r="A8" s="23"/>
      <c r="B8" s="124" t="s">
        <v>39</v>
      </c>
      <c r="C8" s="125" t="s">
        <v>40</v>
      </c>
      <c r="D8" s="126" t="s">
        <v>41</v>
      </c>
      <c r="E8" s="132" t="s">
        <v>42</v>
      </c>
      <c r="F8" s="133" t="s">
        <v>43</v>
      </c>
      <c r="G8" s="126" t="s">
        <v>44</v>
      </c>
      <c r="H8" s="139" t="s">
        <v>45</v>
      </c>
      <c r="I8" s="80"/>
      <c r="J8" s="127" t="s">
        <v>46</v>
      </c>
      <c r="K8" s="23"/>
      <c r="L8" s="23"/>
    </row>
    <row r="9" spans="1:13" x14ac:dyDescent="0.25">
      <c r="A9" s="23"/>
      <c r="B9" s="116"/>
      <c r="C9" s="107"/>
      <c r="D9" s="107"/>
      <c r="E9" s="107"/>
      <c r="F9" s="107"/>
      <c r="G9" s="107"/>
      <c r="H9" s="24" t="s">
        <v>47</v>
      </c>
      <c r="I9" s="24" t="s">
        <v>48</v>
      </c>
      <c r="J9" s="128"/>
      <c r="K9" s="23"/>
      <c r="L9" s="76"/>
    </row>
    <row r="10" spans="1:13" x14ac:dyDescent="0.25">
      <c r="A10" s="23"/>
      <c r="B10" s="142" t="s">
        <v>49</v>
      </c>
      <c r="C10" s="25" t="s">
        <v>50</v>
      </c>
      <c r="D10" s="25" t="s">
        <v>51</v>
      </c>
      <c r="E10" s="26">
        <v>42282000</v>
      </c>
      <c r="F10" s="27">
        <v>5950800</v>
      </c>
      <c r="G10" s="28">
        <f t="shared" ref="G10:G16" si="0">E10-F10</f>
        <v>36331200</v>
      </c>
      <c r="H10" s="29" t="s">
        <v>52</v>
      </c>
      <c r="I10" s="30"/>
      <c r="J10" s="31" t="s">
        <v>53</v>
      </c>
      <c r="K10" s="23"/>
      <c r="L10" s="53"/>
      <c r="M10" s="54"/>
    </row>
    <row r="11" spans="1:13" x14ac:dyDescent="0.25">
      <c r="A11" s="23"/>
      <c r="B11" s="115"/>
      <c r="C11" s="32" t="s">
        <v>54</v>
      </c>
      <c r="D11" s="32" t="s">
        <v>55</v>
      </c>
      <c r="E11" s="26">
        <v>37584000</v>
      </c>
      <c r="F11" s="27">
        <v>5289600</v>
      </c>
      <c r="G11" s="28">
        <f t="shared" si="0"/>
        <v>32294400</v>
      </c>
      <c r="H11" s="29" t="s">
        <v>52</v>
      </c>
      <c r="I11" s="30"/>
      <c r="J11" s="31" t="s">
        <v>56</v>
      </c>
      <c r="K11" s="23"/>
      <c r="L11" s="53"/>
      <c r="M11" s="54"/>
    </row>
    <row r="12" spans="1:13" x14ac:dyDescent="0.25">
      <c r="A12" s="23"/>
      <c r="B12" s="115"/>
      <c r="C12" s="32" t="s">
        <v>57</v>
      </c>
      <c r="D12" s="32" t="s">
        <v>58</v>
      </c>
      <c r="E12" s="26">
        <v>37584000</v>
      </c>
      <c r="F12" s="27">
        <v>5289600</v>
      </c>
      <c r="G12" s="28">
        <f t="shared" si="0"/>
        <v>32294400</v>
      </c>
      <c r="H12" s="29" t="s">
        <v>52</v>
      </c>
      <c r="I12" s="30"/>
      <c r="J12" s="31" t="s">
        <v>59</v>
      </c>
      <c r="K12" s="23"/>
      <c r="L12" s="53"/>
      <c r="M12" s="54"/>
    </row>
    <row r="13" spans="1:13" x14ac:dyDescent="0.25">
      <c r="A13" s="23"/>
      <c r="B13" s="115"/>
      <c r="C13" s="25" t="s">
        <v>54</v>
      </c>
      <c r="D13" s="25" t="s">
        <v>60</v>
      </c>
      <c r="E13" s="26">
        <v>37584000</v>
      </c>
      <c r="F13" s="27">
        <v>5289600</v>
      </c>
      <c r="G13" s="28">
        <f t="shared" si="0"/>
        <v>32294400</v>
      </c>
      <c r="H13" s="29" t="s">
        <v>52</v>
      </c>
      <c r="I13" s="30"/>
      <c r="J13" s="31" t="s">
        <v>61</v>
      </c>
      <c r="K13" s="23"/>
      <c r="L13" s="53"/>
      <c r="M13" s="54"/>
    </row>
    <row r="14" spans="1:13" x14ac:dyDescent="0.25">
      <c r="A14" s="23"/>
      <c r="B14" s="115"/>
      <c r="C14" s="32" t="s">
        <v>62</v>
      </c>
      <c r="D14" s="32" t="s">
        <v>63</v>
      </c>
      <c r="E14" s="26">
        <v>23490000</v>
      </c>
      <c r="F14" s="27">
        <v>3306000</v>
      </c>
      <c r="G14" s="28">
        <f t="shared" si="0"/>
        <v>20184000</v>
      </c>
      <c r="H14" s="29" t="s">
        <v>52</v>
      </c>
      <c r="I14" s="30"/>
      <c r="J14" s="31" t="s">
        <v>64</v>
      </c>
      <c r="K14" s="23"/>
      <c r="L14" s="53"/>
      <c r="M14" s="54"/>
    </row>
    <row r="15" spans="1:13" x14ac:dyDescent="0.25">
      <c r="A15" s="23"/>
      <c r="B15" s="115"/>
      <c r="C15" s="32" t="s">
        <v>65</v>
      </c>
      <c r="D15" s="32" t="s">
        <v>66</v>
      </c>
      <c r="E15" s="26">
        <v>25369200</v>
      </c>
      <c r="F15" s="27">
        <v>3570480</v>
      </c>
      <c r="G15" s="28">
        <f t="shared" si="0"/>
        <v>21798720</v>
      </c>
      <c r="H15" s="29" t="s">
        <v>52</v>
      </c>
      <c r="I15" s="30"/>
      <c r="J15" s="31" t="s">
        <v>67</v>
      </c>
      <c r="K15" s="23"/>
      <c r="L15" s="53"/>
      <c r="M15" s="54"/>
    </row>
    <row r="16" spans="1:13" ht="25.5" x14ac:dyDescent="0.25">
      <c r="A16" s="23"/>
      <c r="B16" s="115"/>
      <c r="C16" s="32" t="s">
        <v>68</v>
      </c>
      <c r="D16" s="25" t="s">
        <v>69</v>
      </c>
      <c r="E16" s="26">
        <v>6264000</v>
      </c>
      <c r="F16" s="27">
        <v>0</v>
      </c>
      <c r="G16" s="28">
        <f t="shared" si="0"/>
        <v>6264000</v>
      </c>
      <c r="H16" s="29" t="s">
        <v>52</v>
      </c>
      <c r="I16" s="33"/>
      <c r="J16" s="34" t="s">
        <v>70</v>
      </c>
      <c r="K16" s="23"/>
      <c r="L16" s="23"/>
    </row>
    <row r="17" spans="1:12" ht="15.75" thickBot="1" x14ac:dyDescent="0.3">
      <c r="A17" s="23"/>
      <c r="B17" s="143"/>
      <c r="C17" s="144" t="s">
        <v>71</v>
      </c>
      <c r="D17" s="80"/>
      <c r="E17" s="35">
        <f>+SUM(E10:E16)</f>
        <v>210157200</v>
      </c>
      <c r="F17" s="36">
        <f t="shared" ref="F17:G17" si="1">SUM(F10:F16)</f>
        <v>28696080</v>
      </c>
      <c r="G17" s="35">
        <f t="shared" si="1"/>
        <v>181461120</v>
      </c>
      <c r="H17" s="140"/>
      <c r="I17" s="82"/>
      <c r="J17" s="141"/>
      <c r="K17" s="23"/>
      <c r="L17" s="23"/>
    </row>
    <row r="18" spans="1:12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x14ac:dyDescent="0.25">
      <c r="A19" s="23"/>
      <c r="B19" s="23"/>
      <c r="C19" s="23"/>
      <c r="D19" s="23"/>
      <c r="E19" s="23"/>
      <c r="F19" s="77">
        <f>+F17/E17</f>
        <v>0.13654578572611359</v>
      </c>
      <c r="G19" s="23"/>
      <c r="H19" s="23"/>
      <c r="I19" s="23"/>
      <c r="J19" s="23"/>
      <c r="K19" s="23"/>
      <c r="L19" s="23"/>
    </row>
    <row r="20" spans="1:12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spans="1:12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15.75" thickBot="1" x14ac:dyDescent="0.3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ht="15.75" x14ac:dyDescent="0.25">
      <c r="A23" s="23"/>
      <c r="B23" s="134" t="s">
        <v>38</v>
      </c>
      <c r="C23" s="97"/>
      <c r="D23" s="97"/>
      <c r="E23" s="97"/>
      <c r="F23" s="97"/>
      <c r="G23" s="97"/>
      <c r="H23" s="97"/>
      <c r="I23" s="97"/>
      <c r="J23" s="97"/>
      <c r="K23" s="98"/>
      <c r="L23" s="23"/>
    </row>
    <row r="24" spans="1:12" x14ac:dyDescent="0.25">
      <c r="A24" s="23"/>
      <c r="B24" s="135" t="s">
        <v>39</v>
      </c>
      <c r="C24" s="136" t="s">
        <v>40</v>
      </c>
      <c r="D24" s="85"/>
      <c r="E24" s="137" t="s">
        <v>42</v>
      </c>
      <c r="F24" s="138" t="s">
        <v>72</v>
      </c>
      <c r="G24" s="129" t="s">
        <v>44</v>
      </c>
      <c r="H24" s="130" t="s">
        <v>45</v>
      </c>
      <c r="I24" s="80"/>
      <c r="J24" s="129" t="s">
        <v>73</v>
      </c>
      <c r="K24" s="131" t="s">
        <v>74</v>
      </c>
      <c r="L24" s="23"/>
    </row>
    <row r="25" spans="1:12" ht="15.75" x14ac:dyDescent="0.25">
      <c r="A25" s="23"/>
      <c r="B25" s="116"/>
      <c r="C25" s="88"/>
      <c r="D25" s="89"/>
      <c r="E25" s="107"/>
      <c r="F25" s="107"/>
      <c r="G25" s="107"/>
      <c r="H25" s="37" t="s">
        <v>47</v>
      </c>
      <c r="I25" s="37" t="s">
        <v>48</v>
      </c>
      <c r="J25" s="107"/>
      <c r="K25" s="128"/>
      <c r="L25" s="23"/>
    </row>
    <row r="26" spans="1:12" ht="54" customHeight="1" x14ac:dyDescent="0.25">
      <c r="A26" s="23"/>
      <c r="B26" s="105" t="s">
        <v>75</v>
      </c>
      <c r="C26" s="103" t="s">
        <v>76</v>
      </c>
      <c r="D26" s="80"/>
      <c r="E26" s="145">
        <v>4176000</v>
      </c>
      <c r="F26" s="55">
        <v>480000</v>
      </c>
      <c r="G26" s="110">
        <f>E26-F26-F27-F28-F29-F30</f>
        <v>2088000</v>
      </c>
      <c r="H26" s="38" t="s">
        <v>52</v>
      </c>
      <c r="I26" s="30"/>
      <c r="J26" s="39" t="s">
        <v>77</v>
      </c>
      <c r="K26" s="40" t="s">
        <v>78</v>
      </c>
      <c r="L26" s="23"/>
    </row>
    <row r="27" spans="1:12" ht="44.25" customHeight="1" x14ac:dyDescent="0.25">
      <c r="A27" s="23"/>
      <c r="B27" s="106"/>
      <c r="C27" s="103" t="s">
        <v>79</v>
      </c>
      <c r="D27" s="80"/>
      <c r="E27" s="146"/>
      <c r="F27" s="55">
        <v>480000</v>
      </c>
      <c r="G27" s="106"/>
      <c r="H27" s="38" t="s">
        <v>52</v>
      </c>
      <c r="I27" s="30"/>
      <c r="J27" s="39" t="s">
        <v>80</v>
      </c>
      <c r="K27" s="41" t="s">
        <v>78</v>
      </c>
      <c r="L27" s="23"/>
    </row>
    <row r="28" spans="1:12" ht="44.25" customHeight="1" x14ac:dyDescent="0.25">
      <c r="A28" s="23"/>
      <c r="B28" s="106"/>
      <c r="C28" s="103" t="s">
        <v>81</v>
      </c>
      <c r="D28" s="80"/>
      <c r="E28" s="146"/>
      <c r="F28" s="55">
        <v>450000</v>
      </c>
      <c r="G28" s="106"/>
      <c r="H28" s="38" t="s">
        <v>52</v>
      </c>
      <c r="I28" s="30"/>
      <c r="J28" s="39" t="s">
        <v>82</v>
      </c>
      <c r="K28" s="41" t="s">
        <v>63</v>
      </c>
      <c r="L28" s="23"/>
    </row>
    <row r="29" spans="1:12" ht="48.75" customHeight="1" x14ac:dyDescent="0.25">
      <c r="A29" s="23"/>
      <c r="B29" s="106"/>
      <c r="C29" s="103" t="s">
        <v>83</v>
      </c>
      <c r="D29" s="80"/>
      <c r="E29" s="146"/>
      <c r="F29" s="55">
        <v>248000</v>
      </c>
      <c r="G29" s="106"/>
      <c r="H29" s="38" t="s">
        <v>52</v>
      </c>
      <c r="I29" s="30"/>
      <c r="J29" s="39" t="s">
        <v>84</v>
      </c>
      <c r="K29" s="41" t="s">
        <v>85</v>
      </c>
      <c r="L29" s="23"/>
    </row>
    <row r="30" spans="1:12" ht="44.25" customHeight="1" x14ac:dyDescent="0.25">
      <c r="A30" s="23"/>
      <c r="B30" s="107"/>
      <c r="C30" s="103" t="s">
        <v>86</v>
      </c>
      <c r="D30" s="80"/>
      <c r="E30" s="128"/>
      <c r="F30" s="55">
        <v>430000</v>
      </c>
      <c r="G30" s="107"/>
      <c r="H30" s="38" t="s">
        <v>52</v>
      </c>
      <c r="I30" s="30"/>
      <c r="J30" s="39" t="s">
        <v>87</v>
      </c>
      <c r="K30" s="41" t="s">
        <v>78</v>
      </c>
      <c r="L30" s="23"/>
    </row>
    <row r="31" spans="1:12" ht="45" customHeight="1" x14ac:dyDescent="0.25">
      <c r="A31" s="23"/>
      <c r="B31" s="105" t="s">
        <v>88</v>
      </c>
      <c r="C31" s="103" t="s">
        <v>89</v>
      </c>
      <c r="D31" s="80"/>
      <c r="E31" s="109">
        <v>1044000</v>
      </c>
      <c r="F31" s="58">
        <v>522000</v>
      </c>
      <c r="G31" s="110">
        <f>E31-F31</f>
        <v>522000</v>
      </c>
      <c r="H31" s="38" t="s">
        <v>52</v>
      </c>
      <c r="I31" s="30"/>
      <c r="J31" s="39" t="s">
        <v>90</v>
      </c>
      <c r="K31" s="41" t="s">
        <v>91</v>
      </c>
      <c r="L31" s="23"/>
    </row>
    <row r="32" spans="1:12" ht="45" customHeight="1" x14ac:dyDescent="0.25">
      <c r="A32" s="23"/>
      <c r="B32" s="107"/>
      <c r="C32" s="103"/>
      <c r="D32" s="80"/>
      <c r="E32" s="107"/>
      <c r="F32" s="42">
        <v>0</v>
      </c>
      <c r="G32" s="107"/>
      <c r="H32" s="38"/>
      <c r="I32" s="30"/>
      <c r="J32" s="39"/>
      <c r="K32" s="41"/>
      <c r="L32" s="23"/>
    </row>
    <row r="33" spans="1:12" ht="71.25" x14ac:dyDescent="0.25">
      <c r="A33" s="23"/>
      <c r="B33" s="10" t="s">
        <v>92</v>
      </c>
      <c r="C33" s="103"/>
      <c r="D33" s="80"/>
      <c r="E33" s="43">
        <v>3758400</v>
      </c>
      <c r="F33" s="42">
        <v>0</v>
      </c>
      <c r="G33" s="44">
        <f>E33-(F33)</f>
        <v>3758400</v>
      </c>
      <c r="H33" s="38"/>
      <c r="I33" s="30"/>
      <c r="J33" s="39"/>
      <c r="K33" s="41"/>
      <c r="L33" s="23"/>
    </row>
    <row r="34" spans="1:12" ht="142.5" x14ac:dyDescent="0.25">
      <c r="A34" s="23"/>
      <c r="B34" s="10" t="s">
        <v>93</v>
      </c>
      <c r="C34" s="103"/>
      <c r="D34" s="80"/>
      <c r="E34" s="43">
        <v>9369000</v>
      </c>
      <c r="F34" s="42">
        <v>0</v>
      </c>
      <c r="G34" s="44">
        <f t="shared" ref="G34:G35" si="2">E34-F34</f>
        <v>9369000</v>
      </c>
      <c r="H34" s="38"/>
      <c r="I34" s="30"/>
      <c r="J34" s="39"/>
      <c r="K34" s="41"/>
      <c r="L34" s="23"/>
    </row>
    <row r="35" spans="1:12" ht="114" x14ac:dyDescent="0.25">
      <c r="A35" s="23"/>
      <c r="B35" s="10" t="s">
        <v>94</v>
      </c>
      <c r="C35" s="104"/>
      <c r="D35" s="80"/>
      <c r="E35" s="43">
        <v>950040</v>
      </c>
      <c r="F35" s="42">
        <v>0</v>
      </c>
      <c r="G35" s="44">
        <f t="shared" si="2"/>
        <v>950040</v>
      </c>
      <c r="H35" s="30"/>
      <c r="I35" s="30"/>
      <c r="J35" s="39"/>
      <c r="K35" s="45"/>
      <c r="L35" s="23"/>
    </row>
    <row r="36" spans="1:12" ht="20.25" customHeight="1" x14ac:dyDescent="0.25">
      <c r="A36" s="23"/>
      <c r="B36" s="105" t="s">
        <v>95</v>
      </c>
      <c r="C36" s="108" t="s">
        <v>96</v>
      </c>
      <c r="D36" s="80"/>
      <c r="E36" s="109">
        <v>9020160</v>
      </c>
      <c r="F36" s="42">
        <v>375840</v>
      </c>
      <c r="G36" s="110">
        <f>E36-F36-F37-F38</f>
        <v>8268480</v>
      </c>
      <c r="H36" s="30"/>
      <c r="I36" s="30"/>
      <c r="J36" s="39" t="s">
        <v>97</v>
      </c>
      <c r="K36" s="45" t="s">
        <v>98</v>
      </c>
      <c r="L36" s="23"/>
    </row>
    <row r="37" spans="1:12" ht="16.5" customHeight="1" x14ac:dyDescent="0.25">
      <c r="A37" s="23"/>
      <c r="B37" s="106"/>
      <c r="C37" s="108" t="s">
        <v>99</v>
      </c>
      <c r="D37" s="80"/>
      <c r="E37" s="106"/>
      <c r="F37" s="42">
        <v>375840</v>
      </c>
      <c r="G37" s="106"/>
      <c r="H37" s="30"/>
      <c r="I37" s="30"/>
      <c r="J37" s="39" t="s">
        <v>100</v>
      </c>
      <c r="K37" s="45" t="s">
        <v>101</v>
      </c>
      <c r="L37" s="23"/>
    </row>
    <row r="38" spans="1:12" ht="31.5" customHeight="1" x14ac:dyDescent="0.25">
      <c r="A38" s="23"/>
      <c r="B38" s="107"/>
      <c r="C38" s="103"/>
      <c r="D38" s="80"/>
      <c r="E38" s="107"/>
      <c r="F38" s="42">
        <v>0</v>
      </c>
      <c r="G38" s="107"/>
      <c r="H38" s="30"/>
      <c r="I38" s="30"/>
      <c r="J38" s="39"/>
      <c r="K38" s="45"/>
      <c r="L38" s="23"/>
    </row>
    <row r="39" spans="1:12" ht="71.25" x14ac:dyDescent="0.25">
      <c r="A39" s="23"/>
      <c r="B39" s="10" t="s">
        <v>102</v>
      </c>
      <c r="C39" s="103"/>
      <c r="D39" s="80"/>
      <c r="E39" s="43">
        <v>9396000</v>
      </c>
      <c r="F39" s="42">
        <v>0</v>
      </c>
      <c r="G39" s="44">
        <f>E39-F39</f>
        <v>9396000</v>
      </c>
      <c r="H39" s="30"/>
      <c r="I39" s="30"/>
      <c r="J39" s="39"/>
      <c r="K39" s="45"/>
      <c r="L39" s="23"/>
    </row>
    <row r="40" spans="1:12" ht="51.75" customHeight="1" x14ac:dyDescent="0.25">
      <c r="A40" s="23"/>
      <c r="B40" s="105" t="s">
        <v>103</v>
      </c>
      <c r="C40" s="104"/>
      <c r="D40" s="80"/>
      <c r="E40" s="109">
        <v>11508000</v>
      </c>
      <c r="F40" s="43">
        <v>0</v>
      </c>
      <c r="G40" s="110">
        <f>E40-F40-F41-F42-F43</f>
        <v>11508000</v>
      </c>
      <c r="H40" s="46" t="s">
        <v>52</v>
      </c>
      <c r="I40" s="47"/>
      <c r="J40" s="39"/>
      <c r="K40" s="45"/>
      <c r="L40" s="23"/>
    </row>
    <row r="41" spans="1:12" ht="45" customHeight="1" x14ac:dyDescent="0.25">
      <c r="A41" s="23"/>
      <c r="B41" s="106"/>
      <c r="C41" s="104"/>
      <c r="D41" s="80"/>
      <c r="E41" s="106"/>
      <c r="F41" s="43">
        <v>0</v>
      </c>
      <c r="G41" s="106"/>
      <c r="H41" s="46" t="s">
        <v>52</v>
      </c>
      <c r="I41" s="47"/>
      <c r="J41" s="39"/>
      <c r="K41" s="45"/>
      <c r="L41" s="23"/>
    </row>
    <row r="42" spans="1:12" ht="45" customHeight="1" x14ac:dyDescent="0.25">
      <c r="A42" s="23"/>
      <c r="B42" s="106"/>
      <c r="C42" s="104"/>
      <c r="D42" s="80"/>
      <c r="E42" s="106"/>
      <c r="F42" s="43">
        <v>0</v>
      </c>
      <c r="G42" s="106"/>
      <c r="H42" s="46" t="s">
        <v>52</v>
      </c>
      <c r="I42" s="47"/>
      <c r="J42" s="39"/>
      <c r="K42" s="45"/>
      <c r="L42" s="23"/>
    </row>
    <row r="43" spans="1:12" ht="45" customHeight="1" x14ac:dyDescent="0.25">
      <c r="A43" s="23"/>
      <c r="B43" s="107"/>
      <c r="C43" s="111"/>
      <c r="D43" s="80"/>
      <c r="E43" s="107"/>
      <c r="F43" s="43">
        <v>0</v>
      </c>
      <c r="G43" s="107"/>
      <c r="H43" s="46" t="s">
        <v>52</v>
      </c>
      <c r="I43" s="47"/>
      <c r="J43" s="39"/>
      <c r="K43" s="45"/>
      <c r="L43" s="23"/>
    </row>
    <row r="44" spans="1:12" ht="67.5" customHeight="1" x14ac:dyDescent="0.25">
      <c r="A44" s="23"/>
      <c r="B44" s="105" t="s">
        <v>104</v>
      </c>
      <c r="C44" s="104"/>
      <c r="D44" s="80"/>
      <c r="E44" s="109">
        <v>549000</v>
      </c>
      <c r="F44" s="43">
        <v>0</v>
      </c>
      <c r="G44" s="110">
        <f>E44-F44-F45-F46</f>
        <v>549000</v>
      </c>
      <c r="H44" s="46" t="s">
        <v>52</v>
      </c>
      <c r="I44" s="30"/>
      <c r="J44" s="39"/>
      <c r="K44" s="45"/>
      <c r="L44" s="23"/>
    </row>
    <row r="45" spans="1:12" ht="67.5" customHeight="1" x14ac:dyDescent="0.25">
      <c r="A45" s="23"/>
      <c r="B45" s="106"/>
      <c r="C45" s="104"/>
      <c r="D45" s="80"/>
      <c r="E45" s="106"/>
      <c r="F45" s="43">
        <v>0</v>
      </c>
      <c r="G45" s="106"/>
      <c r="H45" s="46" t="s">
        <v>52</v>
      </c>
      <c r="I45" s="30"/>
      <c r="J45" s="39"/>
      <c r="K45" s="45"/>
      <c r="L45" s="23"/>
    </row>
    <row r="46" spans="1:12" ht="67.5" customHeight="1" x14ac:dyDescent="0.25">
      <c r="A46" s="23"/>
      <c r="B46" s="107"/>
      <c r="C46" s="104"/>
      <c r="D46" s="80"/>
      <c r="E46" s="107"/>
      <c r="F46" s="43">
        <v>0</v>
      </c>
      <c r="G46" s="107"/>
      <c r="H46" s="46" t="s">
        <v>52</v>
      </c>
      <c r="I46" s="30"/>
      <c r="J46" s="39"/>
      <c r="K46" s="45"/>
      <c r="L46" s="23"/>
    </row>
    <row r="47" spans="1:12" ht="15.75" x14ac:dyDescent="0.25">
      <c r="A47" s="23"/>
      <c r="B47" s="105" t="s">
        <v>105</v>
      </c>
      <c r="C47" s="108" t="s">
        <v>106</v>
      </c>
      <c r="D47" s="80"/>
      <c r="E47" s="109">
        <v>5272200</v>
      </c>
      <c r="F47" s="42">
        <v>323640</v>
      </c>
      <c r="G47" s="110">
        <f>E47-F47-F48-F49-F50</f>
        <v>4948560</v>
      </c>
      <c r="H47" s="30"/>
      <c r="I47" s="30"/>
      <c r="J47" s="39" t="s">
        <v>107</v>
      </c>
      <c r="K47" s="45" t="s">
        <v>108</v>
      </c>
      <c r="L47" s="23"/>
    </row>
    <row r="48" spans="1:12" ht="15.75" x14ac:dyDescent="0.25">
      <c r="A48" s="23"/>
      <c r="B48" s="106"/>
      <c r="C48" s="108"/>
      <c r="D48" s="80"/>
      <c r="E48" s="106"/>
      <c r="F48" s="42">
        <v>0</v>
      </c>
      <c r="G48" s="106"/>
      <c r="H48" s="30"/>
      <c r="I48" s="30"/>
      <c r="J48" s="39"/>
      <c r="K48" s="45"/>
      <c r="L48" s="23"/>
    </row>
    <row r="49" spans="1:12" ht="15.75" x14ac:dyDescent="0.25">
      <c r="A49" s="23"/>
      <c r="B49" s="106"/>
      <c r="C49" s="108"/>
      <c r="D49" s="80"/>
      <c r="E49" s="106"/>
      <c r="F49" s="42">
        <v>0</v>
      </c>
      <c r="G49" s="106"/>
      <c r="H49" s="30"/>
      <c r="I49" s="30"/>
      <c r="J49" s="39"/>
      <c r="K49" s="45"/>
      <c r="L49" s="23"/>
    </row>
    <row r="50" spans="1:12" ht="15.75" x14ac:dyDescent="0.25">
      <c r="A50" s="23"/>
      <c r="B50" s="107"/>
      <c r="C50" s="108"/>
      <c r="D50" s="80"/>
      <c r="E50" s="107"/>
      <c r="F50" s="42">
        <v>0</v>
      </c>
      <c r="G50" s="107"/>
      <c r="H50" s="30"/>
      <c r="I50" s="30"/>
      <c r="J50" s="39"/>
      <c r="K50" s="45"/>
      <c r="L50" s="23"/>
    </row>
    <row r="51" spans="1:12" ht="16.5" thickBot="1" x14ac:dyDescent="0.3">
      <c r="A51" s="23"/>
      <c r="B51" s="112" t="s">
        <v>36</v>
      </c>
      <c r="C51" s="113"/>
      <c r="D51" s="48"/>
      <c r="E51" s="49">
        <f t="shared" ref="E51:F51" si="3">SUM(E26:E47)</f>
        <v>55042800</v>
      </c>
      <c r="F51" s="49">
        <f t="shared" si="3"/>
        <v>3685320</v>
      </c>
      <c r="G51" s="50">
        <f>E51-F51</f>
        <v>51357480</v>
      </c>
      <c r="H51" s="51"/>
      <c r="I51" s="52"/>
      <c r="J51" s="52"/>
      <c r="K51" s="52"/>
      <c r="L51" s="23"/>
    </row>
    <row r="52" spans="1:12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</row>
    <row r="53" spans="1:12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</row>
    <row r="54" spans="1:12" x14ac:dyDescent="0.25">
      <c r="A54" s="23"/>
      <c r="B54" s="23"/>
      <c r="C54" s="23"/>
      <c r="D54" s="23"/>
      <c r="E54" s="23"/>
      <c r="F54" s="77">
        <f>+F51/E51</f>
        <v>6.6953716017353768E-2</v>
      </c>
      <c r="G54" s="23"/>
      <c r="H54" s="23"/>
      <c r="I54" s="23"/>
      <c r="J54" s="23"/>
      <c r="K54" s="23"/>
      <c r="L54" s="23"/>
    </row>
    <row r="55" spans="1:12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</row>
  </sheetData>
  <mergeCells count="68">
    <mergeCell ref="B31:B32"/>
    <mergeCell ref="C31:D31"/>
    <mergeCell ref="E31:E32"/>
    <mergeCell ref="G31:G32"/>
    <mergeCell ref="C32:D32"/>
    <mergeCell ref="B26:B30"/>
    <mergeCell ref="C26:D26"/>
    <mergeCell ref="E26:E30"/>
    <mergeCell ref="G26:G30"/>
    <mergeCell ref="C27:D27"/>
    <mergeCell ref="C30:D30"/>
    <mergeCell ref="C28:D28"/>
    <mergeCell ref="C29:D29"/>
    <mergeCell ref="G24:G25"/>
    <mergeCell ref="H24:I24"/>
    <mergeCell ref="J24:J25"/>
    <mergeCell ref="K24:K25"/>
    <mergeCell ref="E8:E9"/>
    <mergeCell ref="F8:F9"/>
    <mergeCell ref="B23:K23"/>
    <mergeCell ref="B24:B25"/>
    <mergeCell ref="C24:D25"/>
    <mergeCell ref="E24:E25"/>
    <mergeCell ref="F24:F25"/>
    <mergeCell ref="G8:G9"/>
    <mergeCell ref="H8:I8"/>
    <mergeCell ref="H17:J17"/>
    <mergeCell ref="B10:B17"/>
    <mergeCell ref="C17:D17"/>
    <mergeCell ref="B1:B6"/>
    <mergeCell ref="C1:H6"/>
    <mergeCell ref="I1:J6"/>
    <mergeCell ref="B7:J7"/>
    <mergeCell ref="B8:B9"/>
    <mergeCell ref="C8:C9"/>
    <mergeCell ref="D8:D9"/>
    <mergeCell ref="J8:J9"/>
    <mergeCell ref="B51:C51"/>
    <mergeCell ref="C41:D41"/>
    <mergeCell ref="C42:D42"/>
    <mergeCell ref="C44:D44"/>
    <mergeCell ref="G44:G46"/>
    <mergeCell ref="C45:D45"/>
    <mergeCell ref="C46:D46"/>
    <mergeCell ref="C47:D47"/>
    <mergeCell ref="B44:B46"/>
    <mergeCell ref="B47:B50"/>
    <mergeCell ref="E44:E46"/>
    <mergeCell ref="E47:E50"/>
    <mergeCell ref="G47:G50"/>
    <mergeCell ref="C48:D48"/>
    <mergeCell ref="C49:D49"/>
    <mergeCell ref="C50:D50"/>
    <mergeCell ref="B40:B43"/>
    <mergeCell ref="C40:D40"/>
    <mergeCell ref="E40:E43"/>
    <mergeCell ref="G40:G43"/>
    <mergeCell ref="C43:D43"/>
    <mergeCell ref="E36:E38"/>
    <mergeCell ref="G36:G38"/>
    <mergeCell ref="C37:D37"/>
    <mergeCell ref="C38:D38"/>
    <mergeCell ref="C39:D39"/>
    <mergeCell ref="C33:D33"/>
    <mergeCell ref="C34:D34"/>
    <mergeCell ref="C35:D35"/>
    <mergeCell ref="B36:B38"/>
    <mergeCell ref="C36:D3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Estudios previos</vt:lpstr>
      <vt:lpstr>PRIMER INFORME FINANCIERO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ANGIE JOHANNA GIRALDO SALAS</cp:lastModifiedBy>
  <dcterms:modified xsi:type="dcterms:W3CDTF">2026-06-03T16:55:39Z</dcterms:modified>
</cp:coreProperties>
</file>