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OPORTE\Desktop\FDLCB 2026\SELECCION ABREVIADA POR SUBASTA INVERSA\SIETE (7) LOTES\6. PUBLICACION BORRADORES 5 LOTES\"/>
    </mc:Choice>
  </mc:AlternateContent>
  <xr:revisionPtr revIDLastSave="0" documentId="13_ncr:1_{02968DBC-0C8C-4E6A-8328-A963AC1C79E8}" xr6:coauthVersionLast="47" xr6:coauthVersionMax="47" xr10:uidLastSave="{00000000-0000-0000-0000-000000000000}"/>
  <bookViews>
    <workbookView xWindow="-110" yWindow="-110" windowWidth="19420" windowHeight="10300" firstSheet="1" activeTab="4" xr2:uid="{00000000-000D-0000-FFFF-FFFF00000000}"/>
  </bookViews>
  <sheets>
    <sheet name="LOTE 1 COMUNALES" sheetId="4" r:id="rId1"/>
    <sheet name="LOTE 2 CULTURA" sheetId="5" r:id="rId2"/>
    <sheet name="LOTE 3 DEPORTE " sheetId="3" r:id="rId3"/>
    <sheet name="LOTE4  PAPELERIA" sheetId="12" r:id="rId4"/>
    <sheet name="LOTE 5 INSUMOS IMP" sheetId="10" r:id="rId5"/>
  </sheets>
  <externalReferences>
    <externalReference r:id="rId6"/>
    <externalReference r:id="rId7"/>
    <externalReference r:id="rId8"/>
  </externalReferences>
  <definedNames>
    <definedName name="_xlnm._FilterDatabase" localSheetId="0" hidden="1">'LOTE 1 COMUNALES'!$DI$6:$DL$52</definedName>
    <definedName name="_xlnm._FilterDatabase" localSheetId="1" hidden="1">'LOTE 2 CULTURA'!$A$6:$FJ$219</definedName>
    <definedName name="_xlnm._FilterDatabase" localSheetId="2" hidden="1">'LOTE 3 DEPORTE '!$A$6:$CO$104</definedName>
    <definedName name="_xlnm._FilterDatabase" localSheetId="4" hidden="1">'LOTE 5 INSUMOS IMP'!$A$7:$V$16</definedName>
    <definedName name="_xlnm._FilterDatabase" localSheetId="3" hidden="1">'LOTE4  PAPELERIA'!$A$5:$E$109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Z52" i="12" l="1"/>
  <c r="BZ109" i="12" s="1"/>
  <c r="BZ51" i="12"/>
  <c r="BZ27" i="12"/>
  <c r="BZ26" i="12"/>
  <c r="BJ14" i="3"/>
  <c r="BK14" i="3" s="1"/>
  <c r="K101" i="3"/>
  <c r="BQ100" i="3"/>
  <c r="BP100" i="3"/>
  <c r="BO100" i="3"/>
  <c r="BQ99" i="3"/>
  <c r="BP99" i="3"/>
  <c r="BO99" i="3"/>
  <c r="BQ98" i="3"/>
  <c r="BP98" i="3"/>
  <c r="BO98" i="3"/>
  <c r="BQ97" i="3"/>
  <c r="BP97" i="3"/>
  <c r="BO97" i="3"/>
  <c r="BQ96" i="3"/>
  <c r="BP96" i="3"/>
  <c r="BO96" i="3"/>
  <c r="L95" i="3"/>
  <c r="J95" i="3"/>
  <c r="BQ94" i="3"/>
  <c r="BP94" i="3"/>
  <c r="BO94" i="3"/>
  <c r="BQ93" i="3"/>
  <c r="BP93" i="3"/>
  <c r="BO93" i="3"/>
  <c r="BQ92" i="3"/>
  <c r="BP92" i="3"/>
  <c r="BO92" i="3"/>
  <c r="BQ91" i="3"/>
  <c r="BP91" i="3"/>
  <c r="BO91" i="3"/>
  <c r="BQ90" i="3"/>
  <c r="BP90" i="3"/>
  <c r="BO90" i="3"/>
  <c r="BQ89" i="3"/>
  <c r="BP89" i="3"/>
  <c r="BO89" i="3"/>
  <c r="BQ88" i="3"/>
  <c r="BP88" i="3"/>
  <c r="BO88" i="3"/>
  <c r="BQ87" i="3"/>
  <c r="BP87" i="3"/>
  <c r="BO87" i="3"/>
  <c r="BQ86" i="3"/>
  <c r="BP86" i="3"/>
  <c r="BO86" i="3"/>
  <c r="BM85" i="3"/>
  <c r="BN85" i="3" s="1"/>
  <c r="BM84" i="3"/>
  <c r="BN84" i="3" s="1"/>
  <c r="BO84" i="3" s="1"/>
  <c r="BM83" i="3"/>
  <c r="BN83" i="3" s="1"/>
  <c r="BQ82" i="3"/>
  <c r="BP82" i="3"/>
  <c r="BO82" i="3"/>
  <c r="BQ81" i="3"/>
  <c r="BP81" i="3"/>
  <c r="BO81" i="3"/>
  <c r="BQ80" i="3"/>
  <c r="BP80" i="3"/>
  <c r="BO80" i="3"/>
  <c r="AN79" i="3"/>
  <c r="AF79" i="3"/>
  <c r="AN78" i="3"/>
  <c r="AF78" i="3"/>
  <c r="AN77" i="3"/>
  <c r="AF77" i="3"/>
  <c r="AN76" i="3"/>
  <c r="AF76" i="3"/>
  <c r="BJ75" i="3"/>
  <c r="BK75" i="3" s="1"/>
  <c r="BG75" i="3"/>
  <c r="BH75" i="3" s="1"/>
  <c r="BQ74" i="3"/>
  <c r="BP74" i="3"/>
  <c r="BO74" i="3"/>
  <c r="BQ73" i="3"/>
  <c r="BP73" i="3"/>
  <c r="BO73" i="3"/>
  <c r="L72" i="3"/>
  <c r="J72" i="3"/>
  <c r="H72" i="3"/>
  <c r="L71" i="3"/>
  <c r="J71" i="3"/>
  <c r="BQ70" i="3"/>
  <c r="BP70" i="3"/>
  <c r="BO70" i="3"/>
  <c r="BQ69" i="3"/>
  <c r="BP69" i="3"/>
  <c r="BO69" i="3"/>
  <c r="BQ68" i="3"/>
  <c r="BP68" i="3"/>
  <c r="BO68" i="3"/>
  <c r="BQ67" i="3"/>
  <c r="BP67" i="3"/>
  <c r="BO67" i="3"/>
  <c r="L66" i="3"/>
  <c r="J66" i="3"/>
  <c r="H66" i="3"/>
  <c r="Z65" i="3"/>
  <c r="X65" i="3"/>
  <c r="L65" i="3"/>
  <c r="Z64" i="3"/>
  <c r="X64" i="3"/>
  <c r="AD63" i="3"/>
  <c r="Z63" i="3"/>
  <c r="BQ63" i="3" s="1"/>
  <c r="P62" i="3"/>
  <c r="J62" i="3"/>
  <c r="V61" i="3"/>
  <c r="P61" i="3"/>
  <c r="T60" i="3"/>
  <c r="P60" i="3"/>
  <c r="BO60" i="3" s="1"/>
  <c r="J60" i="3"/>
  <c r="BQ59" i="3"/>
  <c r="BP59" i="3"/>
  <c r="BO59" i="3"/>
  <c r="T58" i="3"/>
  <c r="P58" i="3"/>
  <c r="L57" i="3"/>
  <c r="J57" i="3"/>
  <c r="BQ56" i="3"/>
  <c r="BP56" i="3"/>
  <c r="BO56" i="3"/>
  <c r="L55" i="3"/>
  <c r="J55" i="3"/>
  <c r="H55" i="3"/>
  <c r="AB54" i="3"/>
  <c r="P54" i="3"/>
  <c r="M54" i="3"/>
  <c r="L53" i="3"/>
  <c r="J53" i="3"/>
  <c r="H53" i="3"/>
  <c r="AL52" i="3"/>
  <c r="AB52" i="3"/>
  <c r="L51" i="3"/>
  <c r="J51" i="3"/>
  <c r="H51" i="3"/>
  <c r="AN50" i="3"/>
  <c r="AL50" i="3"/>
  <c r="AF50" i="3"/>
  <c r="AN49" i="3"/>
  <c r="AJ49" i="3"/>
  <c r="AF49" i="3"/>
  <c r="AN48" i="3"/>
  <c r="AJ48" i="3"/>
  <c r="AF48" i="3"/>
  <c r="BQ47" i="3"/>
  <c r="BP47" i="3"/>
  <c r="BR47" i="3" s="1"/>
  <c r="BO47" i="3"/>
  <c r="BQ46" i="3"/>
  <c r="BP46" i="3"/>
  <c r="BO46" i="3"/>
  <c r="BQ45" i="3"/>
  <c r="BP45" i="3"/>
  <c r="BO45" i="3"/>
  <c r="L44" i="3"/>
  <c r="J44" i="3"/>
  <c r="H44" i="3"/>
  <c r="L43" i="3"/>
  <c r="J43" i="3"/>
  <c r="BJ42" i="3"/>
  <c r="BK42" i="3" s="1"/>
  <c r="BG42" i="3"/>
  <c r="BH42" i="3" s="1"/>
  <c r="BQ41" i="3"/>
  <c r="BP41" i="3"/>
  <c r="BO41" i="3"/>
  <c r="N41" i="3"/>
  <c r="L41" i="3"/>
  <c r="H41" i="3"/>
  <c r="BJ40" i="3"/>
  <c r="BK40" i="3" s="1"/>
  <c r="BG40" i="3"/>
  <c r="BH40" i="3" s="1"/>
  <c r="BQ39" i="3"/>
  <c r="BP39" i="3"/>
  <c r="BR39" i="3" s="1"/>
  <c r="BO39" i="3"/>
  <c r="BQ38" i="3"/>
  <c r="BP38" i="3"/>
  <c r="BO38" i="3"/>
  <c r="L37" i="3"/>
  <c r="J37" i="3"/>
  <c r="H37" i="3"/>
  <c r="L36" i="3"/>
  <c r="J36" i="3"/>
  <c r="BQ35" i="3"/>
  <c r="BP35" i="3"/>
  <c r="BO35" i="3"/>
  <c r="BQ34" i="3"/>
  <c r="BP34" i="3"/>
  <c r="BO34" i="3"/>
  <c r="BQ33" i="3"/>
  <c r="BP33" i="3"/>
  <c r="BO33" i="3"/>
  <c r="T32" i="3"/>
  <c r="P32" i="3"/>
  <c r="BQ31" i="3"/>
  <c r="BP31" i="3"/>
  <c r="BO31" i="3"/>
  <c r="P30" i="3"/>
  <c r="L30" i="3"/>
  <c r="P29" i="3"/>
  <c r="L29" i="3"/>
  <c r="J29" i="3"/>
  <c r="R28" i="3"/>
  <c r="P28" i="3"/>
  <c r="R27" i="3"/>
  <c r="H27" i="3"/>
  <c r="P26" i="3"/>
  <c r="J26" i="3"/>
  <c r="BQ25" i="3"/>
  <c r="BP25" i="3"/>
  <c r="BO25" i="3"/>
  <c r="BJ24" i="3"/>
  <c r="BK24" i="3" s="1"/>
  <c r="BG24" i="3"/>
  <c r="BH24" i="3" s="1"/>
  <c r="BQ23" i="3"/>
  <c r="BP23" i="3"/>
  <c r="BO23" i="3"/>
  <c r="P22" i="3"/>
  <c r="L22" i="3"/>
  <c r="BQ21" i="3"/>
  <c r="BP21" i="3"/>
  <c r="BO21" i="3"/>
  <c r="L20" i="3"/>
  <c r="J20" i="3"/>
  <c r="H20" i="3"/>
  <c r="L19" i="3"/>
  <c r="J19" i="3"/>
  <c r="BQ18" i="3"/>
  <c r="BP18" i="3"/>
  <c r="BO18" i="3"/>
  <c r="BQ17" i="3"/>
  <c r="BP17" i="3"/>
  <c r="BO17" i="3"/>
  <c r="P16" i="3"/>
  <c r="J16" i="3"/>
  <c r="BO16" i="3" s="1"/>
  <c r="BQ15" i="3"/>
  <c r="BP15" i="3"/>
  <c r="BO15" i="3"/>
  <c r="BG14" i="3"/>
  <c r="BH14" i="3" s="1"/>
  <c r="BQ13" i="3"/>
  <c r="BP13" i="3"/>
  <c r="BO13" i="3"/>
  <c r="P12" i="3"/>
  <c r="L12" i="3"/>
  <c r="BQ11" i="3"/>
  <c r="BP11" i="3"/>
  <c r="BO11" i="3"/>
  <c r="L10" i="3"/>
  <c r="J10" i="3"/>
  <c r="H10" i="3"/>
  <c r="L9" i="3"/>
  <c r="J9" i="3"/>
  <c r="BP9" i="3" s="1"/>
  <c r="BQ8" i="3"/>
  <c r="BP8" i="3"/>
  <c r="BO8" i="3"/>
  <c r="BQ7" i="3"/>
  <c r="BP7" i="3"/>
  <c r="BO7" i="3"/>
  <c r="DL52" i="4"/>
  <c r="U17" i="10"/>
  <c r="BU66" i="12"/>
  <c r="BT66" i="12"/>
  <c r="BS66" i="12"/>
  <c r="BP64" i="3" l="1"/>
  <c r="BO51" i="3"/>
  <c r="BR69" i="3"/>
  <c r="BU69" i="3" s="1"/>
  <c r="BV69" i="3" s="1"/>
  <c r="BQ36" i="3"/>
  <c r="BO29" i="3"/>
  <c r="BO78" i="3"/>
  <c r="BR31" i="3"/>
  <c r="BU31" i="3" s="1"/>
  <c r="BS31" i="3" s="1"/>
  <c r="BT31" i="3" s="1"/>
  <c r="BQ49" i="3"/>
  <c r="BR91" i="3"/>
  <c r="BU91" i="3" s="1"/>
  <c r="BV91" i="3" s="1"/>
  <c r="BR38" i="3"/>
  <c r="BU38" i="3" s="1"/>
  <c r="BV38" i="3" s="1"/>
  <c r="BP44" i="3"/>
  <c r="BP52" i="3"/>
  <c r="BP61" i="3"/>
  <c r="BQ22" i="3"/>
  <c r="BQ27" i="3"/>
  <c r="BR27" i="3" s="1"/>
  <c r="BQ58" i="3"/>
  <c r="BR89" i="3"/>
  <c r="BU89" i="3" s="1"/>
  <c r="BV89" i="3" s="1"/>
  <c r="BR21" i="3"/>
  <c r="BU21" i="3" s="1"/>
  <c r="BS21" i="3" s="1"/>
  <c r="BT21" i="3" s="1"/>
  <c r="BR93" i="3"/>
  <c r="BU93" i="3" s="1"/>
  <c r="BS93" i="3" s="1"/>
  <c r="BT93" i="3" s="1"/>
  <c r="BR41" i="3"/>
  <c r="BU41" i="3" s="1"/>
  <c r="BQ37" i="3"/>
  <c r="BP71" i="3"/>
  <c r="BP58" i="3"/>
  <c r="BR35" i="3"/>
  <c r="BU35" i="3" s="1"/>
  <c r="BV35" i="3" s="1"/>
  <c r="BP63" i="3"/>
  <c r="BR63" i="3" s="1"/>
  <c r="BR73" i="3"/>
  <c r="BU73" i="3" s="1"/>
  <c r="BV73" i="3" s="1"/>
  <c r="BP78" i="3"/>
  <c r="BR82" i="3"/>
  <c r="BU82" i="3" s="1"/>
  <c r="BS82" i="3" s="1"/>
  <c r="BT82" i="3" s="1"/>
  <c r="BR86" i="3"/>
  <c r="BU86" i="3" s="1"/>
  <c r="BV86" i="3" s="1"/>
  <c r="BR99" i="3"/>
  <c r="BU99" i="3" s="1"/>
  <c r="BS99" i="3" s="1"/>
  <c r="BT99" i="3" s="1"/>
  <c r="BQ51" i="3"/>
  <c r="BR51" i="3" s="1"/>
  <c r="BU51" i="3" s="1"/>
  <c r="BV51" i="3" s="1"/>
  <c r="BO72" i="3"/>
  <c r="BQ44" i="3"/>
  <c r="L101" i="3"/>
  <c r="BR96" i="3"/>
  <c r="BU96" i="3" s="1"/>
  <c r="BV96" i="3" s="1"/>
  <c r="BR33" i="3"/>
  <c r="BU33" i="3" s="1"/>
  <c r="BQ57" i="3"/>
  <c r="BQ78" i="3"/>
  <c r="BR25" i="3"/>
  <c r="BU25" i="3" s="1"/>
  <c r="BS25" i="3" s="1"/>
  <c r="BT25" i="3" s="1"/>
  <c r="BU39" i="3"/>
  <c r="BV39" i="3" s="1"/>
  <c r="BO63" i="3"/>
  <c r="BP51" i="3"/>
  <c r="BO95" i="3"/>
  <c r="BO20" i="3"/>
  <c r="BO58" i="3"/>
  <c r="BQ62" i="3"/>
  <c r="BQ79" i="3"/>
  <c r="BP49" i="3"/>
  <c r="BP62" i="3"/>
  <c r="BQ9" i="3"/>
  <c r="BR9" i="3" s="1"/>
  <c r="BP20" i="3"/>
  <c r="BO24" i="3"/>
  <c r="BO36" i="3"/>
  <c r="BR45" i="3"/>
  <c r="BU45" i="3" s="1"/>
  <c r="BV45" i="3" s="1"/>
  <c r="BQ20" i="3"/>
  <c r="BP36" i="3"/>
  <c r="BQ52" i="3"/>
  <c r="BR56" i="3"/>
  <c r="BU56" i="3" s="1"/>
  <c r="BS56" i="3" s="1"/>
  <c r="BT56" i="3" s="1"/>
  <c r="BR81" i="3"/>
  <c r="BU81" i="3" s="1"/>
  <c r="BS81" i="3" s="1"/>
  <c r="BT81" i="3" s="1"/>
  <c r="BR90" i="3"/>
  <c r="BU90" i="3" s="1"/>
  <c r="BS90" i="3" s="1"/>
  <c r="BT90" i="3" s="1"/>
  <c r="BR17" i="3"/>
  <c r="BU17" i="3" s="1"/>
  <c r="BS17" i="3" s="1"/>
  <c r="BT17" i="3" s="1"/>
  <c r="BP29" i="3"/>
  <c r="BQ43" i="3"/>
  <c r="BR46" i="3"/>
  <c r="BU46" i="3" s="1"/>
  <c r="BS46" i="3" s="1"/>
  <c r="BT46" i="3" s="1"/>
  <c r="BR59" i="3"/>
  <c r="BU59" i="3" s="1"/>
  <c r="BS59" i="3" s="1"/>
  <c r="BT59" i="3" s="1"/>
  <c r="BQ50" i="3"/>
  <c r="BO57" i="3"/>
  <c r="BR18" i="3"/>
  <c r="BU18" i="3" s="1"/>
  <c r="BV18" i="3" s="1"/>
  <c r="BU47" i="3"/>
  <c r="BV47" i="3" s="1"/>
  <c r="BP57" i="3"/>
  <c r="BR67" i="3"/>
  <c r="BU67" i="3" s="1"/>
  <c r="BV67" i="3" s="1"/>
  <c r="BR74" i="3"/>
  <c r="BU74" i="3" s="1"/>
  <c r="BR11" i="3"/>
  <c r="BU11" i="3" s="1"/>
  <c r="BV11" i="3" s="1"/>
  <c r="BO30" i="3"/>
  <c r="BP19" i="3"/>
  <c r="BO44" i="3"/>
  <c r="BQ71" i="3"/>
  <c r="BR92" i="3"/>
  <c r="BU92" i="3" s="1"/>
  <c r="BS92" i="3" s="1"/>
  <c r="BT92" i="3" s="1"/>
  <c r="BQ29" i="3"/>
  <c r="BR7" i="3"/>
  <c r="BU7" i="3" s="1"/>
  <c r="BV7" i="3" s="1"/>
  <c r="BR87" i="3"/>
  <c r="BU87" i="3" s="1"/>
  <c r="BS87" i="3" s="1"/>
  <c r="BT87" i="3" s="1"/>
  <c r="BR34" i="3"/>
  <c r="BU34" i="3" s="1"/>
  <c r="BS34" i="3" s="1"/>
  <c r="BT34" i="3" s="1"/>
  <c r="BP16" i="3"/>
  <c r="BQ16" i="3"/>
  <c r="BQ64" i="3"/>
  <c r="BR64" i="3" s="1"/>
  <c r="BU64" i="3" s="1"/>
  <c r="BS64" i="3" s="1"/>
  <c r="BT64" i="3" s="1"/>
  <c r="BR68" i="3"/>
  <c r="BU68" i="3" s="1"/>
  <c r="BV68" i="3" s="1"/>
  <c r="BO9" i="3"/>
  <c r="BO62" i="3"/>
  <c r="BQ76" i="3"/>
  <c r="BQ40" i="3"/>
  <c r="BP40" i="3"/>
  <c r="BO40" i="3"/>
  <c r="BQ14" i="3"/>
  <c r="BP14" i="3"/>
  <c r="BO14" i="3"/>
  <c r="BQ26" i="3"/>
  <c r="BO26" i="3"/>
  <c r="BP26" i="3"/>
  <c r="BR98" i="3"/>
  <c r="BU98" i="3" s="1"/>
  <c r="BQ42" i="3"/>
  <c r="BP42" i="3"/>
  <c r="BO42" i="3"/>
  <c r="BP48" i="3"/>
  <c r="BQ48" i="3"/>
  <c r="BR48" i="3" s="1"/>
  <c r="BO83" i="3"/>
  <c r="BQ83" i="3"/>
  <c r="BP83" i="3"/>
  <c r="BO48" i="3"/>
  <c r="BO85" i="3"/>
  <c r="BQ85" i="3"/>
  <c r="BP85" i="3"/>
  <c r="BR15" i="3"/>
  <c r="BU15" i="3" s="1"/>
  <c r="BQ24" i="3"/>
  <c r="BS45" i="3"/>
  <c r="BT45" i="3" s="1"/>
  <c r="BQ77" i="3"/>
  <c r="BP77" i="3"/>
  <c r="BO77" i="3"/>
  <c r="BR23" i="3"/>
  <c r="BU23" i="3" s="1"/>
  <c r="BR36" i="3"/>
  <c r="BV59" i="3"/>
  <c r="BQ28" i="3"/>
  <c r="BP28" i="3"/>
  <c r="BO28" i="3"/>
  <c r="BR88" i="3"/>
  <c r="BU88" i="3" s="1"/>
  <c r="BQ10" i="3"/>
  <c r="BP10" i="3"/>
  <c r="BO10" i="3"/>
  <c r="BS7" i="3"/>
  <c r="BT7" i="3" s="1"/>
  <c r="BS86" i="3"/>
  <c r="BT86" i="3" s="1"/>
  <c r="BS38" i="3"/>
  <c r="BT38" i="3" s="1"/>
  <c r="BR94" i="3"/>
  <c r="BU94" i="3" s="1"/>
  <c r="BQ75" i="3"/>
  <c r="BP75" i="3"/>
  <c r="BO75" i="3"/>
  <c r="BP24" i="3"/>
  <c r="BQ84" i="3"/>
  <c r="BP84" i="3"/>
  <c r="BP30" i="3"/>
  <c r="BO37" i="3"/>
  <c r="BO50" i="3"/>
  <c r="BP72" i="3"/>
  <c r="BQ30" i="3"/>
  <c r="BP37" i="3"/>
  <c r="BP50" i="3"/>
  <c r="BQ61" i="3"/>
  <c r="BQ72" i="3"/>
  <c r="BP95" i="3"/>
  <c r="BQ19" i="3"/>
  <c r="BP32" i="3"/>
  <c r="BQ32" i="3"/>
  <c r="BQ65" i="3"/>
  <c r="BP65" i="3"/>
  <c r="BO65" i="3"/>
  <c r="BO76" i="3"/>
  <c r="BQ95" i="3"/>
  <c r="BO43" i="3"/>
  <c r="BO54" i="3"/>
  <c r="BQ54" i="3"/>
  <c r="BP54" i="3"/>
  <c r="BP43" i="3"/>
  <c r="BR80" i="3"/>
  <c r="BU80" i="3" s="1"/>
  <c r="BR13" i="3"/>
  <c r="BU13" i="3" s="1"/>
  <c r="BO66" i="3"/>
  <c r="BQ66" i="3"/>
  <c r="BP66" i="3"/>
  <c r="BR100" i="3"/>
  <c r="BU100" i="3" s="1"/>
  <c r="BR8" i="3"/>
  <c r="BU8" i="3" s="1"/>
  <c r="BO61" i="3"/>
  <c r="BQ12" i="3"/>
  <c r="BP12" i="3"/>
  <c r="BO12" i="3"/>
  <c r="BO19" i="3"/>
  <c r="BR70" i="3"/>
  <c r="BU70" i="3" s="1"/>
  <c r="BO22" i="3"/>
  <c r="BO27" i="3"/>
  <c r="BO49" i="3"/>
  <c r="BQ53" i="3"/>
  <c r="BP53" i="3"/>
  <c r="BO53" i="3"/>
  <c r="BO71" i="3"/>
  <c r="BP76" i="3"/>
  <c r="BP22" i="3"/>
  <c r="BP27" i="3"/>
  <c r="BO32" i="3"/>
  <c r="BQ60" i="3"/>
  <c r="BP60" i="3"/>
  <c r="BR97" i="3"/>
  <c r="BU97" i="3" s="1"/>
  <c r="BO55" i="3"/>
  <c r="BP55" i="3"/>
  <c r="BQ55" i="3"/>
  <c r="BO79" i="3"/>
  <c r="BO52" i="3"/>
  <c r="BO64" i="3"/>
  <c r="BP79" i="3"/>
  <c r="BV66" i="12"/>
  <c r="BW66" i="12" s="1"/>
  <c r="BZ66" i="12" s="1"/>
  <c r="FB213" i="5"/>
  <c r="FB205" i="5"/>
  <c r="FB204" i="5"/>
  <c r="FB192" i="5"/>
  <c r="M185" i="5"/>
  <c r="AE185" i="5"/>
  <c r="AU185" i="5"/>
  <c r="FB177" i="5"/>
  <c r="FB172" i="5"/>
  <c r="FB171" i="5"/>
  <c r="FB154" i="5"/>
  <c r="FB151" i="5"/>
  <c r="FB150" i="5"/>
  <c r="FB148" i="5"/>
  <c r="FB145" i="5"/>
  <c r="FB144" i="5"/>
  <c r="FB142" i="5"/>
  <c r="FB141" i="5"/>
  <c r="FB136" i="5"/>
  <c r="FB135" i="5"/>
  <c r="FB134" i="5"/>
  <c r="FB133" i="5"/>
  <c r="FB132" i="5"/>
  <c r="FB131" i="5"/>
  <c r="FB130" i="5"/>
  <c r="FB129" i="5"/>
  <c r="G54" i="5"/>
  <c r="BS91" i="3" l="1"/>
  <c r="BT91" i="3" s="1"/>
  <c r="BR16" i="3"/>
  <c r="BU16" i="3" s="1"/>
  <c r="BR49" i="3"/>
  <c r="BU49" i="3" s="1"/>
  <c r="BS49" i="3" s="1"/>
  <c r="BT49" i="3" s="1"/>
  <c r="BR44" i="3"/>
  <c r="BU44" i="3" s="1"/>
  <c r="BS35" i="3"/>
  <c r="BT35" i="3" s="1"/>
  <c r="BV31" i="3"/>
  <c r="BR61" i="3"/>
  <c r="BU61" i="3" s="1"/>
  <c r="BS61" i="3" s="1"/>
  <c r="BT61" i="3" s="1"/>
  <c r="BR37" i="3"/>
  <c r="BU37" i="3" s="1"/>
  <c r="BS37" i="3" s="1"/>
  <c r="BT37" i="3" s="1"/>
  <c r="BR55" i="3"/>
  <c r="BU55" i="3" s="1"/>
  <c r="BS73" i="3"/>
  <c r="BT73" i="3" s="1"/>
  <c r="BR22" i="3"/>
  <c r="BU22" i="3" s="1"/>
  <c r="BS22" i="3" s="1"/>
  <c r="BT22" i="3" s="1"/>
  <c r="BR52" i="3"/>
  <c r="BU52" i="3" s="1"/>
  <c r="BS52" i="3" s="1"/>
  <c r="BT52" i="3" s="1"/>
  <c r="BV93" i="3"/>
  <c r="BS68" i="3"/>
  <c r="BT68" i="3" s="1"/>
  <c r="BS11" i="3"/>
  <c r="BT11" i="3" s="1"/>
  <c r="BS89" i="3"/>
  <c r="BT89" i="3" s="1"/>
  <c r="BS69" i="3"/>
  <c r="BT69" i="3" s="1"/>
  <c r="BV25" i="3"/>
  <c r="BR58" i="3"/>
  <c r="BU58" i="3" s="1"/>
  <c r="BV58" i="3" s="1"/>
  <c r="BU63" i="3"/>
  <c r="BV63" i="3" s="1"/>
  <c r="BS96" i="3"/>
  <c r="BT96" i="3" s="1"/>
  <c r="BV21" i="3"/>
  <c r="BV64" i="3"/>
  <c r="BU36" i="3"/>
  <c r="BS36" i="3" s="1"/>
  <c r="BT36" i="3" s="1"/>
  <c r="BR32" i="3"/>
  <c r="BU32" i="3" s="1"/>
  <c r="BS32" i="3" s="1"/>
  <c r="BT32" i="3" s="1"/>
  <c r="BR50" i="3"/>
  <c r="BU50" i="3" s="1"/>
  <c r="BV50" i="3" s="1"/>
  <c r="BS47" i="3"/>
  <c r="BT47" i="3" s="1"/>
  <c r="BR19" i="3"/>
  <c r="BU19" i="3" s="1"/>
  <c r="BR79" i="3"/>
  <c r="BU79" i="3" s="1"/>
  <c r="BS79" i="3" s="1"/>
  <c r="BT79" i="3" s="1"/>
  <c r="BR62" i="3"/>
  <c r="BU62" i="3" s="1"/>
  <c r="BR71" i="3"/>
  <c r="BU71" i="3" s="1"/>
  <c r="BV71" i="3" s="1"/>
  <c r="BV81" i="3"/>
  <c r="BR57" i="3"/>
  <c r="BU57" i="3" s="1"/>
  <c r="BV57" i="3" s="1"/>
  <c r="BS39" i="3"/>
  <c r="BT39" i="3" s="1"/>
  <c r="BR29" i="3"/>
  <c r="BU29" i="3" s="1"/>
  <c r="BV29" i="3" s="1"/>
  <c r="BR20" i="3"/>
  <c r="BU20" i="3" s="1"/>
  <c r="BV17" i="3"/>
  <c r="BV46" i="3"/>
  <c r="BV49" i="3"/>
  <c r="BR78" i="3"/>
  <c r="BU78" i="3" s="1"/>
  <c r="BV99" i="3"/>
  <c r="BR76" i="3"/>
  <c r="BU76" i="3" s="1"/>
  <c r="BS76" i="3" s="1"/>
  <c r="BT76" i="3" s="1"/>
  <c r="BV82" i="3"/>
  <c r="BS58" i="3"/>
  <c r="BT58" i="3" s="1"/>
  <c r="BR43" i="3"/>
  <c r="BU43" i="3" s="1"/>
  <c r="BV43" i="3" s="1"/>
  <c r="BS67" i="3"/>
  <c r="BT67" i="3" s="1"/>
  <c r="BV34" i="3"/>
  <c r="BS18" i="3"/>
  <c r="BT18" i="3" s="1"/>
  <c r="BR66" i="3"/>
  <c r="BU66" i="3" s="1"/>
  <c r="BS66" i="3" s="1"/>
  <c r="BT66" i="3" s="1"/>
  <c r="BV56" i="3"/>
  <c r="BV16" i="3"/>
  <c r="BS16" i="3"/>
  <c r="BT16" i="3" s="1"/>
  <c r="BS51" i="3"/>
  <c r="BT51" i="3" s="1"/>
  <c r="BV90" i="3"/>
  <c r="BV92" i="3"/>
  <c r="BU9" i="3"/>
  <c r="BV87" i="3"/>
  <c r="BR65" i="3"/>
  <c r="BU65" i="3" s="1"/>
  <c r="BS94" i="3"/>
  <c r="BT94" i="3" s="1"/>
  <c r="BV94" i="3"/>
  <c r="BS13" i="3"/>
  <c r="BT13" i="3" s="1"/>
  <c r="BV13" i="3"/>
  <c r="BV70" i="3"/>
  <c r="BS70" i="3"/>
  <c r="BT70" i="3" s="1"/>
  <c r="BV33" i="3"/>
  <c r="BS33" i="3"/>
  <c r="BT33" i="3" s="1"/>
  <c r="BR75" i="3"/>
  <c r="BU75" i="3" s="1"/>
  <c r="BV98" i="3"/>
  <c r="BS98" i="3"/>
  <c r="BT98" i="3" s="1"/>
  <c r="BS74" i="3"/>
  <c r="BT74" i="3" s="1"/>
  <c r="BV74" i="3"/>
  <c r="BV23" i="3"/>
  <c r="BS23" i="3"/>
  <c r="BT23" i="3" s="1"/>
  <c r="BR84" i="3"/>
  <c r="BU84" i="3" s="1"/>
  <c r="BR77" i="3"/>
  <c r="BU77" i="3" s="1"/>
  <c r="BU27" i="3"/>
  <c r="BR26" i="3"/>
  <c r="BU26" i="3" s="1"/>
  <c r="BR28" i="3"/>
  <c r="BU28" i="3" s="1"/>
  <c r="BR72" i="3"/>
  <c r="BU72" i="3" s="1"/>
  <c r="BR40" i="3"/>
  <c r="BU40" i="3" s="1"/>
  <c r="BU48" i="3"/>
  <c r="BR60" i="3"/>
  <c r="BU60" i="3" s="1"/>
  <c r="BR10" i="3"/>
  <c r="BU10" i="3" s="1"/>
  <c r="BR42" i="3"/>
  <c r="BU42" i="3" s="1"/>
  <c r="BV88" i="3"/>
  <c r="BS88" i="3"/>
  <c r="BT88" i="3" s="1"/>
  <c r="BR54" i="3"/>
  <c r="BU54" i="3" s="1"/>
  <c r="BR12" i="3"/>
  <c r="BU12" i="3" s="1"/>
  <c r="BS8" i="3"/>
  <c r="BT8" i="3" s="1"/>
  <c r="BV8" i="3"/>
  <c r="BR53" i="3"/>
  <c r="BU53" i="3" s="1"/>
  <c r="BS100" i="3"/>
  <c r="BT100" i="3" s="1"/>
  <c r="BV100" i="3"/>
  <c r="BR30" i="3"/>
  <c r="BU30" i="3" s="1"/>
  <c r="BR85" i="3"/>
  <c r="BU85" i="3" s="1"/>
  <c r="BS80" i="3"/>
  <c r="BT80" i="3" s="1"/>
  <c r="BV80" i="3"/>
  <c r="BR24" i="3"/>
  <c r="BU24" i="3" s="1"/>
  <c r="BV15" i="3"/>
  <c r="BS15" i="3"/>
  <c r="BT15" i="3" s="1"/>
  <c r="BR14" i="3"/>
  <c r="BU14" i="3" s="1"/>
  <c r="BV44" i="3"/>
  <c r="BS44" i="3"/>
  <c r="BT44" i="3" s="1"/>
  <c r="BR83" i="3"/>
  <c r="BU83" i="3" s="1"/>
  <c r="BS55" i="3"/>
  <c r="BT55" i="3" s="1"/>
  <c r="BV55" i="3"/>
  <c r="BR95" i="3"/>
  <c r="BU95" i="3" s="1"/>
  <c r="BS41" i="3"/>
  <c r="BT41" i="3" s="1"/>
  <c r="BV41" i="3"/>
  <c r="BS97" i="3"/>
  <c r="BT97" i="3" s="1"/>
  <c r="BV97" i="3"/>
  <c r="BX66" i="12"/>
  <c r="BY66" i="12" s="1"/>
  <c r="FB113" i="5"/>
  <c r="AE111" i="5"/>
  <c r="FB110" i="5"/>
  <c r="FB109" i="5"/>
  <c r="FB108" i="5"/>
  <c r="FB107" i="5"/>
  <c r="FB106" i="5"/>
  <c r="BM105" i="5"/>
  <c r="FB102" i="5"/>
  <c r="FB101" i="5"/>
  <c r="FB100" i="5"/>
  <c r="FB98" i="5"/>
  <c r="FB99" i="5"/>
  <c r="FD98" i="5"/>
  <c r="FC98" i="5"/>
  <c r="FB94" i="5"/>
  <c r="FB93" i="5"/>
  <c r="FB88" i="5"/>
  <c r="FB85" i="5"/>
  <c r="FB82" i="5"/>
  <c r="FB72" i="5"/>
  <c r="FB70" i="5"/>
  <c r="FB69" i="5"/>
  <c r="FB68" i="5"/>
  <c r="FB67" i="5"/>
  <c r="FB53" i="5"/>
  <c r="FB52" i="5"/>
  <c r="FB51" i="5"/>
  <c r="FB50" i="5"/>
  <c r="FB49" i="5"/>
  <c r="FB7" i="5"/>
  <c r="DE12" i="4"/>
  <c r="DE9" i="4"/>
  <c r="DE8" i="4"/>
  <c r="DE51" i="4"/>
  <c r="BV52" i="3" l="1"/>
  <c r="BV37" i="3"/>
  <c r="BV61" i="3"/>
  <c r="BV32" i="3"/>
  <c r="BV36" i="3"/>
  <c r="BS63" i="3"/>
  <c r="BT63" i="3" s="1"/>
  <c r="BV79" i="3"/>
  <c r="BV76" i="3"/>
  <c r="BS43" i="3"/>
  <c r="BT43" i="3" s="1"/>
  <c r="BS29" i="3"/>
  <c r="BT29" i="3" s="1"/>
  <c r="BS57" i="3"/>
  <c r="BT57" i="3" s="1"/>
  <c r="BV22" i="3"/>
  <c r="BS20" i="3"/>
  <c r="BT20" i="3" s="1"/>
  <c r="BV20" i="3"/>
  <c r="BV78" i="3"/>
  <c r="BS78" i="3"/>
  <c r="BT78" i="3" s="1"/>
  <c r="BS50" i="3"/>
  <c r="BT50" i="3" s="1"/>
  <c r="BV62" i="3"/>
  <c r="BS62" i="3"/>
  <c r="BT62" i="3" s="1"/>
  <c r="BV66" i="3"/>
  <c r="BV9" i="3"/>
  <c r="BS9" i="3"/>
  <c r="BT9" i="3" s="1"/>
  <c r="BS71" i="3"/>
  <c r="BT71" i="3" s="1"/>
  <c r="BS40" i="3"/>
  <c r="BT40" i="3" s="1"/>
  <c r="BV40" i="3"/>
  <c r="BV95" i="3"/>
  <c r="BS95" i="3"/>
  <c r="BT95" i="3" s="1"/>
  <c r="BS14" i="3"/>
  <c r="BT14" i="3" s="1"/>
  <c r="BV14" i="3"/>
  <c r="BV48" i="3"/>
  <c r="BS48" i="3"/>
  <c r="BT48" i="3" s="1"/>
  <c r="BV24" i="3"/>
  <c r="BS24" i="3"/>
  <c r="BT24" i="3" s="1"/>
  <c r="BV72" i="3"/>
  <c r="BS72" i="3"/>
  <c r="BT72" i="3" s="1"/>
  <c r="BV26" i="3"/>
  <c r="BS26" i="3"/>
  <c r="BT26" i="3" s="1"/>
  <c r="BS42" i="3"/>
  <c r="BT42" i="3" s="1"/>
  <c r="BV42" i="3"/>
  <c r="BV10" i="3"/>
  <c r="BS10" i="3"/>
  <c r="BT10" i="3" s="1"/>
  <c r="BU101" i="3"/>
  <c r="BV53" i="3"/>
  <c r="BS53" i="3"/>
  <c r="BT53" i="3" s="1"/>
  <c r="BV19" i="3"/>
  <c r="BS19" i="3"/>
  <c r="BT19" i="3" s="1"/>
  <c r="BV85" i="3"/>
  <c r="BS85" i="3"/>
  <c r="BT85" i="3" s="1"/>
  <c r="BS27" i="3"/>
  <c r="BT27" i="3" s="1"/>
  <c r="BV27" i="3"/>
  <c r="BS84" i="3"/>
  <c r="BT84" i="3" s="1"/>
  <c r="BV84" i="3"/>
  <c r="BV65" i="3"/>
  <c r="BS65" i="3"/>
  <c r="BT65" i="3" s="1"/>
  <c r="BS60" i="3"/>
  <c r="BT60" i="3" s="1"/>
  <c r="BV60" i="3"/>
  <c r="BS12" i="3"/>
  <c r="BT12" i="3" s="1"/>
  <c r="BV12" i="3"/>
  <c r="BV54" i="3"/>
  <c r="BS54" i="3"/>
  <c r="BT54" i="3" s="1"/>
  <c r="BV28" i="3"/>
  <c r="BS28" i="3"/>
  <c r="BT28" i="3" s="1"/>
  <c r="BS83" i="3"/>
  <c r="BT83" i="3" s="1"/>
  <c r="BV83" i="3"/>
  <c r="BV30" i="3"/>
  <c r="BS30" i="3"/>
  <c r="BT30" i="3" s="1"/>
  <c r="BV77" i="3"/>
  <c r="BS77" i="3"/>
  <c r="BT77" i="3" s="1"/>
  <c r="BS75" i="3"/>
  <c r="BT75" i="3" s="1"/>
  <c r="BV75" i="3"/>
  <c r="DG8" i="4"/>
  <c r="DF8" i="4"/>
  <c r="BQ75" i="12"/>
  <c r="BR75" i="12" s="1"/>
  <c r="EV166" i="5"/>
  <c r="EW166" i="5" s="1"/>
  <c r="BO75" i="12"/>
  <c r="BM75" i="12"/>
  <c r="DE46" i="4"/>
  <c r="DF46" i="4"/>
  <c r="DG46" i="4"/>
  <c r="DE47" i="4"/>
  <c r="DF47" i="4"/>
  <c r="DG47" i="4"/>
  <c r="CU43" i="4"/>
  <c r="FD107" i="5"/>
  <c r="FC107" i="5"/>
  <c r="BU11" i="12"/>
  <c r="BT11" i="12"/>
  <c r="BS11" i="12"/>
  <c r="FD82" i="5"/>
  <c r="FC82" i="5"/>
  <c r="DG9" i="4"/>
  <c r="DF9" i="4"/>
  <c r="FD148" i="5"/>
  <c r="FC148" i="5"/>
  <c r="EX7" i="5"/>
  <c r="BO14" i="4"/>
  <c r="DG12" i="4"/>
  <c r="DF12" i="4"/>
  <c r="ES44" i="5"/>
  <c r="ET44" i="5" s="1"/>
  <c r="EV44" i="5"/>
  <c r="EW44" i="5" s="1"/>
  <c r="AF91" i="12"/>
  <c r="AG91" i="12" s="1"/>
  <c r="BU91" i="12" s="1"/>
  <c r="AF74" i="12"/>
  <c r="AG74" i="12" s="1"/>
  <c r="AC74" i="12"/>
  <c r="AD74" i="12" s="1"/>
  <c r="Z92" i="12"/>
  <c r="AA92" i="12" s="1"/>
  <c r="BU92" i="12" s="1"/>
  <c r="Z74" i="12"/>
  <c r="AA74" i="12" s="1"/>
  <c r="BU75" i="12" l="1"/>
  <c r="BV101" i="3"/>
  <c r="DH47" i="4"/>
  <c r="BS75" i="12"/>
  <c r="BT75" i="12"/>
  <c r="FE82" i="5"/>
  <c r="FH82" i="5" s="1"/>
  <c r="FI82" i="5" s="1"/>
  <c r="FD44" i="5"/>
  <c r="FC44" i="5"/>
  <c r="FB44" i="5"/>
  <c r="BU74" i="12"/>
  <c r="BS91" i="12"/>
  <c r="BT91" i="12"/>
  <c r="BS74" i="12"/>
  <c r="BS92" i="12"/>
  <c r="BT74" i="12"/>
  <c r="BT92" i="12"/>
  <c r="FD192" i="5"/>
  <c r="FC192" i="5"/>
  <c r="FD177" i="5"/>
  <c r="FC177" i="5"/>
  <c r="FD172" i="5"/>
  <c r="FC172" i="5"/>
  <c r="FD171" i="5"/>
  <c r="FC171" i="5"/>
  <c r="FD154" i="5"/>
  <c r="FC154" i="5"/>
  <c r="FC145" i="5"/>
  <c r="FD145" i="5"/>
  <c r="AG92" i="5"/>
  <c r="AE92" i="5"/>
  <c r="AS59" i="5"/>
  <c r="AS60" i="5"/>
  <c r="AS61" i="5"/>
  <c r="AI59" i="5"/>
  <c r="AI60" i="5"/>
  <c r="AE59" i="5"/>
  <c r="FB216" i="5"/>
  <c r="FC205" i="5"/>
  <c r="FD205" i="5"/>
  <c r="FB206" i="5"/>
  <c r="FC206" i="5"/>
  <c r="FD206" i="5"/>
  <c r="FB207" i="5"/>
  <c r="FC207" i="5"/>
  <c r="FD207" i="5"/>
  <c r="FB208" i="5"/>
  <c r="FC208" i="5"/>
  <c r="FD208" i="5"/>
  <c r="FB209" i="5"/>
  <c r="FC209" i="5"/>
  <c r="FD209" i="5"/>
  <c r="FB210" i="5"/>
  <c r="FC210" i="5"/>
  <c r="FD210" i="5"/>
  <c r="FB211" i="5"/>
  <c r="FC211" i="5"/>
  <c r="FD211" i="5"/>
  <c r="FC213" i="5"/>
  <c r="FD213" i="5"/>
  <c r="FB214" i="5"/>
  <c r="FC214" i="5"/>
  <c r="FD214" i="5"/>
  <c r="FB215" i="5"/>
  <c r="FC215" i="5"/>
  <c r="FD215" i="5"/>
  <c r="FC216" i="5"/>
  <c r="FD216" i="5"/>
  <c r="FB217" i="5"/>
  <c r="FC217" i="5"/>
  <c r="FD217" i="5"/>
  <c r="FB92" i="5" l="1"/>
  <c r="FB59" i="5"/>
  <c r="FB60" i="5"/>
  <c r="FE210" i="5"/>
  <c r="FH210" i="5" s="1"/>
  <c r="FI210" i="5" s="1"/>
  <c r="FE206" i="5"/>
  <c r="FH206" i="5" s="1"/>
  <c r="FF206" i="5" s="1"/>
  <c r="FG206" i="5" s="1"/>
  <c r="FF82" i="5"/>
  <c r="FG82" i="5" s="1"/>
  <c r="FE205" i="5"/>
  <c r="FH205" i="5" s="1"/>
  <c r="FF205" i="5" s="1"/>
  <c r="FG205" i="5" s="1"/>
  <c r="FE207" i="5"/>
  <c r="FH207" i="5" s="1"/>
  <c r="FI207" i="5" s="1"/>
  <c r="FE145" i="5"/>
  <c r="FE211" i="5"/>
  <c r="FH211" i="5" s="1"/>
  <c r="FF211" i="5" s="1"/>
  <c r="FG211" i="5" s="1"/>
  <c r="FE214" i="5"/>
  <c r="FH214" i="5" s="1"/>
  <c r="FI214" i="5" s="1"/>
  <c r="FE217" i="5"/>
  <c r="FH217" i="5" s="1"/>
  <c r="FI217" i="5" s="1"/>
  <c r="FE208" i="5"/>
  <c r="FH208" i="5" s="1"/>
  <c r="FF208" i="5" s="1"/>
  <c r="FG208" i="5" s="1"/>
  <c r="FE213" i="5"/>
  <c r="FH213" i="5" s="1"/>
  <c r="FF213" i="5" s="1"/>
  <c r="FG213" i="5" s="1"/>
  <c r="FE215" i="5"/>
  <c r="FH215" i="5" s="1"/>
  <c r="FF215" i="5" s="1"/>
  <c r="FG215" i="5" s="1"/>
  <c r="FE209" i="5"/>
  <c r="FH209" i="5" s="1"/>
  <c r="FF209" i="5" s="1"/>
  <c r="FG209" i="5" s="1"/>
  <c r="FE216" i="5"/>
  <c r="FH216" i="5" s="1"/>
  <c r="FF216" i="5" s="1"/>
  <c r="FG216" i="5" s="1"/>
  <c r="FF210" i="5" l="1"/>
  <c r="FG210" i="5" s="1"/>
  <c r="FI206" i="5"/>
  <c r="FI205" i="5"/>
  <c r="FF207" i="5"/>
  <c r="FG207" i="5" s="1"/>
  <c r="FI211" i="5"/>
  <c r="FF214" i="5"/>
  <c r="FG214" i="5" s="1"/>
  <c r="FF217" i="5"/>
  <c r="FG217" i="5" s="1"/>
  <c r="FI208" i="5"/>
  <c r="FI213" i="5"/>
  <c r="FI216" i="5"/>
  <c r="FI215" i="5"/>
  <c r="FI209" i="5"/>
  <c r="FD204" i="5" l="1"/>
  <c r="FC204" i="5"/>
  <c r="AC188" i="5"/>
  <c r="FB188" i="5" s="1"/>
  <c r="EK212" i="5"/>
  <c r="EM212" i="5"/>
  <c r="AE193" i="5"/>
  <c r="BK193" i="5"/>
  <c r="CK193" i="5"/>
  <c r="BK194" i="5"/>
  <c r="CK194" i="5"/>
  <c r="DO194" i="5"/>
  <c r="DQ194" i="5"/>
  <c r="DS194" i="5"/>
  <c r="CK195" i="5"/>
  <c r="DO195" i="5"/>
  <c r="DQ195" i="5"/>
  <c r="DS195" i="5"/>
  <c r="CK196" i="5"/>
  <c r="DO196" i="5"/>
  <c r="DQ196" i="5"/>
  <c r="DS196" i="5"/>
  <c r="CK197" i="5"/>
  <c r="DO197" i="5"/>
  <c r="DQ197" i="5"/>
  <c r="DS197" i="5"/>
  <c r="CK198" i="5"/>
  <c r="DK198" i="5"/>
  <c r="DM198" i="5"/>
  <c r="DG199" i="5"/>
  <c r="DI199" i="5"/>
  <c r="DS199" i="5"/>
  <c r="CK200" i="5"/>
  <c r="DO200" i="5"/>
  <c r="DQ200" i="5"/>
  <c r="DS200" i="5"/>
  <c r="DG201" i="5"/>
  <c r="DI201" i="5"/>
  <c r="O185" i="5"/>
  <c r="Q185" i="5"/>
  <c r="AA185" i="5"/>
  <c r="O186" i="5"/>
  <c r="Q186" i="5"/>
  <c r="Q187" i="5"/>
  <c r="AC187" i="5"/>
  <c r="AU187" i="5"/>
  <c r="Z189" i="5"/>
  <c r="AA189" i="5"/>
  <c r="AU189" i="5"/>
  <c r="AA190" i="5"/>
  <c r="DK190" i="5"/>
  <c r="AC191" i="5"/>
  <c r="AE191" i="5"/>
  <c r="AU191" i="5"/>
  <c r="EQ218" i="5"/>
  <c r="EO218" i="5"/>
  <c r="FB218" i="5" s="1"/>
  <c r="FB212" i="5" l="1"/>
  <c r="FB196" i="5"/>
  <c r="FB193" i="5"/>
  <c r="FB186" i="5"/>
  <c r="FB199" i="5"/>
  <c r="FB201" i="5"/>
  <c r="FB189" i="5"/>
  <c r="FB197" i="5"/>
  <c r="FB191" i="5"/>
  <c r="FB198" i="5"/>
  <c r="FB195" i="5"/>
  <c r="FB194" i="5"/>
  <c r="FB200" i="5"/>
  <c r="FB187" i="5"/>
  <c r="FB190" i="5"/>
  <c r="FB185" i="5"/>
  <c r="FD198" i="5"/>
  <c r="FC197" i="5"/>
  <c r="FD185" i="5"/>
  <c r="FD197" i="5"/>
  <c r="FC187" i="5"/>
  <c r="FC194" i="5"/>
  <c r="FC198" i="5"/>
  <c r="FD191" i="5"/>
  <c r="FD186" i="5"/>
  <c r="FC201" i="5"/>
  <c r="FC185" i="5"/>
  <c r="FC196" i="5"/>
  <c r="FD201" i="5"/>
  <c r="FD194" i="5"/>
  <c r="FC200" i="5"/>
  <c r="FC195" i="5"/>
  <c r="FC189" i="5"/>
  <c r="FD195" i="5"/>
  <c r="FC199" i="5"/>
  <c r="FC191" i="5"/>
  <c r="FE192" i="5"/>
  <c r="FD190" i="5"/>
  <c r="FC186" i="5"/>
  <c r="FD187" i="5"/>
  <c r="FD189" i="5"/>
  <c r="FC193" i="5"/>
  <c r="FD200" i="5"/>
  <c r="FC190" i="5"/>
  <c r="FD199" i="5"/>
  <c r="FC212" i="5"/>
  <c r="FD212" i="5"/>
  <c r="FD193" i="5"/>
  <c r="FD196" i="5"/>
  <c r="FD218" i="5"/>
  <c r="FC218" i="5"/>
  <c r="FC188" i="5"/>
  <c r="FD188" i="5"/>
  <c r="FE187" i="5" l="1"/>
  <c r="FE185" i="5"/>
  <c r="FE191" i="5"/>
  <c r="FE197" i="5"/>
  <c r="FE198" i="5"/>
  <c r="FE199" i="5"/>
  <c r="FE218" i="5"/>
  <c r="FH218" i="5" s="1"/>
  <c r="FE189" i="5"/>
  <c r="FE194" i="5"/>
  <c r="FE201" i="5"/>
  <c r="FE186" i="5"/>
  <c r="FE195" i="5"/>
  <c r="FE196" i="5"/>
  <c r="FE200" i="5"/>
  <c r="FE193" i="5"/>
  <c r="FE190" i="5"/>
  <c r="FE212" i="5"/>
  <c r="FH212" i="5" s="1"/>
  <c r="FE188" i="5"/>
  <c r="FB138" i="5"/>
  <c r="FB137" i="5"/>
  <c r="FD72" i="5"/>
  <c r="FC72" i="5"/>
  <c r="FI218" i="5" l="1"/>
  <c r="FF218" i="5"/>
  <c r="FG218" i="5" s="1"/>
  <c r="FF212" i="5"/>
  <c r="FG212" i="5" s="1"/>
  <c r="FI212" i="5"/>
  <c r="FB48" i="5"/>
  <c r="FB47" i="5"/>
  <c r="FB46" i="5"/>
  <c r="FB45" i="5"/>
  <c r="FB43" i="5"/>
  <c r="FB42" i="5"/>
  <c r="FB41" i="5"/>
  <c r="FB40" i="5"/>
  <c r="FB39" i="5"/>
  <c r="FB38" i="5"/>
  <c r="FB37" i="5"/>
  <c r="FB36" i="5"/>
  <c r="FB35" i="5"/>
  <c r="FB34" i="5"/>
  <c r="FB33" i="5"/>
  <c r="FB32" i="5"/>
  <c r="FB31" i="5"/>
  <c r="FB30" i="5"/>
  <c r="FB29" i="5"/>
  <c r="FB28" i="5"/>
  <c r="FB27" i="5"/>
  <c r="FB26" i="5"/>
  <c r="FB25" i="5"/>
  <c r="FB24" i="5"/>
  <c r="FB23" i="5"/>
  <c r="FB22" i="5"/>
  <c r="FB21" i="5"/>
  <c r="FB20" i="5"/>
  <c r="FB19" i="5"/>
  <c r="FB18" i="5"/>
  <c r="FB17" i="5"/>
  <c r="FB16" i="5"/>
  <c r="FB15" i="5"/>
  <c r="FB14" i="5"/>
  <c r="FB13" i="5"/>
  <c r="FB12" i="5"/>
  <c r="FB11" i="5"/>
  <c r="FB10" i="5"/>
  <c r="FB9" i="5"/>
  <c r="FB8" i="5"/>
  <c r="AE78" i="5"/>
  <c r="CK78" i="5"/>
  <c r="CK73" i="5"/>
  <c r="CK163" i="5"/>
  <c r="FB78" i="5" l="1"/>
  <c r="FD78" i="5"/>
  <c r="FC78" i="5"/>
  <c r="M163" i="5" l="1"/>
  <c r="FB163" i="5" s="1"/>
  <c r="H219" i="5"/>
  <c r="J219" i="5"/>
  <c r="L219" i="5"/>
  <c r="N219" i="5"/>
  <c r="P219" i="5"/>
  <c r="R219" i="5"/>
  <c r="T219" i="5"/>
  <c r="AB219" i="5"/>
  <c r="AD219" i="5"/>
  <c r="AF219" i="5"/>
  <c r="AJ219" i="5"/>
  <c r="AL219" i="5"/>
  <c r="AN219" i="5"/>
  <c r="AT219" i="5"/>
  <c r="AV219" i="5"/>
  <c r="AX219" i="5"/>
  <c r="AZ219" i="5"/>
  <c r="BB219" i="5"/>
  <c r="BD219" i="5"/>
  <c r="BF219" i="5"/>
  <c r="BH219" i="5"/>
  <c r="BJ219" i="5"/>
  <c r="BL219" i="5"/>
  <c r="BN219" i="5"/>
  <c r="BP219" i="5"/>
  <c r="BR219" i="5"/>
  <c r="BT219" i="5"/>
  <c r="BV219" i="5"/>
  <c r="BX219" i="5"/>
  <c r="BZ219" i="5"/>
  <c r="CB219" i="5"/>
  <c r="CD219" i="5"/>
  <c r="CF219" i="5"/>
  <c r="CH219" i="5"/>
  <c r="CJ219" i="5"/>
  <c r="CN219" i="5"/>
  <c r="CP219" i="5"/>
  <c r="CR219" i="5"/>
  <c r="CT219" i="5"/>
  <c r="CV219" i="5"/>
  <c r="CX219" i="5"/>
  <c r="CZ219" i="5"/>
  <c r="DB219" i="5"/>
  <c r="DD219" i="5"/>
  <c r="DF219" i="5"/>
  <c r="DH219" i="5"/>
  <c r="DJ219" i="5"/>
  <c r="DL219" i="5"/>
  <c r="DN219" i="5"/>
  <c r="DP219" i="5"/>
  <c r="DR219" i="5"/>
  <c r="DT219" i="5"/>
  <c r="DV219" i="5"/>
  <c r="DX219" i="5"/>
  <c r="DZ219" i="5"/>
  <c r="EB219" i="5"/>
  <c r="ED219" i="5"/>
  <c r="EF219" i="5"/>
  <c r="EG219" i="5"/>
  <c r="EH219" i="5"/>
  <c r="EI219" i="5"/>
  <c r="EJ219" i="5"/>
  <c r="EL219" i="5"/>
  <c r="EN219" i="5"/>
  <c r="EO219" i="5"/>
  <c r="EP219" i="5"/>
  <c r="EQ219" i="5"/>
  <c r="F219" i="5"/>
  <c r="FD47" i="5"/>
  <c r="FC47" i="5"/>
  <c r="FD10" i="5"/>
  <c r="FC10" i="5"/>
  <c r="FD9" i="5"/>
  <c r="FC9" i="5"/>
  <c r="CR45" i="4"/>
  <c r="CS45" i="4" s="1"/>
  <c r="CU45" i="4"/>
  <c r="CV45" i="4" s="1"/>
  <c r="CR44" i="4"/>
  <c r="CS44" i="4" s="1"/>
  <c r="CU44" i="4"/>
  <c r="CV44" i="4" s="1"/>
  <c r="CV43" i="4"/>
  <c r="CR43" i="4"/>
  <c r="CS43" i="4" s="1"/>
  <c r="DE43" i="4" s="1"/>
  <c r="DE48" i="4"/>
  <c r="DE49" i="4"/>
  <c r="DE50" i="4"/>
  <c r="DE45" i="4" l="1"/>
  <c r="DE44" i="4"/>
  <c r="FD163" i="5"/>
  <c r="FC163" i="5"/>
  <c r="FE47" i="5"/>
  <c r="FH47" i="5" s="1"/>
  <c r="FE9" i="5"/>
  <c r="FH9" i="5" s="1"/>
  <c r="FE10" i="5"/>
  <c r="FH10" i="5" s="1"/>
  <c r="DF45" i="4"/>
  <c r="DG45" i="4"/>
  <c r="DG44" i="4"/>
  <c r="DF44" i="4"/>
  <c r="DG43" i="4"/>
  <c r="DF43" i="4"/>
  <c r="FI47" i="5" l="1"/>
  <c r="FF47" i="5"/>
  <c r="FG47" i="5" s="1"/>
  <c r="FI10" i="5"/>
  <c r="FF10" i="5"/>
  <c r="FG10" i="5" s="1"/>
  <c r="FI9" i="5"/>
  <c r="FF9" i="5"/>
  <c r="FG9" i="5" s="1"/>
  <c r="DH45" i="4"/>
  <c r="DH44" i="4"/>
  <c r="DK44" i="4" s="1"/>
  <c r="BU108" i="12" l="1"/>
  <c r="BT108" i="12"/>
  <c r="BS108" i="12"/>
  <c r="BF107" i="12"/>
  <c r="BG107" i="12" s="1"/>
  <c r="BH107" i="12" s="1"/>
  <c r="BC107" i="12"/>
  <c r="BD107" i="12" s="1"/>
  <c r="BE107" i="12" s="1"/>
  <c r="M107" i="12"/>
  <c r="AZ106" i="12"/>
  <c r="BA106" i="12" s="1"/>
  <c r="BB106" i="12" s="1"/>
  <c r="E106" i="12"/>
  <c r="AW105" i="12"/>
  <c r="AX105" i="12" s="1"/>
  <c r="AY105" i="12" s="1"/>
  <c r="AT105" i="12"/>
  <c r="AU105" i="12" s="1"/>
  <c r="AV105" i="12" s="1"/>
  <c r="BU104" i="12"/>
  <c r="BT104" i="12"/>
  <c r="BS104" i="12"/>
  <c r="BU103" i="12"/>
  <c r="BT103" i="12"/>
  <c r="BS103" i="12"/>
  <c r="BU102" i="12"/>
  <c r="BT102" i="12"/>
  <c r="BS102" i="12"/>
  <c r="E102" i="12"/>
  <c r="AQ101" i="12"/>
  <c r="AR101" i="12" s="1"/>
  <c r="AS101" i="12" s="1"/>
  <c r="AN101" i="12"/>
  <c r="AO101" i="12" s="1"/>
  <c r="AP101" i="12" s="1"/>
  <c r="AK100" i="12"/>
  <c r="AL100" i="12" s="1"/>
  <c r="AM100" i="12" s="1"/>
  <c r="J99" i="12"/>
  <c r="BT99" i="12" s="1"/>
  <c r="AH98" i="12"/>
  <c r="AI98" i="12" s="1"/>
  <c r="AJ98" i="12" s="1"/>
  <c r="BU97" i="12"/>
  <c r="BT97" i="12"/>
  <c r="BS97" i="12"/>
  <c r="J96" i="12"/>
  <c r="BU96" i="12" s="1"/>
  <c r="T95" i="12"/>
  <c r="R95" i="12"/>
  <c r="J94" i="12"/>
  <c r="BU94" i="12" s="1"/>
  <c r="BU93" i="12"/>
  <c r="BT93" i="12"/>
  <c r="BS93" i="12"/>
  <c r="BU90" i="12"/>
  <c r="BT90" i="12"/>
  <c r="BS90" i="12"/>
  <c r="J89" i="12"/>
  <c r="BS89" i="12" s="1"/>
  <c r="BU88" i="12"/>
  <c r="BT88" i="12"/>
  <c r="BS88" i="12"/>
  <c r="J87" i="12"/>
  <c r="BU87" i="12" s="1"/>
  <c r="BU86" i="12"/>
  <c r="BT86" i="12"/>
  <c r="BS86" i="12"/>
  <c r="J85" i="12"/>
  <c r="BU85" i="12" s="1"/>
  <c r="BU84" i="12"/>
  <c r="BT84" i="12"/>
  <c r="BS84" i="12"/>
  <c r="J83" i="12"/>
  <c r="BT83" i="12" s="1"/>
  <c r="T82" i="12"/>
  <c r="R82" i="12"/>
  <c r="J81" i="12"/>
  <c r="BS81" i="12" s="1"/>
  <c r="T80" i="12"/>
  <c r="R80" i="12"/>
  <c r="P80" i="12"/>
  <c r="BU79" i="12"/>
  <c r="BT79" i="12"/>
  <c r="BS79" i="12"/>
  <c r="BU78" i="12"/>
  <c r="BT78" i="12"/>
  <c r="BS78" i="12"/>
  <c r="E78" i="12"/>
  <c r="BU77" i="12"/>
  <c r="BT77" i="12"/>
  <c r="BS77" i="12"/>
  <c r="T76" i="12"/>
  <c r="R76" i="12"/>
  <c r="P76" i="12"/>
  <c r="BU73" i="12"/>
  <c r="BT73" i="12"/>
  <c r="BS73" i="12"/>
  <c r="BU72" i="12"/>
  <c r="BT72" i="12"/>
  <c r="BS72" i="12"/>
  <c r="BU71" i="12"/>
  <c r="BT71" i="12"/>
  <c r="BS71" i="12"/>
  <c r="T70" i="12"/>
  <c r="R70" i="12"/>
  <c r="J69" i="12"/>
  <c r="BU69" i="12" s="1"/>
  <c r="J68" i="12"/>
  <c r="BT68" i="12" s="1"/>
  <c r="M67" i="12"/>
  <c r="BU67" i="12" s="1"/>
  <c r="BU65" i="12"/>
  <c r="BT65" i="12"/>
  <c r="BS65" i="12"/>
  <c r="M64" i="12"/>
  <c r="J64" i="12"/>
  <c r="E64" i="12"/>
  <c r="BU63" i="12"/>
  <c r="BT63" i="12"/>
  <c r="BS63" i="12"/>
  <c r="BU62" i="12"/>
  <c r="BT62" i="12"/>
  <c r="BS62" i="12"/>
  <c r="J61" i="12"/>
  <c r="BT61" i="12" s="1"/>
  <c r="BU60" i="12"/>
  <c r="BT60" i="12"/>
  <c r="BS60" i="12"/>
  <c r="M59" i="12"/>
  <c r="BU59" i="12" s="1"/>
  <c r="J58" i="12"/>
  <c r="BU58" i="12" s="1"/>
  <c r="J57" i="12"/>
  <c r="BS57" i="12" s="1"/>
  <c r="M56" i="12"/>
  <c r="J56" i="12"/>
  <c r="J55" i="12"/>
  <c r="BU55" i="12" s="1"/>
  <c r="M54" i="12"/>
  <c r="BU54" i="12" s="1"/>
  <c r="BS53" i="12"/>
  <c r="X53" i="12"/>
  <c r="V53" i="12"/>
  <c r="M52" i="12"/>
  <c r="BS52" i="12" s="1"/>
  <c r="M51" i="12"/>
  <c r="BU51" i="12" s="1"/>
  <c r="T50" i="12"/>
  <c r="R50" i="12"/>
  <c r="P50" i="12"/>
  <c r="BU49" i="12"/>
  <c r="BT49" i="12"/>
  <c r="BS49" i="12"/>
  <c r="BU48" i="12"/>
  <c r="BT48" i="12"/>
  <c r="BS48" i="12"/>
  <c r="BU47" i="12"/>
  <c r="BT47" i="12"/>
  <c r="BS47" i="12"/>
  <c r="BU46" i="12"/>
  <c r="BT46" i="12"/>
  <c r="BS46" i="12"/>
  <c r="M45" i="12"/>
  <c r="G45" i="12"/>
  <c r="M44" i="12"/>
  <c r="G44" i="12"/>
  <c r="M43" i="12"/>
  <c r="G43" i="12"/>
  <c r="M42" i="12"/>
  <c r="G42" i="12"/>
  <c r="M41" i="12"/>
  <c r="G41" i="12"/>
  <c r="M40" i="12"/>
  <c r="G40" i="12"/>
  <c r="M39" i="12"/>
  <c r="G39" i="12"/>
  <c r="M38" i="12"/>
  <c r="G38" i="12"/>
  <c r="M37" i="12"/>
  <c r="G37" i="12"/>
  <c r="M36" i="12"/>
  <c r="G36" i="12"/>
  <c r="M35" i="12"/>
  <c r="G35" i="12"/>
  <c r="M34" i="12"/>
  <c r="G34" i="12"/>
  <c r="M33" i="12"/>
  <c r="G33" i="12"/>
  <c r="M32" i="12"/>
  <c r="G32" i="12"/>
  <c r="J31" i="12"/>
  <c r="BU31" i="12" s="1"/>
  <c r="R30" i="12"/>
  <c r="P30" i="12"/>
  <c r="BU29" i="12"/>
  <c r="BT29" i="12"/>
  <c r="BS29" i="12"/>
  <c r="J28" i="12"/>
  <c r="BU28" i="12" s="1"/>
  <c r="M27" i="12"/>
  <c r="BU27" i="12" s="1"/>
  <c r="BU26" i="12"/>
  <c r="BT26" i="12"/>
  <c r="BS26" i="12"/>
  <c r="BW26" i="12" s="1"/>
  <c r="M25" i="12"/>
  <c r="J25" i="12"/>
  <c r="T24" i="12"/>
  <c r="R24" i="12"/>
  <c r="R23" i="12"/>
  <c r="P23" i="12"/>
  <c r="J22" i="12"/>
  <c r="BS22" i="12" s="1"/>
  <c r="R21" i="12"/>
  <c r="P21" i="12"/>
  <c r="T20" i="12"/>
  <c r="R20" i="12"/>
  <c r="P20" i="12"/>
  <c r="J19" i="12"/>
  <c r="BS19" i="12" s="1"/>
  <c r="J18" i="12"/>
  <c r="BU18" i="12" s="1"/>
  <c r="J17" i="12"/>
  <c r="BS17" i="12" s="1"/>
  <c r="BU16" i="12"/>
  <c r="BT16" i="12"/>
  <c r="BS16" i="12"/>
  <c r="BU15" i="12"/>
  <c r="BT15" i="12"/>
  <c r="BS15" i="12"/>
  <c r="BU14" i="12"/>
  <c r="BT14" i="12"/>
  <c r="BS14" i="12"/>
  <c r="M13" i="12"/>
  <c r="J13" i="12"/>
  <c r="T12" i="12"/>
  <c r="R12" i="12"/>
  <c r="P12" i="12"/>
  <c r="M10" i="12"/>
  <c r="BU10" i="12" s="1"/>
  <c r="M9" i="12"/>
  <c r="BU9" i="12" s="1"/>
  <c r="M8" i="12"/>
  <c r="BU8" i="12" s="1"/>
  <c r="BU107" i="12" l="1"/>
  <c r="BT107" i="12"/>
  <c r="BS107" i="12"/>
  <c r="BU106" i="12"/>
  <c r="BS106" i="12"/>
  <c r="BT106" i="12"/>
  <c r="BU105" i="12"/>
  <c r="BT105" i="12"/>
  <c r="BS105" i="12"/>
  <c r="BU101" i="12"/>
  <c r="BT101" i="12"/>
  <c r="BS101" i="12"/>
  <c r="BS98" i="12"/>
  <c r="BU98" i="12"/>
  <c r="BT98" i="12"/>
  <c r="BU100" i="12"/>
  <c r="BT100" i="12"/>
  <c r="BS100" i="12"/>
  <c r="BV14" i="12"/>
  <c r="BW14" i="12" s="1"/>
  <c r="BZ14" i="12" s="1"/>
  <c r="BV104" i="12"/>
  <c r="BW104" i="12" s="1"/>
  <c r="BX104" i="12" s="1"/>
  <c r="BY104" i="12" s="1"/>
  <c r="BT37" i="12"/>
  <c r="BT21" i="12"/>
  <c r="BU34" i="12"/>
  <c r="BT40" i="12"/>
  <c r="BV78" i="12"/>
  <c r="BW78" i="12" s="1"/>
  <c r="BX78" i="12" s="1"/>
  <c r="BY78" i="12" s="1"/>
  <c r="BS70" i="12"/>
  <c r="BS36" i="12"/>
  <c r="BV74" i="12"/>
  <c r="BW74" i="12" s="1"/>
  <c r="BZ74" i="12" s="1"/>
  <c r="BV108" i="12"/>
  <c r="BW108" i="12" s="1"/>
  <c r="BX108" i="12" s="1"/>
  <c r="BY108" i="12" s="1"/>
  <c r="BU82" i="12"/>
  <c r="BV15" i="12"/>
  <c r="BW15" i="12" s="1"/>
  <c r="BX15" i="12" s="1"/>
  <c r="BY15" i="12" s="1"/>
  <c r="BV46" i="12"/>
  <c r="BW46" i="12" s="1"/>
  <c r="BX46" i="12" s="1"/>
  <c r="BY46" i="12" s="1"/>
  <c r="BU20" i="12"/>
  <c r="BV93" i="12"/>
  <c r="BW93" i="12" s="1"/>
  <c r="BZ93" i="12" s="1"/>
  <c r="BV48" i="12"/>
  <c r="BW48" i="12" s="1"/>
  <c r="BZ48" i="12" s="1"/>
  <c r="BU64" i="12"/>
  <c r="BZ78" i="12"/>
  <c r="BV29" i="12"/>
  <c r="BW29" i="12" s="1"/>
  <c r="BZ29" i="12" s="1"/>
  <c r="BV90" i="12"/>
  <c r="BW90" i="12" s="1"/>
  <c r="BX90" i="12" s="1"/>
  <c r="BY90" i="12" s="1"/>
  <c r="BU50" i="12"/>
  <c r="BV72" i="12"/>
  <c r="BW72" i="12" s="1"/>
  <c r="BZ72" i="12" s="1"/>
  <c r="BT33" i="12"/>
  <c r="BU45" i="12"/>
  <c r="BU70" i="12"/>
  <c r="BV73" i="12"/>
  <c r="BW73" i="12" s="1"/>
  <c r="BZ73" i="12" s="1"/>
  <c r="BV88" i="12"/>
  <c r="BW88" i="12" s="1"/>
  <c r="BZ88" i="12" s="1"/>
  <c r="BT70" i="12"/>
  <c r="BV11" i="12"/>
  <c r="BW11" i="12" s="1"/>
  <c r="BX11" i="12" s="1"/>
  <c r="BY11" i="12" s="1"/>
  <c r="BU23" i="12"/>
  <c r="BV97" i="12"/>
  <c r="BW97" i="12" s="1"/>
  <c r="BZ97" i="12" s="1"/>
  <c r="BV60" i="12"/>
  <c r="BW60" i="12" s="1"/>
  <c r="BZ60" i="12" s="1"/>
  <c r="BV71" i="12"/>
  <c r="BW71" i="12" s="1"/>
  <c r="BZ71" i="12" s="1"/>
  <c r="BV103" i="12"/>
  <c r="BW103" i="12" s="1"/>
  <c r="BX103" i="12" s="1"/>
  <c r="BY103" i="12" s="1"/>
  <c r="BV16" i="12"/>
  <c r="BW16" i="12" s="1"/>
  <c r="BZ16" i="12" s="1"/>
  <c r="BU24" i="12"/>
  <c r="BT43" i="12"/>
  <c r="BV65" i="12"/>
  <c r="BW65" i="12" s="1"/>
  <c r="BZ65" i="12" s="1"/>
  <c r="BV86" i="12"/>
  <c r="BW86" i="12" s="1"/>
  <c r="BX86" i="12" s="1"/>
  <c r="BY86" i="12" s="1"/>
  <c r="BU12" i="12"/>
  <c r="BV77" i="12"/>
  <c r="BW77" i="12" s="1"/>
  <c r="BZ77" i="12" s="1"/>
  <c r="BU95" i="12"/>
  <c r="BT24" i="12"/>
  <c r="BU30" i="12"/>
  <c r="BS82" i="12"/>
  <c r="BU25" i="12"/>
  <c r="BT53" i="12"/>
  <c r="BT82" i="12"/>
  <c r="BV92" i="12"/>
  <c r="BV47" i="12"/>
  <c r="BW47" i="12" s="1"/>
  <c r="BX47" i="12" s="1"/>
  <c r="BY47" i="12" s="1"/>
  <c r="BV102" i="12"/>
  <c r="BW102" i="12" s="1"/>
  <c r="BZ102" i="12" s="1"/>
  <c r="BU53" i="12"/>
  <c r="BU76" i="12"/>
  <c r="BV26" i="12"/>
  <c r="BV49" i="12"/>
  <c r="BW49" i="12" s="1"/>
  <c r="BX49" i="12" s="1"/>
  <c r="BY49" i="12" s="1"/>
  <c r="BV62" i="12"/>
  <c r="BW62" i="12" s="1"/>
  <c r="BX62" i="12" s="1"/>
  <c r="BY62" i="12" s="1"/>
  <c r="BT50" i="12"/>
  <c r="BV79" i="12"/>
  <c r="BW79" i="12" s="1"/>
  <c r="BZ79" i="12" s="1"/>
  <c r="BV84" i="12"/>
  <c r="BW84" i="12" s="1"/>
  <c r="BZ84" i="12" s="1"/>
  <c r="BS80" i="12"/>
  <c r="BV63" i="12"/>
  <c r="BW63" i="12" s="1"/>
  <c r="BZ63" i="12" s="1"/>
  <c r="BT35" i="12"/>
  <c r="BT41" i="12"/>
  <c r="BU17" i="12"/>
  <c r="BT51" i="12"/>
  <c r="BS58" i="12"/>
  <c r="BT58" i="12"/>
  <c r="BV58" i="12" s="1"/>
  <c r="BW58" i="12" s="1"/>
  <c r="BT31" i="12"/>
  <c r="BV31" i="12" s="1"/>
  <c r="BS85" i="12"/>
  <c r="BT9" i="12"/>
  <c r="BV9" i="12" s="1"/>
  <c r="BT85" i="12"/>
  <c r="BV85" i="12" s="1"/>
  <c r="BT19" i="12"/>
  <c r="BU89" i="12"/>
  <c r="BU19" i="12"/>
  <c r="BS31" i="12"/>
  <c r="BU42" i="12"/>
  <c r="BT81" i="12"/>
  <c r="BU40" i="12"/>
  <c r="BS9" i="12"/>
  <c r="BT89" i="12"/>
  <c r="BU81" i="12"/>
  <c r="BU61" i="12"/>
  <c r="BV61" i="12" s="1"/>
  <c r="BW61" i="12" s="1"/>
  <c r="BS28" i="12"/>
  <c r="BS27" i="12"/>
  <c r="BW27" i="12" s="1"/>
  <c r="BU38" i="12"/>
  <c r="BS34" i="12"/>
  <c r="BS69" i="12"/>
  <c r="BS8" i="12"/>
  <c r="BT34" i="12"/>
  <c r="BS64" i="12"/>
  <c r="BT69" i="12"/>
  <c r="BV69" i="12" s="1"/>
  <c r="BT13" i="12"/>
  <c r="BT17" i="12"/>
  <c r="BT39" i="12"/>
  <c r="BS42" i="12"/>
  <c r="BS56" i="12"/>
  <c r="BT64" i="12"/>
  <c r="BU83" i="12"/>
  <c r="BV83" i="12" s="1"/>
  <c r="BW83" i="12" s="1"/>
  <c r="BZ83" i="12" s="1"/>
  <c r="BT54" i="12"/>
  <c r="BV54" i="12" s="1"/>
  <c r="BU37" i="12"/>
  <c r="BT57" i="12"/>
  <c r="BS18" i="12"/>
  <c r="BT22" i="12"/>
  <c r="BU35" i="12"/>
  <c r="BU43" i="12"/>
  <c r="BU57" i="12"/>
  <c r="BT96" i="12"/>
  <c r="BV96" i="12" s="1"/>
  <c r="BW96" i="12" s="1"/>
  <c r="BZ96" i="12" s="1"/>
  <c r="BU41" i="12"/>
  <c r="BS55" i="12"/>
  <c r="BS96" i="12"/>
  <c r="BU22" i="12"/>
  <c r="BU32" i="12"/>
  <c r="BU36" i="12"/>
  <c r="BS40" i="12"/>
  <c r="BU44" i="12"/>
  <c r="BS13" i="12"/>
  <c r="BS21" i="12"/>
  <c r="BS33" i="12"/>
  <c r="BS39" i="12"/>
  <c r="BS45" i="12"/>
  <c r="BT52" i="12"/>
  <c r="BT56" i="12"/>
  <c r="BS68" i="12"/>
  <c r="BS99" i="12"/>
  <c r="BT45" i="12"/>
  <c r="BU56" i="12"/>
  <c r="BT8" i="12"/>
  <c r="BV8" i="12" s="1"/>
  <c r="BW8" i="12" s="1"/>
  <c r="BS12" i="12"/>
  <c r="BU13" i="12"/>
  <c r="BS20" i="12"/>
  <c r="BU21" i="12"/>
  <c r="BT28" i="12"/>
  <c r="BV28" i="12" s="1"/>
  <c r="BS32" i="12"/>
  <c r="BU33" i="12"/>
  <c r="BS38" i="12"/>
  <c r="BU39" i="12"/>
  <c r="BS44" i="12"/>
  <c r="BT55" i="12"/>
  <c r="BV55" i="12" s="1"/>
  <c r="BW55" i="12" s="1"/>
  <c r="BS59" i="12"/>
  <c r="BU68" i="12"/>
  <c r="BV68" i="12" s="1"/>
  <c r="BW68" i="12" s="1"/>
  <c r="BT76" i="12"/>
  <c r="BT80" i="12"/>
  <c r="BV91" i="12"/>
  <c r="BW91" i="12" s="1"/>
  <c r="BT95" i="12"/>
  <c r="BU99" i="12"/>
  <c r="BV99" i="12" s="1"/>
  <c r="BW99" i="12" s="1"/>
  <c r="BU52" i="12"/>
  <c r="BS76" i="12"/>
  <c r="BS95" i="12"/>
  <c r="BT12" i="12"/>
  <c r="BT20" i="12"/>
  <c r="BS25" i="12"/>
  <c r="BT32" i="12"/>
  <c r="BT38" i="12"/>
  <c r="BT44" i="12"/>
  <c r="BT59" i="12"/>
  <c r="BV59" i="12" s="1"/>
  <c r="BS67" i="12"/>
  <c r="BV75" i="12"/>
  <c r="BW75" i="12" s="1"/>
  <c r="BU80" i="12"/>
  <c r="BS87" i="12"/>
  <c r="BS94" i="12"/>
  <c r="BT25" i="12"/>
  <c r="BS37" i="12"/>
  <c r="BS43" i="12"/>
  <c r="BS51" i="12"/>
  <c r="BS54" i="12"/>
  <c r="BT67" i="12"/>
  <c r="BV67" i="12" s="1"/>
  <c r="BT87" i="12"/>
  <c r="BV87" i="12" s="1"/>
  <c r="BW87" i="12" s="1"/>
  <c r="BT94" i="12"/>
  <c r="BV94" i="12" s="1"/>
  <c r="BW94" i="12" s="1"/>
  <c r="BS24" i="12"/>
  <c r="BS83" i="12"/>
  <c r="BS10" i="12"/>
  <c r="BT18" i="12"/>
  <c r="BV18" i="12" s="1"/>
  <c r="BW18" i="12" s="1"/>
  <c r="BS23" i="12"/>
  <c r="BT27" i="12"/>
  <c r="BS30" i="12"/>
  <c r="BT36" i="12"/>
  <c r="BT42" i="12"/>
  <c r="BS50" i="12"/>
  <c r="BS61" i="12"/>
  <c r="BT10" i="12"/>
  <c r="BV10" i="12" s="1"/>
  <c r="BT23" i="12"/>
  <c r="BT30" i="12"/>
  <c r="BS35" i="12"/>
  <c r="BS41" i="12"/>
  <c r="BV106" i="12" l="1"/>
  <c r="BV107" i="12"/>
  <c r="BW107" i="12" s="1"/>
  <c r="BX107" i="12" s="1"/>
  <c r="BY107" i="12" s="1"/>
  <c r="BV37" i="12"/>
  <c r="BW37" i="12" s="1"/>
  <c r="BX14" i="12"/>
  <c r="BY14" i="12" s="1"/>
  <c r="BV34" i="12"/>
  <c r="BW34" i="12" s="1"/>
  <c r="BZ34" i="12" s="1"/>
  <c r="BV98" i="12"/>
  <c r="BW98" i="12" s="1"/>
  <c r="BX98" i="12" s="1"/>
  <c r="BY98" i="12" s="1"/>
  <c r="BZ104" i="12"/>
  <c r="BX93" i="12"/>
  <c r="BY93" i="12" s="1"/>
  <c r="BW67" i="12"/>
  <c r="BX67" i="12" s="1"/>
  <c r="BY67" i="12" s="1"/>
  <c r="BV21" i="12"/>
  <c r="BW21" i="12" s="1"/>
  <c r="BZ21" i="12" s="1"/>
  <c r="BV64" i="12"/>
  <c r="BW64" i="12" s="1"/>
  <c r="BV25" i="12"/>
  <c r="BW25" i="12" s="1"/>
  <c r="BZ25" i="12" s="1"/>
  <c r="BV101" i="12"/>
  <c r="BW101" i="12" s="1"/>
  <c r="BZ101" i="12" s="1"/>
  <c r="BV40" i="12"/>
  <c r="BW40" i="12" s="1"/>
  <c r="BZ40" i="12" s="1"/>
  <c r="BZ46" i="12"/>
  <c r="BX72" i="12"/>
  <c r="BY72" i="12" s="1"/>
  <c r="BX65" i="12"/>
  <c r="BY65" i="12" s="1"/>
  <c r="BX48" i="12"/>
  <c r="BY48" i="12" s="1"/>
  <c r="BZ108" i="12"/>
  <c r="BV82" i="12"/>
  <c r="BW82" i="12" s="1"/>
  <c r="BX82" i="12" s="1"/>
  <c r="BY82" i="12" s="1"/>
  <c r="BV20" i="12"/>
  <c r="BW20" i="12" s="1"/>
  <c r="BZ20" i="12" s="1"/>
  <c r="BZ11" i="12"/>
  <c r="BZ90" i="12"/>
  <c r="BW92" i="12"/>
  <c r="BZ92" i="12" s="1"/>
  <c r="BZ47" i="12"/>
  <c r="BV105" i="12"/>
  <c r="BW105" i="12" s="1"/>
  <c r="BX105" i="12" s="1"/>
  <c r="BY105" i="12" s="1"/>
  <c r="BZ103" i="12"/>
  <c r="BZ15" i="12"/>
  <c r="BV100" i="12"/>
  <c r="BW100" i="12" s="1"/>
  <c r="BZ100" i="12" s="1"/>
  <c r="BV45" i="12"/>
  <c r="BW45" i="12" s="1"/>
  <c r="BX45" i="12" s="1"/>
  <c r="BY45" i="12" s="1"/>
  <c r="BW85" i="12"/>
  <c r="BZ85" i="12" s="1"/>
  <c r="BX73" i="12"/>
  <c r="BY73" i="12" s="1"/>
  <c r="BX29" i="12"/>
  <c r="BY29" i="12" s="1"/>
  <c r="BV33" i="12"/>
  <c r="BW33" i="12" s="1"/>
  <c r="BX33" i="12" s="1"/>
  <c r="BY33" i="12" s="1"/>
  <c r="BX16" i="12"/>
  <c r="BY16" i="12" s="1"/>
  <c r="BV50" i="12"/>
  <c r="BW50" i="12" s="1"/>
  <c r="BZ50" i="12" s="1"/>
  <c r="BV30" i="12"/>
  <c r="BW30" i="12" s="1"/>
  <c r="BX88" i="12"/>
  <c r="BY88" i="12" s="1"/>
  <c r="BV41" i="12"/>
  <c r="BW41" i="12" s="1"/>
  <c r="BZ41" i="12" s="1"/>
  <c r="BV76" i="12"/>
  <c r="BW76" i="12" s="1"/>
  <c r="BZ76" i="12" s="1"/>
  <c r="BV43" i="12"/>
  <c r="BW43" i="12" s="1"/>
  <c r="BZ43" i="12" s="1"/>
  <c r="BV24" i="12"/>
  <c r="BW24" i="12" s="1"/>
  <c r="BZ24" i="12" s="1"/>
  <c r="BV12" i="12"/>
  <c r="BW12" i="12" s="1"/>
  <c r="BX12" i="12" s="1"/>
  <c r="BY12" i="12" s="1"/>
  <c r="BX102" i="12"/>
  <c r="BY102" i="12" s="1"/>
  <c r="BZ86" i="12"/>
  <c r="BX97" i="12"/>
  <c r="BY97" i="12" s="1"/>
  <c r="BX71" i="12"/>
  <c r="BY71" i="12" s="1"/>
  <c r="BX79" i="12"/>
  <c r="BY79" i="12" s="1"/>
  <c r="BX60" i="12"/>
  <c r="BY60" i="12" s="1"/>
  <c r="BX84" i="12"/>
  <c r="BY84" i="12" s="1"/>
  <c r="BV23" i="12"/>
  <c r="BW23" i="12" s="1"/>
  <c r="BZ23" i="12" s="1"/>
  <c r="BX63" i="12"/>
  <c r="BY63" i="12" s="1"/>
  <c r="BV70" i="12"/>
  <c r="BW70" i="12" s="1"/>
  <c r="BV95" i="12"/>
  <c r="BW95" i="12" s="1"/>
  <c r="BZ95" i="12" s="1"/>
  <c r="BX77" i="12"/>
  <c r="BY77" i="12" s="1"/>
  <c r="BW106" i="12"/>
  <c r="BX106" i="12" s="1"/>
  <c r="BY106" i="12" s="1"/>
  <c r="BV89" i="12"/>
  <c r="BW89" i="12" s="1"/>
  <c r="BX89" i="12" s="1"/>
  <c r="BY89" i="12" s="1"/>
  <c r="BZ62" i="12"/>
  <c r="BV51" i="12"/>
  <c r="BZ49" i="12"/>
  <c r="BV52" i="12"/>
  <c r="BV35" i="12"/>
  <c r="BW35" i="12" s="1"/>
  <c r="BV53" i="12"/>
  <c r="BW53" i="12" s="1"/>
  <c r="BV13" i="12"/>
  <c r="BW13" i="12" s="1"/>
  <c r="BZ13" i="12" s="1"/>
  <c r="BV42" i="12"/>
  <c r="BW42" i="12" s="1"/>
  <c r="BX42" i="12" s="1"/>
  <c r="BY42" i="12" s="1"/>
  <c r="BV36" i="12"/>
  <c r="BW36" i="12" s="1"/>
  <c r="BX36" i="12" s="1"/>
  <c r="BY36" i="12" s="1"/>
  <c r="BZ61" i="12"/>
  <c r="BX61" i="12"/>
  <c r="BY61" i="12" s="1"/>
  <c r="BX58" i="12"/>
  <c r="BY58" i="12" s="1"/>
  <c r="BZ58" i="12"/>
  <c r="BV81" i="12"/>
  <c r="BW81" i="12" s="1"/>
  <c r="BZ81" i="12" s="1"/>
  <c r="BX96" i="12"/>
  <c r="BY96" i="12" s="1"/>
  <c r="BV17" i="12"/>
  <c r="BW17" i="12" s="1"/>
  <c r="BZ17" i="12" s="1"/>
  <c r="BW28" i="12"/>
  <c r="BX28" i="12" s="1"/>
  <c r="BY28" i="12" s="1"/>
  <c r="BV19" i="12"/>
  <c r="BW19" i="12" s="1"/>
  <c r="BX83" i="12"/>
  <c r="BY83" i="12" s="1"/>
  <c r="BW31" i="12"/>
  <c r="BW59" i="12"/>
  <c r="BX59" i="12" s="1"/>
  <c r="BY59" i="12" s="1"/>
  <c r="BV38" i="12"/>
  <c r="BW38" i="12" s="1"/>
  <c r="BZ38" i="12" s="1"/>
  <c r="BW9" i="12"/>
  <c r="BW69" i="12"/>
  <c r="BX69" i="12" s="1"/>
  <c r="BY69" i="12" s="1"/>
  <c r="BV39" i="12"/>
  <c r="BW39" i="12" s="1"/>
  <c r="BZ39" i="12" s="1"/>
  <c r="BW54" i="12"/>
  <c r="BZ54" i="12" s="1"/>
  <c r="BV22" i="12"/>
  <c r="BW22" i="12" s="1"/>
  <c r="BX22" i="12" s="1"/>
  <c r="BY22" i="12" s="1"/>
  <c r="BW10" i="12"/>
  <c r="BZ10" i="12" s="1"/>
  <c r="BV44" i="12"/>
  <c r="BW44" i="12" s="1"/>
  <c r="BX44" i="12" s="1"/>
  <c r="BY44" i="12" s="1"/>
  <c r="BV32" i="12"/>
  <c r="BW32" i="12" s="1"/>
  <c r="BZ32" i="12" s="1"/>
  <c r="BV57" i="12"/>
  <c r="BW57" i="12" s="1"/>
  <c r="BZ57" i="12" s="1"/>
  <c r="BZ55" i="12"/>
  <c r="BX55" i="12"/>
  <c r="BY55" i="12" s="1"/>
  <c r="BZ87" i="12"/>
  <c r="BX87" i="12"/>
  <c r="BY87" i="12" s="1"/>
  <c r="BZ75" i="12"/>
  <c r="BX75" i="12"/>
  <c r="BY75" i="12" s="1"/>
  <c r="BZ18" i="12"/>
  <c r="BX18" i="12"/>
  <c r="BY18" i="12" s="1"/>
  <c r="BX74" i="12"/>
  <c r="BY74" i="12" s="1"/>
  <c r="BZ8" i="12"/>
  <c r="BX8" i="12"/>
  <c r="BZ68" i="12"/>
  <c r="BX68" i="12"/>
  <c r="BY68" i="12" s="1"/>
  <c r="BV27" i="12"/>
  <c r="BZ99" i="12"/>
  <c r="BX99" i="12"/>
  <c r="BY99" i="12" s="1"/>
  <c r="BV56" i="12"/>
  <c r="BW56" i="12" s="1"/>
  <c r="BZ94" i="12"/>
  <c r="BX94" i="12"/>
  <c r="BY94" i="12" s="1"/>
  <c r="BZ91" i="12"/>
  <c r="BX91" i="12"/>
  <c r="BY91" i="12" s="1"/>
  <c r="BV80" i="12"/>
  <c r="BW80" i="12" s="1"/>
  <c r="BX64" i="12" l="1"/>
  <c r="BY64" i="12" s="1"/>
  <c r="BZ64" i="12"/>
  <c r="BX34" i="12"/>
  <c r="BY34" i="12" s="1"/>
  <c r="BY8" i="12"/>
  <c r="BZ67" i="12"/>
  <c r="BZ107" i="12"/>
  <c r="BX101" i="12"/>
  <c r="BY101" i="12" s="1"/>
  <c r="BX40" i="12"/>
  <c r="BY40" i="12" s="1"/>
  <c r="BZ98" i="12"/>
  <c r="BX92" i="12"/>
  <c r="BY92" i="12" s="1"/>
  <c r="BX50" i="12"/>
  <c r="BY50" i="12" s="1"/>
  <c r="BZ45" i="12"/>
  <c r="BX76" i="12"/>
  <c r="BY76" i="12" s="1"/>
  <c r="BX21" i="12"/>
  <c r="BY21" i="12" s="1"/>
  <c r="BX43" i="12"/>
  <c r="BY43" i="12" s="1"/>
  <c r="BX85" i="12"/>
  <c r="BY85" i="12" s="1"/>
  <c r="BZ82" i="12"/>
  <c r="BZ33" i="12"/>
  <c r="BX100" i="12"/>
  <c r="BY100" i="12" s="1"/>
  <c r="BX30" i="12"/>
  <c r="BY30" i="12" s="1"/>
  <c r="BZ30" i="12"/>
  <c r="BX41" i="12"/>
  <c r="BY41" i="12" s="1"/>
  <c r="BX24" i="12"/>
  <c r="BY24" i="12" s="1"/>
  <c r="BZ12" i="12"/>
  <c r="BX23" i="12"/>
  <c r="BY23" i="12" s="1"/>
  <c r="BZ36" i="12"/>
  <c r="BZ70" i="12"/>
  <c r="BX70" i="12"/>
  <c r="BY70" i="12" s="1"/>
  <c r="BZ89" i="12"/>
  <c r="BZ106" i="12"/>
  <c r="BZ42" i="12"/>
  <c r="BZ105" i="12"/>
  <c r="BX95" i="12"/>
  <c r="BY95" i="12" s="1"/>
  <c r="BX25" i="12"/>
  <c r="BY25" i="12" s="1"/>
  <c r="BX20" i="12"/>
  <c r="BY20" i="12" s="1"/>
  <c r="BX53" i="12"/>
  <c r="BY53" i="12" s="1"/>
  <c r="BZ53" i="12"/>
  <c r="BX38" i="12"/>
  <c r="BY38" i="12" s="1"/>
  <c r="BX57" i="12"/>
  <c r="BY57" i="12" s="1"/>
  <c r="BX17" i="12"/>
  <c r="BY17" i="12" s="1"/>
  <c r="BX81" i="12"/>
  <c r="BY81" i="12" s="1"/>
  <c r="BZ28" i="12"/>
  <c r="BZ19" i="12"/>
  <c r="BX19" i="12"/>
  <c r="BY19" i="12" s="1"/>
  <c r="BZ69" i="12"/>
  <c r="BZ44" i="12"/>
  <c r="BZ9" i="12"/>
  <c r="BX9" i="12"/>
  <c r="BY9" i="12" s="1"/>
  <c r="BX31" i="12"/>
  <c r="BY31" i="12" s="1"/>
  <c r="BZ31" i="12"/>
  <c r="BW109" i="12"/>
  <c r="BZ59" i="12"/>
  <c r="BX13" i="12"/>
  <c r="BY13" i="12" s="1"/>
  <c r="BZ22" i="12"/>
  <c r="BX10" i="12"/>
  <c r="BY10" i="12" s="1"/>
  <c r="BX32" i="12"/>
  <c r="BY32" i="12" s="1"/>
  <c r="BX39" i="12"/>
  <c r="BY39" i="12" s="1"/>
  <c r="BX54" i="12"/>
  <c r="BY54" i="12" s="1"/>
  <c r="BZ56" i="12"/>
  <c r="BX56" i="12"/>
  <c r="BY56" i="12" s="1"/>
  <c r="BX37" i="12"/>
  <c r="BY37" i="12" s="1"/>
  <c r="BZ37" i="12"/>
  <c r="BZ80" i="12"/>
  <c r="BX80" i="12"/>
  <c r="BY80" i="12" s="1"/>
  <c r="BX35" i="12"/>
  <c r="BY35" i="12" s="1"/>
  <c r="BZ35" i="12"/>
  <c r="BX109" i="12" l="1"/>
  <c r="BY109" i="12"/>
  <c r="M19" i="10"/>
  <c r="L19" i="10"/>
  <c r="K19" i="10"/>
  <c r="J19" i="10"/>
  <c r="I19" i="10"/>
  <c r="H19" i="10"/>
  <c r="G19" i="10"/>
  <c r="F19" i="10"/>
  <c r="P18" i="10"/>
  <c r="Q18" i="10" s="1"/>
  <c r="R18" i="10" s="1"/>
  <c r="O18" i="10"/>
  <c r="N18" i="10"/>
  <c r="P17" i="10"/>
  <c r="Q17" i="10" s="1"/>
  <c r="R17" i="10" s="1"/>
  <c r="O17" i="10"/>
  <c r="N17" i="10"/>
  <c r="P16" i="10"/>
  <c r="Q16" i="10" s="1"/>
  <c r="R16" i="10" s="1"/>
  <c r="O16" i="10"/>
  <c r="N16" i="10"/>
  <c r="P14" i="10"/>
  <c r="Q14" i="10" s="1"/>
  <c r="R14" i="10" s="1"/>
  <c r="O14" i="10"/>
  <c r="N14" i="10"/>
  <c r="P13" i="10"/>
  <c r="Q13" i="10" s="1"/>
  <c r="R13" i="10" s="1"/>
  <c r="O13" i="10"/>
  <c r="N13" i="10"/>
  <c r="P12" i="10"/>
  <c r="Q12" i="10" s="1"/>
  <c r="R12" i="10" s="1"/>
  <c r="O12" i="10"/>
  <c r="N12" i="10"/>
  <c r="P11" i="10"/>
  <c r="Q11" i="10" s="1"/>
  <c r="R11" i="10" s="1"/>
  <c r="O11" i="10"/>
  <c r="N11" i="10"/>
  <c r="P9" i="10"/>
  <c r="Q9" i="10" s="1"/>
  <c r="R9" i="10" s="1"/>
  <c r="O9" i="10"/>
  <c r="N9" i="10"/>
  <c r="P8" i="10"/>
  <c r="Q8" i="10" s="1"/>
  <c r="R8" i="10" s="1"/>
  <c r="O8" i="10"/>
  <c r="N8" i="10"/>
  <c r="R19" i="10" l="1"/>
  <c r="U8" i="10"/>
  <c r="S8" i="10"/>
  <c r="U13" i="10"/>
  <c r="S13" i="10"/>
  <c r="T13" i="10" s="1"/>
  <c r="U18" i="10"/>
  <c r="S18" i="10"/>
  <c r="T18" i="10" s="1"/>
  <c r="S17" i="10"/>
  <c r="T17" i="10" s="1"/>
  <c r="S9" i="10"/>
  <c r="T9" i="10" s="1"/>
  <c r="U9" i="10"/>
  <c r="U14" i="10"/>
  <c r="S14" i="10"/>
  <c r="T14" i="10" s="1"/>
  <c r="U11" i="10"/>
  <c r="S11" i="10"/>
  <c r="T11" i="10" s="1"/>
  <c r="U12" i="10"/>
  <c r="S12" i="10"/>
  <c r="T12" i="10" s="1"/>
  <c r="U16" i="10"/>
  <c r="S16" i="10"/>
  <c r="T16" i="10" s="1"/>
  <c r="U19" i="10" l="1"/>
  <c r="S19" i="10"/>
  <c r="T8" i="10"/>
  <c r="T19" i="10" s="1"/>
  <c r="FC7" i="5" l="1"/>
  <c r="FD7" i="5"/>
  <c r="FC8" i="5"/>
  <c r="FD8" i="5"/>
  <c r="FC11" i="5"/>
  <c r="FD11" i="5"/>
  <c r="FC12" i="5"/>
  <c r="FD12" i="5"/>
  <c r="FC13" i="5"/>
  <c r="FD13" i="5"/>
  <c r="FC14" i="5"/>
  <c r="FD14" i="5"/>
  <c r="FC15" i="5"/>
  <c r="FD15" i="5"/>
  <c r="FC16" i="5"/>
  <c r="FD16" i="5"/>
  <c r="FC17" i="5"/>
  <c r="FD17" i="5"/>
  <c r="FC18" i="5"/>
  <c r="FD18" i="5"/>
  <c r="FC19" i="5"/>
  <c r="FD19" i="5"/>
  <c r="FC20" i="5"/>
  <c r="FD20" i="5"/>
  <c r="FC21" i="5"/>
  <c r="FD21" i="5"/>
  <c r="FC22" i="5"/>
  <c r="FD22" i="5"/>
  <c r="FC23" i="5"/>
  <c r="FD23" i="5"/>
  <c r="FC24" i="5"/>
  <c r="FD24" i="5"/>
  <c r="FC25" i="5"/>
  <c r="FD25" i="5"/>
  <c r="FC26" i="5"/>
  <c r="FD26" i="5"/>
  <c r="FC27" i="5"/>
  <c r="FD27" i="5"/>
  <c r="FC28" i="5"/>
  <c r="FD28" i="5"/>
  <c r="FC29" i="5"/>
  <c r="FD29" i="5"/>
  <c r="FC30" i="5"/>
  <c r="FD30" i="5"/>
  <c r="FC31" i="5"/>
  <c r="FD31" i="5"/>
  <c r="FC32" i="5"/>
  <c r="FD32" i="5"/>
  <c r="FC33" i="5"/>
  <c r="FD33" i="5"/>
  <c r="FC34" i="5"/>
  <c r="FD34" i="5"/>
  <c r="FC35" i="5"/>
  <c r="FD35" i="5"/>
  <c r="FC36" i="5"/>
  <c r="FD36" i="5"/>
  <c r="FC37" i="5"/>
  <c r="FD37" i="5"/>
  <c r="FC38" i="5"/>
  <c r="FD38" i="5"/>
  <c r="FC39" i="5"/>
  <c r="FD39" i="5"/>
  <c r="CS40" i="5"/>
  <c r="CU40" i="5"/>
  <c r="CW40" i="5"/>
  <c r="CY40" i="5"/>
  <c r="FC40" i="5"/>
  <c r="FD40" i="5"/>
  <c r="CS41" i="5"/>
  <c r="CU41" i="5"/>
  <c r="CW41" i="5"/>
  <c r="CY41" i="5"/>
  <c r="FC41" i="5"/>
  <c r="FD41" i="5"/>
  <c r="FC42" i="5"/>
  <c r="FD42" i="5"/>
  <c r="FC43" i="5"/>
  <c r="FD43" i="5"/>
  <c r="FC45" i="5"/>
  <c r="FD45" i="5"/>
  <c r="FC46" i="5"/>
  <c r="FD46" i="5"/>
  <c r="FC48" i="5"/>
  <c r="FD48" i="5"/>
  <c r="FC49" i="5"/>
  <c r="FD49" i="5"/>
  <c r="FC50" i="5"/>
  <c r="FD50" i="5"/>
  <c r="CO51" i="5"/>
  <c r="CQ51" i="5"/>
  <c r="FC51" i="5"/>
  <c r="FD51" i="5"/>
  <c r="FC52" i="5"/>
  <c r="FD52" i="5"/>
  <c r="FC53" i="5"/>
  <c r="FD53" i="5"/>
  <c r="EA54" i="5"/>
  <c r="FB54" i="5" s="1"/>
  <c r="Y55" i="5"/>
  <c r="AK55" i="5"/>
  <c r="CM55" i="5"/>
  <c r="CO55" i="5"/>
  <c r="AS56" i="5"/>
  <c r="DY56" i="5"/>
  <c r="AS57" i="5"/>
  <c r="DY57" i="5"/>
  <c r="AE58" i="5"/>
  <c r="AI58" i="5"/>
  <c r="AS58" i="5"/>
  <c r="DY58" i="5"/>
  <c r="AE60" i="5"/>
  <c r="AE61" i="5"/>
  <c r="FB61" i="5" s="1"/>
  <c r="AH61" i="5"/>
  <c r="AE62" i="5"/>
  <c r="AI62" i="5"/>
  <c r="AE63" i="5"/>
  <c r="AI63" i="5"/>
  <c r="AE64" i="5"/>
  <c r="AI64" i="5"/>
  <c r="AE65" i="5"/>
  <c r="AI65" i="5"/>
  <c r="AE66" i="5"/>
  <c r="AS66" i="5"/>
  <c r="FC67" i="5"/>
  <c r="FD67" i="5"/>
  <c r="FC68" i="5"/>
  <c r="FD68" i="5"/>
  <c r="FC69" i="5"/>
  <c r="FD69" i="5"/>
  <c r="FC70" i="5"/>
  <c r="FD70" i="5"/>
  <c r="U71" i="5"/>
  <c r="W71" i="5"/>
  <c r="Y71" i="5"/>
  <c r="BQ71" i="5"/>
  <c r="AE73" i="5"/>
  <c r="FB73" i="5" s="1"/>
  <c r="U74" i="5"/>
  <c r="W74" i="5"/>
  <c r="Y74" i="5"/>
  <c r="EA74" i="5"/>
  <c r="U75" i="5"/>
  <c r="V75" i="5"/>
  <c r="W75" i="5" s="1"/>
  <c r="X75" i="5"/>
  <c r="AE75" i="5"/>
  <c r="AE76" i="5"/>
  <c r="AM76" i="5"/>
  <c r="AO76" i="5"/>
  <c r="EA76" i="5"/>
  <c r="W77" i="5"/>
  <c r="Y77" i="5"/>
  <c r="AK77" i="5"/>
  <c r="EA77" i="5"/>
  <c r="AE79" i="5"/>
  <c r="BY79" i="5"/>
  <c r="CA79" i="5"/>
  <c r="AE80" i="5"/>
  <c r="CU80" i="5"/>
  <c r="CW80" i="5"/>
  <c r="BU81" i="5"/>
  <c r="CC81" i="5"/>
  <c r="CE83" i="5"/>
  <c r="CI83" i="5"/>
  <c r="AE84" i="5"/>
  <c r="AG84" i="5"/>
  <c r="BI84" i="5"/>
  <c r="FC85" i="5"/>
  <c r="FD85" i="5"/>
  <c r="AE86" i="5"/>
  <c r="AG86" i="5"/>
  <c r="CK86" i="5"/>
  <c r="EA86" i="5"/>
  <c r="EC86" i="5"/>
  <c r="EE86" i="5"/>
  <c r="U87" i="5"/>
  <c r="AE87" i="5"/>
  <c r="CK87" i="5"/>
  <c r="FC88" i="5"/>
  <c r="FD88" i="5"/>
  <c r="AE89" i="5"/>
  <c r="AG89" i="5"/>
  <c r="U90" i="5"/>
  <c r="AE90" i="5"/>
  <c r="AE91" i="5"/>
  <c r="AG91" i="5"/>
  <c r="FC93" i="5"/>
  <c r="FD93" i="5"/>
  <c r="AP219" i="5"/>
  <c r="FC94" i="5"/>
  <c r="FD94" i="5"/>
  <c r="U95" i="5"/>
  <c r="AG95" i="5"/>
  <c r="U96" i="5"/>
  <c r="AE96" i="5"/>
  <c r="AG96" i="5"/>
  <c r="BS219" i="5"/>
  <c r="CA97" i="5"/>
  <c r="DW97" i="5"/>
  <c r="FC99" i="5"/>
  <c r="FD99" i="5"/>
  <c r="FC100" i="5"/>
  <c r="FD100" i="5"/>
  <c r="DA101" i="5"/>
  <c r="FC101" i="5"/>
  <c r="FD101" i="5"/>
  <c r="FC102" i="5"/>
  <c r="FD102" i="5"/>
  <c r="FB103" i="5"/>
  <c r="FC103" i="5"/>
  <c r="FD103" i="5"/>
  <c r="AW104" i="5"/>
  <c r="AY104" i="5"/>
  <c r="BA104" i="5"/>
  <c r="BC104" i="5"/>
  <c r="AY105" i="5"/>
  <c r="BC105" i="5"/>
  <c r="CK106" i="5"/>
  <c r="FC106" i="5"/>
  <c r="FD106" i="5"/>
  <c r="FC108" i="5"/>
  <c r="FD108" i="5"/>
  <c r="AE109" i="5"/>
  <c r="FC109" i="5"/>
  <c r="FD109" i="5"/>
  <c r="FC110" i="5"/>
  <c r="FD110" i="5"/>
  <c r="DW111" i="5"/>
  <c r="FB111" i="5" s="1"/>
  <c r="BY112" i="5"/>
  <c r="CA112" i="5"/>
  <c r="FC113" i="5"/>
  <c r="FD113" i="5"/>
  <c r="DC114" i="5"/>
  <c r="DE114" i="5"/>
  <c r="AE115" i="5"/>
  <c r="CK115" i="5"/>
  <c r="AW116" i="5"/>
  <c r="BA116" i="5"/>
  <c r="AE117" i="5"/>
  <c r="CK117" i="5"/>
  <c r="AE118" i="5"/>
  <c r="BE118" i="5"/>
  <c r="AE119" i="5"/>
  <c r="CK119" i="5"/>
  <c r="AE120" i="5"/>
  <c r="AO120" i="5"/>
  <c r="BK121" i="5"/>
  <c r="CK121" i="5"/>
  <c r="AE122" i="5"/>
  <c r="AU122" i="5"/>
  <c r="BK122" i="5"/>
  <c r="CW122" i="5"/>
  <c r="CK123" i="5"/>
  <c r="CM123" i="5"/>
  <c r="CO123" i="5"/>
  <c r="CQ123" i="5"/>
  <c r="M124" i="5"/>
  <c r="AE124" i="5"/>
  <c r="CK125" i="5"/>
  <c r="CL125" i="5"/>
  <c r="AE126" i="5"/>
  <c r="DA126" i="5"/>
  <c r="AE127" i="5"/>
  <c r="CK127" i="5"/>
  <c r="AE128" i="5"/>
  <c r="CK128" i="5"/>
  <c r="DW128" i="5"/>
  <c r="DW129" i="5"/>
  <c r="FC129" i="5"/>
  <c r="FD129" i="5"/>
  <c r="DW130" i="5"/>
  <c r="FC130" i="5"/>
  <c r="FD130" i="5"/>
  <c r="FC131" i="5"/>
  <c r="FD131" i="5"/>
  <c r="FC132" i="5"/>
  <c r="FD132" i="5"/>
  <c r="FC133" i="5"/>
  <c r="FD133" i="5"/>
  <c r="FC134" i="5"/>
  <c r="FD134" i="5"/>
  <c r="FC135" i="5"/>
  <c r="FD135" i="5"/>
  <c r="FC136" i="5"/>
  <c r="FD136" i="5"/>
  <c r="FC137" i="5"/>
  <c r="FD137" i="5"/>
  <c r="FC138" i="5"/>
  <c r="FD138" i="5"/>
  <c r="AU139" i="5"/>
  <c r="DK140" i="5"/>
  <c r="FC141" i="5"/>
  <c r="FD141" i="5"/>
  <c r="FC142" i="5"/>
  <c r="FD142" i="5"/>
  <c r="BK143" i="5"/>
  <c r="FC144" i="5"/>
  <c r="FD144" i="5"/>
  <c r="DS146" i="5"/>
  <c r="FB146" i="5" s="1"/>
  <c r="CK147" i="5"/>
  <c r="CO147" i="5"/>
  <c r="M149" i="5"/>
  <c r="CK149" i="5"/>
  <c r="CM149" i="5"/>
  <c r="FC150" i="5"/>
  <c r="FD150" i="5"/>
  <c r="FC151" i="5"/>
  <c r="FD151" i="5"/>
  <c r="M152" i="5"/>
  <c r="AE152" i="5"/>
  <c r="AE153" i="5"/>
  <c r="CK153" i="5"/>
  <c r="CM155" i="5"/>
  <c r="FB155" i="5" s="1"/>
  <c r="M156" i="5"/>
  <c r="AE156" i="5"/>
  <c r="M157" i="5"/>
  <c r="AE157" i="5"/>
  <c r="CK157" i="5"/>
  <c r="M158" i="5"/>
  <c r="AE158" i="5"/>
  <c r="M159" i="5"/>
  <c r="CM159" i="5"/>
  <c r="CS159" i="5"/>
  <c r="M160" i="5"/>
  <c r="CM160" i="5"/>
  <c r="CS160" i="5"/>
  <c r="CY160" i="5"/>
  <c r="M161" i="5"/>
  <c r="CS161" i="5"/>
  <c r="CY161" i="5"/>
  <c r="M162" i="5"/>
  <c r="AE162" i="5"/>
  <c r="FE163" i="5"/>
  <c r="FH163" i="5" s="1"/>
  <c r="M164" i="5"/>
  <c r="AE164" i="5"/>
  <c r="M165" i="5"/>
  <c r="AE165" i="5"/>
  <c r="M166" i="5"/>
  <c r="AE166" i="5"/>
  <c r="K167" i="5"/>
  <c r="AE167" i="5"/>
  <c r="AE168" i="5"/>
  <c r="CK168" i="5"/>
  <c r="K169" i="5"/>
  <c r="CK169" i="5"/>
  <c r="K170" i="5"/>
  <c r="AE170" i="5"/>
  <c r="CK170" i="5"/>
  <c r="K173" i="5"/>
  <c r="AE173" i="5"/>
  <c r="I174" i="5"/>
  <c r="K174" i="5"/>
  <c r="AE175" i="5"/>
  <c r="CK175" i="5"/>
  <c r="K176" i="5"/>
  <c r="AE176" i="5"/>
  <c r="AA178" i="5"/>
  <c r="AE178" i="5"/>
  <c r="Q179" i="5"/>
  <c r="AC179" i="5"/>
  <c r="CK179" i="5"/>
  <c r="Q180" i="5"/>
  <c r="AC180" i="5"/>
  <c r="O181" i="5"/>
  <c r="AE181" i="5"/>
  <c r="O182" i="5"/>
  <c r="Q182" i="5"/>
  <c r="O183" i="5"/>
  <c r="Q183" i="5"/>
  <c r="AE183" i="5"/>
  <c r="AA184" i="5"/>
  <c r="AC184" i="5"/>
  <c r="CK202" i="5"/>
  <c r="DO202" i="5"/>
  <c r="CK203" i="5"/>
  <c r="DU203" i="5"/>
  <c r="EK219" i="5"/>
  <c r="EM219" i="5"/>
  <c r="FB166" i="5" l="1"/>
  <c r="FB153" i="5"/>
  <c r="FB184" i="5"/>
  <c r="FB117" i="5"/>
  <c r="FB122" i="5"/>
  <c r="FB179" i="5"/>
  <c r="FB127" i="5"/>
  <c r="FB147" i="5"/>
  <c r="FB203" i="5"/>
  <c r="FB174" i="5"/>
  <c r="FB123" i="5"/>
  <c r="FB149" i="5"/>
  <c r="FB165" i="5"/>
  <c r="FB124" i="5"/>
  <c r="FB114" i="5"/>
  <c r="FB182" i="5"/>
  <c r="FB175" i="5"/>
  <c r="FB181" i="5"/>
  <c r="FB167" i="5"/>
  <c r="FB164" i="5"/>
  <c r="FB178" i="5"/>
  <c r="FB159" i="5"/>
  <c r="FB152" i="5"/>
  <c r="FB126" i="5"/>
  <c r="FB116" i="5"/>
  <c r="FB183" i="5"/>
  <c r="FB169" i="5"/>
  <c r="FC143" i="5"/>
  <c r="FB143" i="5"/>
  <c r="FD143" i="5"/>
  <c r="FC176" i="5"/>
  <c r="FB176" i="5"/>
  <c r="FD176" i="5"/>
  <c r="FB162" i="5"/>
  <c r="FB121" i="5"/>
  <c r="FD139" i="5"/>
  <c r="FC139" i="5"/>
  <c r="FB139" i="5"/>
  <c r="FB202" i="5"/>
  <c r="FB173" i="5"/>
  <c r="FB112" i="5"/>
  <c r="FB89" i="5"/>
  <c r="FB158" i="5"/>
  <c r="FB115" i="5"/>
  <c r="FB168" i="5"/>
  <c r="FC140" i="5"/>
  <c r="FB140" i="5"/>
  <c r="FD140" i="5"/>
  <c r="FE140" i="5" s="1"/>
  <c r="FH140" i="5" s="1"/>
  <c r="FB180" i="5"/>
  <c r="FB156" i="5"/>
  <c r="FB128" i="5"/>
  <c r="FB119" i="5"/>
  <c r="FB56" i="5"/>
  <c r="FB84" i="5"/>
  <c r="FB58" i="5"/>
  <c r="FB62" i="5"/>
  <c r="FB83" i="5"/>
  <c r="FB86" i="5"/>
  <c r="FB81" i="5"/>
  <c r="FB55" i="5"/>
  <c r="FB66" i="5"/>
  <c r="FB90" i="5"/>
  <c r="FD80" i="5"/>
  <c r="FC80" i="5"/>
  <c r="FB80" i="5"/>
  <c r="FD76" i="5"/>
  <c r="FC76" i="5"/>
  <c r="FB76" i="5"/>
  <c r="FB71" i="5"/>
  <c r="FB65" i="5"/>
  <c r="FB104" i="5"/>
  <c r="FB87" i="5"/>
  <c r="FB74" i="5"/>
  <c r="FB118" i="5"/>
  <c r="FB77" i="5"/>
  <c r="FB97" i="5"/>
  <c r="FB91" i="5"/>
  <c r="FB105" i="5"/>
  <c r="FB95" i="5"/>
  <c r="FC79" i="5"/>
  <c r="FB79" i="5"/>
  <c r="FD79" i="5"/>
  <c r="FE79" i="5" s="1"/>
  <c r="FH79" i="5" s="1"/>
  <c r="FB64" i="5"/>
  <c r="FB120" i="5"/>
  <c r="FB57" i="5"/>
  <c r="FB63" i="5"/>
  <c r="FD166" i="5"/>
  <c r="FC166" i="5"/>
  <c r="FC146" i="5"/>
  <c r="FD146" i="5"/>
  <c r="FE7" i="5"/>
  <c r="FH7" i="5" s="1"/>
  <c r="FE106" i="5"/>
  <c r="FH106" i="5" s="1"/>
  <c r="FI106" i="5" s="1"/>
  <c r="FE150" i="5"/>
  <c r="FH150" i="5" s="1"/>
  <c r="FE40" i="5"/>
  <c r="FH40" i="5" s="1"/>
  <c r="FF40" i="5" s="1"/>
  <c r="FG40" i="5" s="1"/>
  <c r="FB157" i="5"/>
  <c r="FE46" i="5"/>
  <c r="FH46" i="5" s="1"/>
  <c r="FI46" i="5" s="1"/>
  <c r="FE85" i="5"/>
  <c r="FH85" i="5" s="1"/>
  <c r="FI85" i="5" s="1"/>
  <c r="AH219" i="5"/>
  <c r="AI61" i="5"/>
  <c r="AI219" i="5" s="1"/>
  <c r="FD128" i="5"/>
  <c r="FC128" i="5"/>
  <c r="FC58" i="5"/>
  <c r="FD58" i="5"/>
  <c r="FB160" i="5"/>
  <c r="FD118" i="5"/>
  <c r="FC118" i="5"/>
  <c r="FD111" i="5"/>
  <c r="FC111" i="5"/>
  <c r="FD203" i="5"/>
  <c r="FC203" i="5"/>
  <c r="AQ219" i="5"/>
  <c r="FD84" i="5"/>
  <c r="FC84" i="5"/>
  <c r="FD202" i="5"/>
  <c r="FC202" i="5"/>
  <c r="FE177" i="5"/>
  <c r="FH177" i="5" s="1"/>
  <c r="FC180" i="5"/>
  <c r="FD180" i="5"/>
  <c r="FD179" i="5"/>
  <c r="FC179" i="5"/>
  <c r="FC178" i="5"/>
  <c r="FD178" i="5"/>
  <c r="FB161" i="5"/>
  <c r="FD152" i="5"/>
  <c r="FC152" i="5"/>
  <c r="FD183" i="5"/>
  <c r="FC183" i="5"/>
  <c r="FD153" i="5"/>
  <c r="FC153" i="5"/>
  <c r="FC182" i="5"/>
  <c r="FD182" i="5"/>
  <c r="FE154" i="5"/>
  <c r="FH154" i="5" s="1"/>
  <c r="FI154" i="5" s="1"/>
  <c r="FC181" i="5"/>
  <c r="FD181" i="5"/>
  <c r="FB170" i="5"/>
  <c r="FD184" i="5"/>
  <c r="FC184" i="5"/>
  <c r="FE135" i="5"/>
  <c r="FH135" i="5" s="1"/>
  <c r="FI135" i="5" s="1"/>
  <c r="FD175" i="5"/>
  <c r="FC175" i="5"/>
  <c r="FD170" i="5"/>
  <c r="FC170" i="5"/>
  <c r="FC168" i="5"/>
  <c r="FD168" i="5"/>
  <c r="FD160" i="5"/>
  <c r="FC160" i="5"/>
  <c r="FD155" i="5"/>
  <c r="FD157" i="5"/>
  <c r="FC157" i="5"/>
  <c r="FC173" i="5"/>
  <c r="FD173" i="5"/>
  <c r="FC159" i="5"/>
  <c r="FD159" i="5"/>
  <c r="FD161" i="5"/>
  <c r="FC161" i="5"/>
  <c r="FD167" i="5"/>
  <c r="FC167" i="5"/>
  <c r="FD158" i="5"/>
  <c r="FC158" i="5"/>
  <c r="FD174" i="5"/>
  <c r="FC174" i="5"/>
  <c r="FC164" i="5"/>
  <c r="FD164" i="5"/>
  <c r="FD162" i="5"/>
  <c r="FC162" i="5"/>
  <c r="FC156" i="5"/>
  <c r="FD156" i="5"/>
  <c r="FE172" i="5"/>
  <c r="FH172" i="5" s="1"/>
  <c r="FC165" i="5"/>
  <c r="FD165" i="5"/>
  <c r="FD169" i="5"/>
  <c r="FC169" i="5"/>
  <c r="CE219" i="5"/>
  <c r="FH193" i="5"/>
  <c r="FI193" i="5" s="1"/>
  <c r="FC122" i="5"/>
  <c r="FD122" i="5"/>
  <c r="FD90" i="5"/>
  <c r="FC90" i="5"/>
  <c r="FD63" i="5"/>
  <c r="FC63" i="5"/>
  <c r="FD117" i="5"/>
  <c r="FC117" i="5"/>
  <c r="FD71" i="5"/>
  <c r="FC71" i="5"/>
  <c r="FC59" i="5"/>
  <c r="FD59" i="5"/>
  <c r="FD127" i="5"/>
  <c r="FC127" i="5"/>
  <c r="FC115" i="5"/>
  <c r="FD115" i="5"/>
  <c r="FC62" i="5"/>
  <c r="FD62" i="5"/>
  <c r="BO219" i="5"/>
  <c r="FC120" i="5"/>
  <c r="FD120" i="5"/>
  <c r="FD87" i="5"/>
  <c r="FC87" i="5"/>
  <c r="FD81" i="5"/>
  <c r="FC81" i="5"/>
  <c r="FD92" i="5"/>
  <c r="FC92" i="5"/>
  <c r="FD86" i="5"/>
  <c r="FC86" i="5"/>
  <c r="FD61" i="5"/>
  <c r="FC61" i="5"/>
  <c r="FC57" i="5"/>
  <c r="FD57" i="5"/>
  <c r="FD77" i="5"/>
  <c r="FC77" i="5"/>
  <c r="FC123" i="5"/>
  <c r="FD123" i="5"/>
  <c r="FC147" i="5"/>
  <c r="FD147" i="5"/>
  <c r="FC104" i="5"/>
  <c r="FD104" i="5"/>
  <c r="FC66" i="5"/>
  <c r="FD66" i="5"/>
  <c r="FC112" i="5"/>
  <c r="FD112" i="5"/>
  <c r="FD54" i="5"/>
  <c r="FC54" i="5"/>
  <c r="FD149" i="5"/>
  <c r="FC149" i="5"/>
  <c r="FC126" i="5"/>
  <c r="FD126" i="5"/>
  <c r="FC74" i="5"/>
  <c r="FD74" i="5"/>
  <c r="FD105" i="5"/>
  <c r="FC105" i="5"/>
  <c r="FD73" i="5"/>
  <c r="FC73" i="5"/>
  <c r="FC56" i="5"/>
  <c r="FD56" i="5"/>
  <c r="FI163" i="5"/>
  <c r="FF163" i="5"/>
  <c r="FG163" i="5" s="1"/>
  <c r="FC121" i="5"/>
  <c r="FD121" i="5"/>
  <c r="FD83" i="5"/>
  <c r="FC83" i="5"/>
  <c r="FD55" i="5"/>
  <c r="FC55" i="5"/>
  <c r="FC114" i="5"/>
  <c r="FD114" i="5"/>
  <c r="FC96" i="5"/>
  <c r="FB96" i="5"/>
  <c r="FD96" i="5"/>
  <c r="FD89" i="5"/>
  <c r="FC89" i="5"/>
  <c r="FD91" i="5"/>
  <c r="FC91" i="5"/>
  <c r="FC116" i="5"/>
  <c r="FD116" i="5"/>
  <c r="FC124" i="5"/>
  <c r="FD124" i="5"/>
  <c r="FC97" i="5"/>
  <c r="FD97" i="5"/>
  <c r="FD65" i="5"/>
  <c r="FC65" i="5"/>
  <c r="FD119" i="5"/>
  <c r="FC119" i="5"/>
  <c r="FD95" i="5"/>
  <c r="FC95" i="5"/>
  <c r="CG219" i="5"/>
  <c r="FE68" i="5"/>
  <c r="FH68" i="5" s="1"/>
  <c r="FC64" i="5"/>
  <c r="FD64" i="5"/>
  <c r="FD60" i="5"/>
  <c r="FC60" i="5"/>
  <c r="CM125" i="5"/>
  <c r="FC125" i="5" s="1"/>
  <c r="Y75" i="5"/>
  <c r="Y219" i="5" s="1"/>
  <c r="X219" i="5"/>
  <c r="CL219" i="5"/>
  <c r="Z219" i="5"/>
  <c r="FC155" i="5"/>
  <c r="AS219" i="5"/>
  <c r="AR219" i="5"/>
  <c r="V219" i="5"/>
  <c r="AO219" i="5"/>
  <c r="AM219" i="5"/>
  <c r="CI219" i="5"/>
  <c r="DC219" i="5"/>
  <c r="BM219" i="5"/>
  <c r="CS219" i="5"/>
  <c r="O219" i="5"/>
  <c r="DS219" i="5"/>
  <c r="BU219" i="5"/>
  <c r="AG219" i="5"/>
  <c r="S219" i="5"/>
  <c r="DM219" i="5"/>
  <c r="EE219" i="5"/>
  <c r="AC219" i="5"/>
  <c r="AE219" i="5"/>
  <c r="DU219" i="5"/>
  <c r="DK219" i="5"/>
  <c r="EC219" i="5"/>
  <c r="AA219" i="5"/>
  <c r="M219" i="5"/>
  <c r="DA219" i="5"/>
  <c r="DE219" i="5"/>
  <c r="CU219" i="5"/>
  <c r="BE219" i="5"/>
  <c r="CK219" i="5"/>
  <c r="CQ219" i="5"/>
  <c r="AU219" i="5"/>
  <c r="BC219" i="5"/>
  <c r="CO219" i="5"/>
  <c r="CA219" i="5"/>
  <c r="W219" i="5"/>
  <c r="BA219" i="5"/>
  <c r="BY219" i="5"/>
  <c r="U219" i="5"/>
  <c r="AY219" i="5"/>
  <c r="AK219" i="5"/>
  <c r="Q219" i="5"/>
  <c r="DQ219" i="5"/>
  <c r="CC219" i="5"/>
  <c r="BW219" i="5"/>
  <c r="AW219" i="5"/>
  <c r="DO219" i="5"/>
  <c r="DI219" i="5"/>
  <c r="BK219" i="5"/>
  <c r="EA219" i="5"/>
  <c r="K219" i="5"/>
  <c r="DW219" i="5"/>
  <c r="DG219" i="5"/>
  <c r="BI219" i="5"/>
  <c r="DY219" i="5"/>
  <c r="I219" i="5"/>
  <c r="CY219" i="5"/>
  <c r="FH188" i="5"/>
  <c r="BG219" i="5"/>
  <c r="BQ219" i="5"/>
  <c r="G219" i="5"/>
  <c r="FE49" i="5"/>
  <c r="FH49" i="5" s="1"/>
  <c r="CW219" i="5"/>
  <c r="FE38" i="5"/>
  <c r="FH38" i="5" s="1"/>
  <c r="FE34" i="5"/>
  <c r="FH34" i="5" s="1"/>
  <c r="FE30" i="5"/>
  <c r="FH30" i="5" s="1"/>
  <c r="FE26" i="5"/>
  <c r="FH26" i="5" s="1"/>
  <c r="FE22" i="5"/>
  <c r="FH22" i="5" s="1"/>
  <c r="FE18" i="5"/>
  <c r="FH18" i="5" s="1"/>
  <c r="FE14" i="5"/>
  <c r="FH14" i="5" s="1"/>
  <c r="FE8" i="5"/>
  <c r="FH8" i="5" s="1"/>
  <c r="FE107" i="5"/>
  <c r="FH107" i="5" s="1"/>
  <c r="FH196" i="5"/>
  <c r="FF196" i="5" s="1"/>
  <c r="FE45" i="5"/>
  <c r="FH45" i="5" s="1"/>
  <c r="FE41" i="5"/>
  <c r="FH41" i="5" s="1"/>
  <c r="FE36" i="5"/>
  <c r="FH36" i="5" s="1"/>
  <c r="FE32" i="5"/>
  <c r="FH32" i="5" s="1"/>
  <c r="FE28" i="5"/>
  <c r="FH28" i="5" s="1"/>
  <c r="FE24" i="5"/>
  <c r="FH24" i="5" s="1"/>
  <c r="FE20" i="5"/>
  <c r="FH20" i="5" s="1"/>
  <c r="FE16" i="5"/>
  <c r="FH16" i="5" s="1"/>
  <c r="FE12" i="5"/>
  <c r="FH12" i="5" s="1"/>
  <c r="FE204" i="5"/>
  <c r="FH204" i="5" s="1"/>
  <c r="FE131" i="5"/>
  <c r="FH131" i="5" s="1"/>
  <c r="FE138" i="5"/>
  <c r="FH138" i="5" s="1"/>
  <c r="FE101" i="5"/>
  <c r="FH101" i="5" s="1"/>
  <c r="FE69" i="5"/>
  <c r="FH69" i="5" s="1"/>
  <c r="FE42" i="5"/>
  <c r="FH42" i="5" s="1"/>
  <c r="FH200" i="5"/>
  <c r="FE78" i="5"/>
  <c r="FH78" i="5" s="1"/>
  <c r="FE72" i="5"/>
  <c r="FH72" i="5" s="1"/>
  <c r="FE51" i="5"/>
  <c r="FH51" i="5" s="1"/>
  <c r="FH201" i="5"/>
  <c r="FE113" i="5"/>
  <c r="FH113" i="5" s="1"/>
  <c r="FE53" i="5"/>
  <c r="FH53" i="5" s="1"/>
  <c r="FE48" i="5"/>
  <c r="FH48" i="5" s="1"/>
  <c r="FE44" i="5"/>
  <c r="FH44" i="5" s="1"/>
  <c r="FE103" i="5"/>
  <c r="FH103" i="5" s="1"/>
  <c r="FE142" i="5"/>
  <c r="FH142" i="5" s="1"/>
  <c r="FH192" i="5"/>
  <c r="FE171" i="5"/>
  <c r="FH171" i="5" s="1"/>
  <c r="FH199" i="5"/>
  <c r="FE136" i="5"/>
  <c r="FH136" i="5" s="1"/>
  <c r="FE109" i="5"/>
  <c r="FH109" i="5" s="1"/>
  <c r="FE98" i="5"/>
  <c r="FH98" i="5" s="1"/>
  <c r="FE67" i="5"/>
  <c r="FH67" i="5" s="1"/>
  <c r="FE37" i="5"/>
  <c r="FH37" i="5" s="1"/>
  <c r="FE33" i="5"/>
  <c r="FH33" i="5" s="1"/>
  <c r="FE29" i="5"/>
  <c r="FH29" i="5" s="1"/>
  <c r="FE25" i="5"/>
  <c r="FH25" i="5" s="1"/>
  <c r="FE21" i="5"/>
  <c r="FH21" i="5" s="1"/>
  <c r="FE17" i="5"/>
  <c r="FH17" i="5" s="1"/>
  <c r="FH195" i="5"/>
  <c r="FE141" i="5"/>
  <c r="FH141" i="5" s="1"/>
  <c r="FH186" i="5"/>
  <c r="FH190" i="5"/>
  <c r="FE88" i="5"/>
  <c r="FH88" i="5" s="1"/>
  <c r="FE100" i="5"/>
  <c r="FH100" i="5" s="1"/>
  <c r="FH187" i="5"/>
  <c r="FE144" i="5"/>
  <c r="FH144" i="5" s="1"/>
  <c r="FE129" i="5"/>
  <c r="FH129" i="5" s="1"/>
  <c r="FE93" i="5"/>
  <c r="FH93" i="5" s="1"/>
  <c r="FE151" i="5"/>
  <c r="FH151" i="5" s="1"/>
  <c r="FH197" i="5"/>
  <c r="FF197" i="5" s="1"/>
  <c r="FE130" i="5"/>
  <c r="FH130" i="5" s="1"/>
  <c r="FE133" i="5"/>
  <c r="FH133" i="5" s="1"/>
  <c r="FE110" i="5"/>
  <c r="FH110" i="5" s="1"/>
  <c r="FE94" i="5"/>
  <c r="FH94" i="5" s="1"/>
  <c r="FE39" i="5"/>
  <c r="FH39" i="5" s="1"/>
  <c r="FE35" i="5"/>
  <c r="FH35" i="5" s="1"/>
  <c r="FE31" i="5"/>
  <c r="FH31" i="5" s="1"/>
  <c r="FE27" i="5"/>
  <c r="FH27" i="5" s="1"/>
  <c r="FE23" i="5"/>
  <c r="FH23" i="5" s="1"/>
  <c r="FE19" i="5"/>
  <c r="FH19" i="5" s="1"/>
  <c r="FE50" i="5"/>
  <c r="FH50" i="5" s="1"/>
  <c r="FE43" i="5"/>
  <c r="FH43" i="5" s="1"/>
  <c r="FE132" i="5"/>
  <c r="FH132" i="5" s="1"/>
  <c r="FE134" i="5"/>
  <c r="FH134" i="5" s="1"/>
  <c r="FH198" i="5"/>
  <c r="FE137" i="5"/>
  <c r="FH137" i="5" s="1"/>
  <c r="FE52" i="5"/>
  <c r="FH52" i="5" s="1"/>
  <c r="FE11" i="5"/>
  <c r="FH11" i="5" s="1"/>
  <c r="FH191" i="5"/>
  <c r="FE99" i="5"/>
  <c r="FH99" i="5" s="1"/>
  <c r="FH194" i="5"/>
  <c r="FE15" i="5"/>
  <c r="FH15" i="5" s="1"/>
  <c r="FE13" i="5"/>
  <c r="FH13" i="5" s="1"/>
  <c r="FH185" i="5"/>
  <c r="FE108" i="5"/>
  <c r="FH108" i="5" s="1"/>
  <c r="FE102" i="5"/>
  <c r="FH102" i="5" s="1"/>
  <c r="FE70" i="5"/>
  <c r="FH70" i="5" s="1"/>
  <c r="FE143" i="5" l="1"/>
  <c r="FH143" i="5" s="1"/>
  <c r="FI143" i="5" s="1"/>
  <c r="FE176" i="5"/>
  <c r="FH176" i="5" s="1"/>
  <c r="FF176" i="5" s="1"/>
  <c r="FG176" i="5" s="1"/>
  <c r="FF7" i="5"/>
  <c r="FG7" i="5" s="1"/>
  <c r="FB125" i="5"/>
  <c r="FE139" i="5"/>
  <c r="FH139" i="5" s="1"/>
  <c r="FI139" i="5" s="1"/>
  <c r="FE80" i="5"/>
  <c r="FH80" i="5" s="1"/>
  <c r="FI80" i="5" s="1"/>
  <c r="FB75" i="5"/>
  <c r="FC75" i="5"/>
  <c r="FD75" i="5"/>
  <c r="FI7" i="5"/>
  <c r="FF106" i="5"/>
  <c r="FG106" i="5" s="1"/>
  <c r="FE149" i="5"/>
  <c r="FH149" i="5" s="1"/>
  <c r="FI149" i="5" s="1"/>
  <c r="FE117" i="5"/>
  <c r="FH117" i="5" s="1"/>
  <c r="FI117" i="5" s="1"/>
  <c r="FI40" i="5"/>
  <c r="FE87" i="5"/>
  <c r="FH87" i="5" s="1"/>
  <c r="FF87" i="5" s="1"/>
  <c r="FG87" i="5" s="1"/>
  <c r="FE127" i="5"/>
  <c r="FH127" i="5" s="1"/>
  <c r="FI127" i="5" s="1"/>
  <c r="FE165" i="5"/>
  <c r="FH165" i="5" s="1"/>
  <c r="FF165" i="5" s="1"/>
  <c r="FG165" i="5" s="1"/>
  <c r="FE112" i="5"/>
  <c r="FH112" i="5" s="1"/>
  <c r="FI112" i="5" s="1"/>
  <c r="FE153" i="5"/>
  <c r="FH153" i="5" s="1"/>
  <c r="FI153" i="5" s="1"/>
  <c r="FF46" i="5"/>
  <c r="FG46" i="5" s="1"/>
  <c r="FE62" i="5"/>
  <c r="FH62" i="5" s="1"/>
  <c r="FF62" i="5" s="1"/>
  <c r="FG62" i="5" s="1"/>
  <c r="FE158" i="5"/>
  <c r="FH158" i="5" s="1"/>
  <c r="FI158" i="5" s="1"/>
  <c r="FE111" i="5"/>
  <c r="FH111" i="5" s="1"/>
  <c r="FI111" i="5" s="1"/>
  <c r="FE123" i="5"/>
  <c r="FH123" i="5" s="1"/>
  <c r="FI123" i="5" s="1"/>
  <c r="FF85" i="5"/>
  <c r="FG85" i="5" s="1"/>
  <c r="FE71" i="5"/>
  <c r="FH71" i="5" s="1"/>
  <c r="FI71" i="5" s="1"/>
  <c r="FE97" i="5"/>
  <c r="FH97" i="5" s="1"/>
  <c r="FI97" i="5" s="1"/>
  <c r="FE73" i="5"/>
  <c r="FH73" i="5" s="1"/>
  <c r="FF73" i="5" s="1"/>
  <c r="FG73" i="5" s="1"/>
  <c r="FE202" i="5"/>
  <c r="FH202" i="5" s="1"/>
  <c r="FI202" i="5" s="1"/>
  <c r="FE203" i="5"/>
  <c r="FH203" i="5" s="1"/>
  <c r="FF203" i="5" s="1"/>
  <c r="FG203" i="5" s="1"/>
  <c r="FE122" i="5"/>
  <c r="FH122" i="5" s="1"/>
  <c r="FF122" i="5" s="1"/>
  <c r="FG122" i="5" s="1"/>
  <c r="FE178" i="5"/>
  <c r="FH178" i="5" s="1"/>
  <c r="FI178" i="5" s="1"/>
  <c r="FI144" i="5"/>
  <c r="FF144" i="5"/>
  <c r="FG144" i="5" s="1"/>
  <c r="FE57" i="5"/>
  <c r="FH57" i="5" s="1"/>
  <c r="FF57" i="5" s="1"/>
  <c r="FG57" i="5" s="1"/>
  <c r="FE182" i="5"/>
  <c r="FH182" i="5" s="1"/>
  <c r="FE179" i="5"/>
  <c r="FH179" i="5" s="1"/>
  <c r="FI179" i="5" s="1"/>
  <c r="FE64" i="5"/>
  <c r="FH64" i="5" s="1"/>
  <c r="FI64" i="5" s="1"/>
  <c r="FE146" i="5"/>
  <c r="FH146" i="5" s="1"/>
  <c r="FF146" i="5" s="1"/>
  <c r="FG146" i="5" s="1"/>
  <c r="FE152" i="5"/>
  <c r="FH152" i="5" s="1"/>
  <c r="FI152" i="5" s="1"/>
  <c r="FE166" i="5"/>
  <c r="FH166" i="5" s="1"/>
  <c r="FI166" i="5" s="1"/>
  <c r="FE65" i="5"/>
  <c r="FH65" i="5" s="1"/>
  <c r="FI65" i="5" s="1"/>
  <c r="FE180" i="5"/>
  <c r="FH180" i="5" s="1"/>
  <c r="FI180" i="5" s="1"/>
  <c r="FE56" i="5"/>
  <c r="FH56" i="5" s="1"/>
  <c r="FI56" i="5" s="1"/>
  <c r="FE159" i="5"/>
  <c r="FH159" i="5" s="1"/>
  <c r="FI159" i="5" s="1"/>
  <c r="FE175" i="5"/>
  <c r="FH175" i="5" s="1"/>
  <c r="FF175" i="5" s="1"/>
  <c r="FG175" i="5" s="1"/>
  <c r="FE160" i="5"/>
  <c r="FH160" i="5" s="1"/>
  <c r="FI160" i="5" s="1"/>
  <c r="FE184" i="5"/>
  <c r="FH184" i="5" s="1"/>
  <c r="FF184" i="5" s="1"/>
  <c r="FG184" i="5" s="1"/>
  <c r="FE114" i="5"/>
  <c r="FH114" i="5" s="1"/>
  <c r="FI114" i="5" s="1"/>
  <c r="FE115" i="5"/>
  <c r="FH115" i="5" s="1"/>
  <c r="FI115" i="5" s="1"/>
  <c r="FE164" i="5"/>
  <c r="FH164" i="5" s="1"/>
  <c r="FI164" i="5" s="1"/>
  <c r="FE54" i="5"/>
  <c r="FH54" i="5" s="1"/>
  <c r="FI54" i="5" s="1"/>
  <c r="FE183" i="5"/>
  <c r="FH183" i="5" s="1"/>
  <c r="FF183" i="5" s="1"/>
  <c r="FG183" i="5" s="1"/>
  <c r="FE181" i="5"/>
  <c r="FH181" i="5" s="1"/>
  <c r="FI181" i="5" s="1"/>
  <c r="FE157" i="5"/>
  <c r="FH157" i="5" s="1"/>
  <c r="FI157" i="5" s="1"/>
  <c r="FE104" i="5"/>
  <c r="FH104" i="5" s="1"/>
  <c r="FI104" i="5" s="1"/>
  <c r="FE121" i="5"/>
  <c r="FH121" i="5" s="1"/>
  <c r="FI121" i="5" s="1"/>
  <c r="FF135" i="5"/>
  <c r="FG135" i="5" s="1"/>
  <c r="FE96" i="5"/>
  <c r="FH96" i="5" s="1"/>
  <c r="FI96" i="5" s="1"/>
  <c r="FE162" i="5"/>
  <c r="FH162" i="5" s="1"/>
  <c r="FI162" i="5" s="1"/>
  <c r="FE168" i="5"/>
  <c r="FH168" i="5" s="1"/>
  <c r="FI168" i="5" s="1"/>
  <c r="FF193" i="5"/>
  <c r="FG193" i="5" s="1"/>
  <c r="FF154" i="5"/>
  <c r="FG154" i="5" s="1"/>
  <c r="FE161" i="5"/>
  <c r="FH161" i="5" s="1"/>
  <c r="FI161" i="5" s="1"/>
  <c r="FE174" i="5"/>
  <c r="FH174" i="5" s="1"/>
  <c r="FF174" i="5" s="1"/>
  <c r="FG174" i="5" s="1"/>
  <c r="FE169" i="5"/>
  <c r="FH169" i="5" s="1"/>
  <c r="FI169" i="5" s="1"/>
  <c r="FE170" i="5"/>
  <c r="FH170" i="5" s="1"/>
  <c r="FF170" i="5" s="1"/>
  <c r="FG170" i="5" s="1"/>
  <c r="FE120" i="5"/>
  <c r="FH120" i="5" s="1"/>
  <c r="FI120" i="5" s="1"/>
  <c r="FE156" i="5"/>
  <c r="FH156" i="5" s="1"/>
  <c r="FI156" i="5" s="1"/>
  <c r="FE173" i="5"/>
  <c r="FH173" i="5" s="1"/>
  <c r="FI173" i="5" s="1"/>
  <c r="FE76" i="5"/>
  <c r="FH76" i="5" s="1"/>
  <c r="FI76" i="5" s="1"/>
  <c r="FE155" i="5"/>
  <c r="FH155" i="5" s="1"/>
  <c r="FF155" i="5" s="1"/>
  <c r="FG155" i="5" s="1"/>
  <c r="FE63" i="5"/>
  <c r="FH63" i="5" s="1"/>
  <c r="FI63" i="5" s="1"/>
  <c r="FE84" i="5"/>
  <c r="FH84" i="5" s="1"/>
  <c r="FI84" i="5" s="1"/>
  <c r="FE126" i="5"/>
  <c r="FH126" i="5" s="1"/>
  <c r="FF126" i="5" s="1"/>
  <c r="FG126" i="5" s="1"/>
  <c r="FE86" i="5"/>
  <c r="FH86" i="5" s="1"/>
  <c r="FF86" i="5" s="1"/>
  <c r="FG86" i="5" s="1"/>
  <c r="FE167" i="5"/>
  <c r="FH167" i="5" s="1"/>
  <c r="FI167" i="5" s="1"/>
  <c r="FE116" i="5"/>
  <c r="FH116" i="5" s="1"/>
  <c r="FF116" i="5" s="1"/>
  <c r="FG116" i="5" s="1"/>
  <c r="FE55" i="5"/>
  <c r="FH55" i="5" s="1"/>
  <c r="FI55" i="5" s="1"/>
  <c r="FE74" i="5"/>
  <c r="FH74" i="5" s="1"/>
  <c r="FI74" i="5" s="1"/>
  <c r="FE66" i="5"/>
  <c r="FH66" i="5" s="1"/>
  <c r="FF66" i="5" s="1"/>
  <c r="FG66" i="5" s="1"/>
  <c r="FE147" i="5"/>
  <c r="FH147" i="5" s="1"/>
  <c r="FF147" i="5" s="1"/>
  <c r="FG147" i="5" s="1"/>
  <c r="FE81" i="5"/>
  <c r="FH81" i="5" s="1"/>
  <c r="FI81" i="5" s="1"/>
  <c r="FE124" i="5"/>
  <c r="FH124" i="5" s="1"/>
  <c r="FI124" i="5" s="1"/>
  <c r="FE61" i="5"/>
  <c r="FH61" i="5" s="1"/>
  <c r="FI61" i="5" s="1"/>
  <c r="FE92" i="5"/>
  <c r="FH92" i="5" s="1"/>
  <c r="FF92" i="5" s="1"/>
  <c r="FG92" i="5" s="1"/>
  <c r="FE89" i="5"/>
  <c r="FH89" i="5" s="1"/>
  <c r="FI89" i="5" s="1"/>
  <c r="FE60" i="5"/>
  <c r="FH60" i="5" s="1"/>
  <c r="FF60" i="5" s="1"/>
  <c r="FG60" i="5" s="1"/>
  <c r="FE119" i="5"/>
  <c r="FH119" i="5" s="1"/>
  <c r="FF119" i="5" s="1"/>
  <c r="FG119" i="5" s="1"/>
  <c r="FE83" i="5"/>
  <c r="FH83" i="5" s="1"/>
  <c r="FF83" i="5" s="1"/>
  <c r="FG83" i="5" s="1"/>
  <c r="FE58" i="5"/>
  <c r="FH58" i="5" s="1"/>
  <c r="FI58" i="5" s="1"/>
  <c r="FE148" i="5"/>
  <c r="FH148" i="5" s="1"/>
  <c r="FI148" i="5" s="1"/>
  <c r="FE128" i="5"/>
  <c r="FH128" i="5" s="1"/>
  <c r="FF128" i="5" s="1"/>
  <c r="FG128" i="5" s="1"/>
  <c r="FH145" i="5"/>
  <c r="FI145" i="5" s="1"/>
  <c r="CM219" i="5"/>
  <c r="FE90" i="5"/>
  <c r="FH90" i="5" s="1"/>
  <c r="FI90" i="5" s="1"/>
  <c r="FE95" i="5"/>
  <c r="FH95" i="5" s="1"/>
  <c r="FI95" i="5" s="1"/>
  <c r="FE77" i="5"/>
  <c r="FH77" i="5" s="1"/>
  <c r="FI77" i="5" s="1"/>
  <c r="FE105" i="5"/>
  <c r="FH105" i="5" s="1"/>
  <c r="FI105" i="5" s="1"/>
  <c r="FI186" i="5"/>
  <c r="FF186" i="5"/>
  <c r="FG186" i="5" s="1"/>
  <c r="FI107" i="5"/>
  <c r="FF107" i="5"/>
  <c r="FG107" i="5" s="1"/>
  <c r="FI69" i="5"/>
  <c r="FF69" i="5"/>
  <c r="FG69" i="5" s="1"/>
  <c r="FE118" i="5"/>
  <c r="FH118" i="5" s="1"/>
  <c r="FI102" i="5"/>
  <c r="FF102" i="5"/>
  <c r="FG102" i="5" s="1"/>
  <c r="FI103" i="5"/>
  <c r="FF103" i="5"/>
  <c r="FG103" i="5" s="1"/>
  <c r="FI100" i="5"/>
  <c r="FF100" i="5"/>
  <c r="FG100" i="5" s="1"/>
  <c r="FI185" i="5"/>
  <c r="FF185" i="5"/>
  <c r="FG185" i="5" s="1"/>
  <c r="FI197" i="5"/>
  <c r="FG197" i="5"/>
  <c r="FD125" i="5"/>
  <c r="FE125" i="5" s="1"/>
  <c r="FH125" i="5" s="1"/>
  <c r="FI125" i="5" s="1"/>
  <c r="FI196" i="5"/>
  <c r="FG196" i="5"/>
  <c r="FI172" i="5"/>
  <c r="FF172" i="5"/>
  <c r="FG172" i="5" s="1"/>
  <c r="FI204" i="5"/>
  <c r="FF204" i="5"/>
  <c r="FG204" i="5" s="1"/>
  <c r="FI150" i="5"/>
  <c r="FF150" i="5"/>
  <c r="FG150" i="5" s="1"/>
  <c r="FI201" i="5"/>
  <c r="FF201" i="5"/>
  <c r="FG201" i="5" s="1"/>
  <c r="FI101" i="5"/>
  <c r="FF101" i="5"/>
  <c r="FG101" i="5" s="1"/>
  <c r="FI194" i="5"/>
  <c r="FF194" i="5"/>
  <c r="FG194" i="5" s="1"/>
  <c r="FI177" i="5"/>
  <c r="FF177" i="5"/>
  <c r="FG177" i="5" s="1"/>
  <c r="FI110" i="5"/>
  <c r="FF110" i="5"/>
  <c r="FG110" i="5" s="1"/>
  <c r="FI171" i="5"/>
  <c r="FF171" i="5"/>
  <c r="FG171" i="5" s="1"/>
  <c r="FI192" i="5"/>
  <c r="FF192" i="5"/>
  <c r="FG192" i="5" s="1"/>
  <c r="FI68" i="5"/>
  <c r="FF68" i="5"/>
  <c r="FG68" i="5" s="1"/>
  <c r="FE59" i="5"/>
  <c r="FH59" i="5" s="1"/>
  <c r="FI59" i="5" s="1"/>
  <c r="FE91" i="5"/>
  <c r="FH91" i="5" s="1"/>
  <c r="FI109" i="5"/>
  <c r="FF109" i="5"/>
  <c r="FG109" i="5" s="1"/>
  <c r="FI70" i="5"/>
  <c r="FF70" i="5"/>
  <c r="FG70" i="5" s="1"/>
  <c r="FI195" i="5"/>
  <c r="FF195" i="5"/>
  <c r="FG195" i="5" s="1"/>
  <c r="FI198" i="5"/>
  <c r="FF198" i="5"/>
  <c r="FG198" i="5" s="1"/>
  <c r="FI187" i="5"/>
  <c r="FF187" i="5"/>
  <c r="FG187" i="5" s="1"/>
  <c r="FI199" i="5"/>
  <c r="FF199" i="5"/>
  <c r="FG199" i="5" s="1"/>
  <c r="FI188" i="5"/>
  <c r="FF188" i="5"/>
  <c r="FG188" i="5" s="1"/>
  <c r="FI108" i="5"/>
  <c r="FF108" i="5"/>
  <c r="FG108" i="5" s="1"/>
  <c r="FI94" i="5"/>
  <c r="FF94" i="5"/>
  <c r="FG94" i="5" s="1"/>
  <c r="FI191" i="5"/>
  <c r="FF191" i="5"/>
  <c r="FG191" i="5" s="1"/>
  <c r="FI151" i="5"/>
  <c r="FF151" i="5"/>
  <c r="FG151" i="5" s="1"/>
  <c r="FI190" i="5"/>
  <c r="FF190" i="5"/>
  <c r="FG190" i="5" s="1"/>
  <c r="FI200" i="5"/>
  <c r="FF200" i="5"/>
  <c r="FG200" i="5" s="1"/>
  <c r="FI142" i="5"/>
  <c r="FF142" i="5"/>
  <c r="FG142" i="5" s="1"/>
  <c r="FI141" i="5"/>
  <c r="FF141" i="5"/>
  <c r="FG141" i="5" s="1"/>
  <c r="FI140" i="5"/>
  <c r="FF140" i="5"/>
  <c r="FG140" i="5" s="1"/>
  <c r="FI138" i="5"/>
  <c r="FF138" i="5"/>
  <c r="FG138" i="5" s="1"/>
  <c r="FI137" i="5"/>
  <c r="FF137" i="5"/>
  <c r="FG137" i="5" s="1"/>
  <c r="FI136" i="5"/>
  <c r="FF136" i="5"/>
  <c r="FG136" i="5" s="1"/>
  <c r="FI134" i="5"/>
  <c r="FF134" i="5"/>
  <c r="FG134" i="5" s="1"/>
  <c r="FI133" i="5"/>
  <c r="FF133" i="5"/>
  <c r="FG133" i="5" s="1"/>
  <c r="FI132" i="5"/>
  <c r="FF132" i="5"/>
  <c r="FG132" i="5" s="1"/>
  <c r="FI131" i="5"/>
  <c r="FF131" i="5"/>
  <c r="FG131" i="5" s="1"/>
  <c r="FI130" i="5"/>
  <c r="FF130" i="5"/>
  <c r="FG130" i="5" s="1"/>
  <c r="FI129" i="5"/>
  <c r="FF129" i="5"/>
  <c r="FG129" i="5" s="1"/>
  <c r="FI113" i="5"/>
  <c r="FF113" i="5"/>
  <c r="FG113" i="5" s="1"/>
  <c r="FI99" i="5"/>
  <c r="FF99" i="5"/>
  <c r="FG99" i="5" s="1"/>
  <c r="FI98" i="5"/>
  <c r="FF98" i="5"/>
  <c r="FG98" i="5" s="1"/>
  <c r="FI93" i="5"/>
  <c r="FF93" i="5"/>
  <c r="FG93" i="5" s="1"/>
  <c r="FI88" i="5"/>
  <c r="FF88" i="5"/>
  <c r="FG88" i="5" s="1"/>
  <c r="FI79" i="5"/>
  <c r="FF79" i="5"/>
  <c r="FG79" i="5" s="1"/>
  <c r="FI78" i="5"/>
  <c r="FF78" i="5"/>
  <c r="FG78" i="5" s="1"/>
  <c r="FI72" i="5"/>
  <c r="FF72" i="5"/>
  <c r="FG72" i="5" s="1"/>
  <c r="FI67" i="5"/>
  <c r="FF67" i="5"/>
  <c r="FG67" i="5" s="1"/>
  <c r="FI53" i="5"/>
  <c r="FF53" i="5"/>
  <c r="FG53" i="5" s="1"/>
  <c r="FI52" i="5"/>
  <c r="FF52" i="5"/>
  <c r="FG52" i="5" s="1"/>
  <c r="FI51" i="5"/>
  <c r="FF51" i="5"/>
  <c r="FG51" i="5" s="1"/>
  <c r="FI50" i="5"/>
  <c r="FF50" i="5"/>
  <c r="FG50" i="5" s="1"/>
  <c r="FI49" i="5"/>
  <c r="FF49" i="5"/>
  <c r="FG49" i="5" s="1"/>
  <c r="FI48" i="5"/>
  <c r="FF48" i="5"/>
  <c r="FG48" i="5" s="1"/>
  <c r="FI45" i="5"/>
  <c r="FF45" i="5"/>
  <c r="FG45" i="5" s="1"/>
  <c r="FI44" i="5"/>
  <c r="FF44" i="5"/>
  <c r="FG44" i="5" s="1"/>
  <c r="FI43" i="5"/>
  <c r="FF43" i="5"/>
  <c r="FG43" i="5" s="1"/>
  <c r="FI42" i="5"/>
  <c r="FF42" i="5"/>
  <c r="FG42" i="5" s="1"/>
  <c r="FI41" i="5"/>
  <c r="FF41" i="5"/>
  <c r="FG41" i="5" s="1"/>
  <c r="FI39" i="5"/>
  <c r="FF39" i="5"/>
  <c r="FG39" i="5" s="1"/>
  <c r="FI38" i="5"/>
  <c r="FF38" i="5"/>
  <c r="FG38" i="5" s="1"/>
  <c r="FI37" i="5"/>
  <c r="FF37" i="5"/>
  <c r="FG37" i="5" s="1"/>
  <c r="FI36" i="5"/>
  <c r="FF36" i="5"/>
  <c r="FG36" i="5" s="1"/>
  <c r="FI35" i="5"/>
  <c r="FF35" i="5"/>
  <c r="FG35" i="5" s="1"/>
  <c r="FI34" i="5"/>
  <c r="FF34" i="5"/>
  <c r="FG34" i="5" s="1"/>
  <c r="FI33" i="5"/>
  <c r="FF33" i="5"/>
  <c r="FG33" i="5" s="1"/>
  <c r="FI32" i="5"/>
  <c r="FF32" i="5"/>
  <c r="FG32" i="5" s="1"/>
  <c r="FI31" i="5"/>
  <c r="FF31" i="5"/>
  <c r="FG31" i="5" s="1"/>
  <c r="FI30" i="5"/>
  <c r="FF30" i="5"/>
  <c r="FG30" i="5" s="1"/>
  <c r="FI29" i="5"/>
  <c r="FF29" i="5"/>
  <c r="FG29" i="5" s="1"/>
  <c r="FI28" i="5"/>
  <c r="FF28" i="5"/>
  <c r="FG28" i="5" s="1"/>
  <c r="FI27" i="5"/>
  <c r="FF27" i="5"/>
  <c r="FG27" i="5" s="1"/>
  <c r="FI26" i="5"/>
  <c r="FF26" i="5"/>
  <c r="FG26" i="5" s="1"/>
  <c r="FI25" i="5"/>
  <c r="FF25" i="5"/>
  <c r="FG25" i="5" s="1"/>
  <c r="FI24" i="5"/>
  <c r="FF24" i="5"/>
  <c r="FG24" i="5" s="1"/>
  <c r="FI23" i="5"/>
  <c r="FF23" i="5"/>
  <c r="FG23" i="5" s="1"/>
  <c r="FI22" i="5"/>
  <c r="FF22" i="5"/>
  <c r="FG22" i="5" s="1"/>
  <c r="FI21" i="5"/>
  <c r="FF21" i="5"/>
  <c r="FG21" i="5" s="1"/>
  <c r="FI20" i="5"/>
  <c r="FF20" i="5"/>
  <c r="FG20" i="5" s="1"/>
  <c r="FI19" i="5"/>
  <c r="FF19" i="5"/>
  <c r="FG19" i="5" s="1"/>
  <c r="FI18" i="5"/>
  <c r="FF18" i="5"/>
  <c r="FG18" i="5" s="1"/>
  <c r="FI17" i="5"/>
  <c r="FF17" i="5"/>
  <c r="FG17" i="5" s="1"/>
  <c r="FI16" i="5"/>
  <c r="FF16" i="5"/>
  <c r="FG16" i="5" s="1"/>
  <c r="FI15" i="5"/>
  <c r="FF15" i="5"/>
  <c r="FG15" i="5" s="1"/>
  <c r="FI14" i="5"/>
  <c r="FF14" i="5"/>
  <c r="FG14" i="5" s="1"/>
  <c r="FI13" i="5"/>
  <c r="FF13" i="5"/>
  <c r="FG13" i="5" s="1"/>
  <c r="FI12" i="5"/>
  <c r="FF12" i="5"/>
  <c r="FG12" i="5" s="1"/>
  <c r="FI11" i="5"/>
  <c r="FF11" i="5"/>
  <c r="FG11" i="5" s="1"/>
  <c r="FI8" i="5"/>
  <c r="FF8" i="5"/>
  <c r="FG8" i="5" s="1"/>
  <c r="FH189" i="5"/>
  <c r="FF143" i="5" l="1"/>
  <c r="FG143" i="5" s="1"/>
  <c r="FF80" i="5"/>
  <c r="FG80" i="5" s="1"/>
  <c r="FF139" i="5"/>
  <c r="FG139" i="5" s="1"/>
  <c r="FI176" i="5"/>
  <c r="FE75" i="5"/>
  <c r="FH75" i="5" s="1"/>
  <c r="FH219" i="5" s="1"/>
  <c r="FI165" i="5"/>
  <c r="FI182" i="5"/>
  <c r="FF117" i="5"/>
  <c r="FG117" i="5" s="1"/>
  <c r="FF127" i="5"/>
  <c r="FG127" i="5" s="1"/>
  <c r="FF149" i="5"/>
  <c r="FG149" i="5" s="1"/>
  <c r="FF153" i="5"/>
  <c r="FG153" i="5" s="1"/>
  <c r="FF111" i="5"/>
  <c r="FG111" i="5" s="1"/>
  <c r="FI62" i="5"/>
  <c r="FF112" i="5"/>
  <c r="FG112" i="5" s="1"/>
  <c r="FF123" i="5"/>
  <c r="FG123" i="5" s="1"/>
  <c r="FF97" i="5"/>
  <c r="FG97" i="5" s="1"/>
  <c r="FF158" i="5"/>
  <c r="FG158" i="5" s="1"/>
  <c r="FF64" i="5"/>
  <c r="FG64" i="5" s="1"/>
  <c r="FF202" i="5"/>
  <c r="FG202" i="5" s="1"/>
  <c r="FF56" i="5"/>
  <c r="FG56" i="5" s="1"/>
  <c r="FI73" i="5"/>
  <c r="FF114" i="5"/>
  <c r="FG114" i="5" s="1"/>
  <c r="FF182" i="5"/>
  <c r="FG182" i="5" s="1"/>
  <c r="FI57" i="5"/>
  <c r="FI122" i="5"/>
  <c r="FF179" i="5"/>
  <c r="FG179" i="5" s="1"/>
  <c r="FF121" i="5"/>
  <c r="FG121" i="5" s="1"/>
  <c r="FF178" i="5"/>
  <c r="FG178" i="5" s="1"/>
  <c r="FF160" i="5"/>
  <c r="FG160" i="5" s="1"/>
  <c r="FI184" i="5"/>
  <c r="FF162" i="5"/>
  <c r="FG162" i="5" s="1"/>
  <c r="FI203" i="5"/>
  <c r="FI175" i="5"/>
  <c r="FF156" i="5"/>
  <c r="FG156" i="5" s="1"/>
  <c r="FF180" i="5"/>
  <c r="FG180" i="5" s="1"/>
  <c r="FI116" i="5"/>
  <c r="FF65" i="5"/>
  <c r="FG65" i="5" s="1"/>
  <c r="FF152" i="5"/>
  <c r="FG152" i="5" s="1"/>
  <c r="FF159" i="5"/>
  <c r="FG159" i="5" s="1"/>
  <c r="FF104" i="5"/>
  <c r="FG104" i="5" s="1"/>
  <c r="FI146" i="5"/>
  <c r="FI183" i="5"/>
  <c r="FF164" i="5"/>
  <c r="FG164" i="5" s="1"/>
  <c r="FF168" i="5"/>
  <c r="FG168" i="5" s="1"/>
  <c r="FF166" i="5"/>
  <c r="FG166" i="5" s="1"/>
  <c r="FF54" i="5"/>
  <c r="FG54" i="5" s="1"/>
  <c r="FF96" i="5"/>
  <c r="FG96" i="5" s="1"/>
  <c r="FF181" i="5"/>
  <c r="FG181" i="5" s="1"/>
  <c r="FF157" i="5"/>
  <c r="FG157" i="5" s="1"/>
  <c r="FI126" i="5"/>
  <c r="FI83" i="5"/>
  <c r="FI66" i="5"/>
  <c r="FF169" i="5"/>
  <c r="FG169" i="5" s="1"/>
  <c r="FF161" i="5"/>
  <c r="FG161" i="5" s="1"/>
  <c r="FI174" i="5"/>
  <c r="FF167" i="5"/>
  <c r="FG167" i="5" s="1"/>
  <c r="FI170" i="5"/>
  <c r="FF76" i="5"/>
  <c r="FG76" i="5" s="1"/>
  <c r="FI87" i="5"/>
  <c r="FF84" i="5"/>
  <c r="FG84" i="5" s="1"/>
  <c r="FI119" i="5"/>
  <c r="FF63" i="5"/>
  <c r="FG63" i="5" s="1"/>
  <c r="FF89" i="5"/>
  <c r="FG89" i="5" s="1"/>
  <c r="FF120" i="5"/>
  <c r="FG120" i="5" s="1"/>
  <c r="FF173" i="5"/>
  <c r="FG173" i="5" s="1"/>
  <c r="FI155" i="5"/>
  <c r="FF55" i="5"/>
  <c r="FG55" i="5" s="1"/>
  <c r="FI86" i="5"/>
  <c r="FF74" i="5"/>
  <c r="FG74" i="5" s="1"/>
  <c r="FF105" i="5"/>
  <c r="FG105" i="5" s="1"/>
  <c r="FF77" i="5"/>
  <c r="FG77" i="5" s="1"/>
  <c r="FI60" i="5"/>
  <c r="FF115" i="5"/>
  <c r="FG115" i="5" s="1"/>
  <c r="FF61" i="5"/>
  <c r="FG61" i="5" s="1"/>
  <c r="FF81" i="5"/>
  <c r="FG81" i="5" s="1"/>
  <c r="FF90" i="5"/>
  <c r="FG90" i="5" s="1"/>
  <c r="FI92" i="5"/>
  <c r="FF95" i="5"/>
  <c r="FG95" i="5" s="1"/>
  <c r="FI147" i="5"/>
  <c r="FF71" i="5"/>
  <c r="FG71" i="5" s="1"/>
  <c r="FF124" i="5"/>
  <c r="FG124" i="5" s="1"/>
  <c r="FI128" i="5"/>
  <c r="FF145" i="5"/>
  <c r="FG145" i="5" s="1"/>
  <c r="FF59" i="5"/>
  <c r="FG59" i="5" s="1"/>
  <c r="FF125" i="5"/>
  <c r="FG125" i="5" s="1"/>
  <c r="FF58" i="5"/>
  <c r="FG58" i="5" s="1"/>
  <c r="FF148" i="5"/>
  <c r="FG148" i="5" s="1"/>
  <c r="FI189" i="5"/>
  <c r="FF189" i="5"/>
  <c r="FG189" i="5" s="1"/>
  <c r="FI118" i="5"/>
  <c r="FF118" i="5"/>
  <c r="FG118" i="5" s="1"/>
  <c r="FF91" i="5"/>
  <c r="FG91" i="5" s="1"/>
  <c r="FI91" i="5"/>
  <c r="FI75" i="5"/>
  <c r="FF75" i="5"/>
  <c r="FG75" i="5" s="1"/>
  <c r="FI219" i="5" l="1"/>
  <c r="DF48" i="4" l="1"/>
  <c r="DG48" i="4"/>
  <c r="DF49" i="4"/>
  <c r="DG49" i="4"/>
  <c r="DF50" i="4"/>
  <c r="DG50" i="4"/>
  <c r="DF51" i="4"/>
  <c r="DG51" i="4"/>
  <c r="DH50" i="4" l="1"/>
  <c r="DH46" i="4"/>
  <c r="DH49" i="4"/>
  <c r="DH51" i="4"/>
  <c r="DK51" i="4" s="1"/>
  <c r="DH48" i="4"/>
  <c r="DI44" i="4" l="1"/>
  <c r="DJ44" i="4" s="1"/>
  <c r="DK45" i="4"/>
  <c r="DK48" i="4"/>
  <c r="DK50" i="4"/>
  <c r="DL45" i="4" l="1"/>
  <c r="DI45" i="4"/>
  <c r="DJ45" i="4" s="1"/>
  <c r="DL51" i="4"/>
  <c r="DI51" i="4"/>
  <c r="DJ51" i="4" s="1"/>
  <c r="DL50" i="4"/>
  <c r="DI50" i="4"/>
  <c r="DJ50" i="4" s="1"/>
  <c r="DL48" i="4"/>
  <c r="DI48" i="4"/>
  <c r="DJ48" i="4" s="1"/>
  <c r="DL44" i="4"/>
  <c r="DK47" i="4"/>
  <c r="DK49" i="4"/>
  <c r="DK46" i="4"/>
  <c r="DL46" i="4" l="1"/>
  <c r="DI46" i="4"/>
  <c r="DJ46" i="4" s="1"/>
  <c r="DL49" i="4"/>
  <c r="DI49" i="4"/>
  <c r="DJ49" i="4" s="1"/>
  <c r="DL47" i="4"/>
  <c r="DI47" i="4"/>
  <c r="DJ47" i="4" s="1"/>
  <c r="BW42" i="4" l="1"/>
  <c r="BW41" i="4"/>
  <c r="BU40" i="4"/>
  <c r="BC38" i="4"/>
  <c r="BM37" i="4"/>
  <c r="AY36" i="4"/>
  <c r="AW34" i="4"/>
  <c r="Q33" i="4"/>
  <c r="CM37" i="4" l="1"/>
  <c r="CK17" i="4"/>
  <c r="CE23" i="4"/>
  <c r="CC23" i="4"/>
  <c r="DE23" i="4" s="1"/>
  <c r="BQ18" i="4"/>
  <c r="BQ13" i="4"/>
  <c r="BQ7" i="4"/>
  <c r="BM22" i="4"/>
  <c r="BK15" i="4"/>
  <c r="BI15" i="4"/>
  <c r="BE28" i="4"/>
  <c r="BE27" i="4"/>
  <c r="BC24" i="4"/>
  <c r="AW38" i="4"/>
  <c r="DE38" i="4" s="1"/>
  <c r="AU30" i="4"/>
  <c r="AU29" i="4"/>
  <c r="AS37" i="4"/>
  <c r="AS32" i="4"/>
  <c r="AU21" i="4"/>
  <c r="AU20" i="4"/>
  <c r="AQ37" i="4"/>
  <c r="AQ36" i="4"/>
  <c r="AQ29" i="4"/>
  <c r="AO36" i="4"/>
  <c r="AO32" i="4"/>
  <c r="AO31" i="4"/>
  <c r="AM37" i="4"/>
  <c r="AM36" i="4"/>
  <c r="AM31" i="4"/>
  <c r="DE31" i="4" s="1"/>
  <c r="AM30" i="4"/>
  <c r="AK27" i="4"/>
  <c r="AI36" i="4"/>
  <c r="AI29" i="4"/>
  <c r="AI27" i="4"/>
  <c r="AG37" i="4"/>
  <c r="AC11" i="4"/>
  <c r="AC17" i="4"/>
  <c r="AC21" i="4"/>
  <c r="AC22" i="4"/>
  <c r="AC24" i="4"/>
  <c r="DE24" i="4" s="1"/>
  <c r="AC25" i="4"/>
  <c r="AC26" i="4"/>
  <c r="AC27" i="4"/>
  <c r="AC28" i="4"/>
  <c r="AC29" i="4"/>
  <c r="AC33" i="4"/>
  <c r="DE33" i="4" s="1"/>
  <c r="AC35" i="4"/>
  <c r="AC37" i="4"/>
  <c r="AC39" i="4"/>
  <c r="AC40" i="4"/>
  <c r="DE40" i="4" s="1"/>
  <c r="AC41" i="4"/>
  <c r="DE41" i="4" s="1"/>
  <c r="AC42" i="4"/>
  <c r="DE42" i="4" s="1"/>
  <c r="AA39" i="4"/>
  <c r="DE39" i="4" s="1"/>
  <c r="AA36" i="4"/>
  <c r="AA14" i="4"/>
  <c r="DE14" i="4" s="1"/>
  <c r="AA13" i="4"/>
  <c r="O15" i="4"/>
  <c r="O16" i="4"/>
  <c r="DE16" i="4" s="1"/>
  <c r="O39" i="4"/>
  <c r="M7" i="4"/>
  <c r="I28" i="4"/>
  <c r="I27" i="4"/>
  <c r="I19" i="4"/>
  <c r="G11" i="4"/>
  <c r="G18" i="4"/>
  <c r="DE18" i="4" s="1"/>
  <c r="G20" i="4"/>
  <c r="G36" i="4"/>
  <c r="G37" i="4"/>
  <c r="G7" i="4"/>
  <c r="DE11" i="4" l="1"/>
  <c r="DE13" i="4"/>
  <c r="DE7" i="4"/>
  <c r="DE15" i="4"/>
  <c r="DE29" i="4"/>
  <c r="DE30" i="4"/>
  <c r="DE17" i="4"/>
  <c r="DE20" i="4"/>
  <c r="DE22" i="4"/>
  <c r="DE27" i="4"/>
  <c r="DE21" i="4"/>
  <c r="DE28" i="4"/>
  <c r="DE37" i="4"/>
  <c r="DE32" i="4"/>
  <c r="DG16" i="4"/>
  <c r="DF16" i="4"/>
  <c r="DG20" i="4"/>
  <c r="DF20" i="4"/>
  <c r="DG18" i="4"/>
  <c r="DF18" i="4"/>
  <c r="DE36" i="4"/>
  <c r="DG21" i="4"/>
  <c r="DF21" i="4"/>
  <c r="DG27" i="4"/>
  <c r="DF27" i="4"/>
  <c r="DG7" i="4"/>
  <c r="DG15" i="4"/>
  <c r="DF15" i="4"/>
  <c r="DF36" i="4"/>
  <c r="DG36" i="4"/>
  <c r="DF7" i="4"/>
  <c r="DF38" i="4"/>
  <c r="DG11" i="4"/>
  <c r="DF11" i="4"/>
  <c r="DF40" i="4"/>
  <c r="DG40" i="4"/>
  <c r="DG24" i="4"/>
  <c r="DF24" i="4"/>
  <c r="DG32" i="4"/>
  <c r="DF32" i="4"/>
  <c r="DG13" i="4"/>
  <c r="DF13" i="4"/>
  <c r="DG22" i="4"/>
  <c r="DF22" i="4"/>
  <c r="DG23" i="4"/>
  <c r="DF23" i="4"/>
  <c r="DG28" i="4"/>
  <c r="DF28" i="4"/>
  <c r="DG39" i="4"/>
  <c r="DF39" i="4"/>
  <c r="DG38" i="4"/>
  <c r="DG29" i="4"/>
  <c r="DF29" i="4"/>
  <c r="DG17" i="4"/>
  <c r="DF17" i="4"/>
  <c r="DG42" i="4"/>
  <c r="DF42" i="4"/>
  <c r="DG37" i="4"/>
  <c r="DF37" i="4"/>
  <c r="DG14" i="4"/>
  <c r="DF14" i="4"/>
  <c r="DG30" i="4"/>
  <c r="DF30" i="4"/>
  <c r="DG33" i="4"/>
  <c r="DF33" i="4"/>
  <c r="DG31" i="4"/>
  <c r="DF31" i="4"/>
  <c r="DF41" i="4"/>
  <c r="DG41" i="4"/>
  <c r="BZ25" i="4" l="1"/>
  <c r="CA25" i="4" s="1"/>
  <c r="DE25" i="4" s="1"/>
  <c r="BP10" i="4"/>
  <c r="BQ10" i="4" s="1"/>
  <c r="BP19" i="4"/>
  <c r="BQ19" i="4" s="1"/>
  <c r="DE19" i="4" s="1"/>
  <c r="BP26" i="4"/>
  <c r="BQ26" i="4" s="1"/>
  <c r="DE26" i="4" s="1"/>
  <c r="CF10" i="4"/>
  <c r="CG10" i="4" s="1"/>
  <c r="DE10" i="4" l="1"/>
  <c r="DF19" i="4"/>
  <c r="DG19" i="4"/>
  <c r="DG10" i="4"/>
  <c r="DF10" i="4"/>
  <c r="DF26" i="4"/>
  <c r="DG26" i="4"/>
  <c r="DG25" i="4"/>
  <c r="DF25" i="4"/>
  <c r="V35" i="4" l="1"/>
  <c r="V34" i="4"/>
  <c r="W34" i="4" s="1"/>
  <c r="DE34" i="4" s="1"/>
  <c r="DG34" i="4" l="1"/>
  <c r="DF34" i="4"/>
  <c r="W35" i="4"/>
  <c r="DE35" i="4" s="1"/>
  <c r="DE52" i="4" l="1"/>
  <c r="DG35" i="4"/>
  <c r="DF35" i="4"/>
  <c r="DH14" i="4" l="1"/>
  <c r="DK14" i="4" s="1"/>
  <c r="DH21" i="4"/>
  <c r="DK21" i="4" s="1"/>
  <c r="DH24" i="4"/>
  <c r="DK24" i="4" s="1"/>
  <c r="DH29" i="4"/>
  <c r="DK29" i="4" s="1"/>
  <c r="DH31" i="4"/>
  <c r="DK31" i="4" s="1"/>
  <c r="DH33" i="4"/>
  <c r="DK33" i="4" s="1"/>
  <c r="DL33" i="4" l="1"/>
  <c r="DI33" i="4"/>
  <c r="DJ33" i="4" s="1"/>
  <c r="DL31" i="4"/>
  <c r="DI31" i="4"/>
  <c r="DJ31" i="4" s="1"/>
  <c r="DL29" i="4"/>
  <c r="DI29" i="4"/>
  <c r="DJ29" i="4" s="1"/>
  <c r="DL24" i="4"/>
  <c r="DI24" i="4"/>
  <c r="DJ24" i="4" s="1"/>
  <c r="DL14" i="4"/>
  <c r="DI14" i="4"/>
  <c r="DJ14" i="4" s="1"/>
  <c r="DL21" i="4"/>
  <c r="DI21" i="4"/>
  <c r="DJ21" i="4" s="1"/>
  <c r="DH23" i="4"/>
  <c r="DK23" i="4" s="1"/>
  <c r="DH22" i="4"/>
  <c r="DK22" i="4" s="1"/>
  <c r="DH43" i="4"/>
  <c r="DK43" i="4" s="1"/>
  <c r="DI43" i="4" s="1"/>
  <c r="DH39" i="4"/>
  <c r="DK39" i="4" s="1"/>
  <c r="DH16" i="4"/>
  <c r="DK16" i="4" s="1"/>
  <c r="DH15" i="4"/>
  <c r="DK15" i="4" s="1"/>
  <c r="DH35" i="4"/>
  <c r="DK35" i="4" s="1"/>
  <c r="DH41" i="4"/>
  <c r="DK41" i="4" s="1"/>
  <c r="DH36" i="4"/>
  <c r="DK36" i="4" s="1"/>
  <c r="DH32" i="4"/>
  <c r="DK32" i="4" s="1"/>
  <c r="DH28" i="4"/>
  <c r="DK28" i="4" s="1"/>
  <c r="DH40" i="4"/>
  <c r="DK40" i="4" s="1"/>
  <c r="DI40" i="4" s="1"/>
  <c r="DJ40" i="4" s="1"/>
  <c r="DH27" i="4"/>
  <c r="DK27" i="4" s="1"/>
  <c r="DH13" i="4"/>
  <c r="DK13" i="4" s="1"/>
  <c r="DH20" i="4"/>
  <c r="DK20" i="4" s="1"/>
  <c r="DG52" i="4"/>
  <c r="DH19" i="4"/>
  <c r="DK19" i="4" s="1"/>
  <c r="DH17" i="4"/>
  <c r="DK17" i="4" s="1"/>
  <c r="DH34" i="4"/>
  <c r="DK34" i="4" s="1"/>
  <c r="DH10" i="4"/>
  <c r="DK10" i="4" s="1"/>
  <c r="DF52" i="4"/>
  <c r="DH38" i="4"/>
  <c r="DK38" i="4" s="1"/>
  <c r="DH26" i="4"/>
  <c r="DK26" i="4" s="1"/>
  <c r="DH37" i="4"/>
  <c r="DK37" i="4" s="1"/>
  <c r="DH25" i="4"/>
  <c r="DK25" i="4" s="1"/>
  <c r="DH7" i="4"/>
  <c r="DH11" i="4"/>
  <c r="DK11" i="4" s="1"/>
  <c r="DH8" i="4"/>
  <c r="DK8" i="4" s="1"/>
  <c r="DH42" i="4"/>
  <c r="DK42" i="4" s="1"/>
  <c r="DH12" i="4"/>
  <c r="DH18" i="4"/>
  <c r="DK18" i="4" s="1"/>
  <c r="DH9" i="4"/>
  <c r="DK9" i="4" s="1"/>
  <c r="DH30" i="4"/>
  <c r="DK30" i="4" s="1"/>
  <c r="DL34" i="4" l="1"/>
  <c r="DI34" i="4"/>
  <c r="DJ34" i="4" s="1"/>
  <c r="DL17" i="4"/>
  <c r="DI17" i="4"/>
  <c r="DJ17" i="4" s="1"/>
  <c r="DL19" i="4"/>
  <c r="DI19" i="4"/>
  <c r="DJ19" i="4" s="1"/>
  <c r="DL16" i="4"/>
  <c r="DI16" i="4"/>
  <c r="DJ16" i="4" s="1"/>
  <c r="DL30" i="4"/>
  <c r="DI30" i="4"/>
  <c r="DJ30" i="4" s="1"/>
  <c r="DL39" i="4"/>
  <c r="DI39" i="4"/>
  <c r="DJ39" i="4" s="1"/>
  <c r="DL9" i="4"/>
  <c r="DI9" i="4"/>
  <c r="DJ9" i="4" s="1"/>
  <c r="DL25" i="4"/>
  <c r="DI25" i="4"/>
  <c r="DJ25" i="4" s="1"/>
  <c r="DL27" i="4"/>
  <c r="DI27" i="4"/>
  <c r="DJ27" i="4" s="1"/>
  <c r="DL18" i="4"/>
  <c r="DI18" i="4"/>
  <c r="DJ18" i="4" s="1"/>
  <c r="DL28" i="4"/>
  <c r="DI28" i="4"/>
  <c r="DJ28" i="4" s="1"/>
  <c r="DL42" i="4"/>
  <c r="DI42" i="4"/>
  <c r="DJ42" i="4" s="1"/>
  <c r="DL38" i="4"/>
  <c r="DI38" i="4"/>
  <c r="DJ38" i="4" s="1"/>
  <c r="DL36" i="4"/>
  <c r="DI36" i="4"/>
  <c r="DJ36" i="4" s="1"/>
  <c r="DL35" i="4"/>
  <c r="DI35" i="4"/>
  <c r="DJ35" i="4" s="1"/>
  <c r="DL15" i="4"/>
  <c r="DI15" i="4"/>
  <c r="DJ15" i="4" s="1"/>
  <c r="DL20" i="4"/>
  <c r="DI20" i="4"/>
  <c r="DJ20" i="4" s="1"/>
  <c r="DL13" i="4"/>
  <c r="DI13" i="4"/>
  <c r="DJ13" i="4" s="1"/>
  <c r="DL43" i="4"/>
  <c r="DJ43" i="4"/>
  <c r="DL37" i="4"/>
  <c r="DI37" i="4"/>
  <c r="DJ37" i="4" s="1"/>
  <c r="DL22" i="4"/>
  <c r="DI22" i="4"/>
  <c r="DJ22" i="4" s="1"/>
  <c r="DL26" i="4"/>
  <c r="DI26" i="4"/>
  <c r="DJ26" i="4" s="1"/>
  <c r="DL23" i="4"/>
  <c r="DI23" i="4"/>
  <c r="DJ23" i="4" s="1"/>
  <c r="DL32" i="4"/>
  <c r="DI32" i="4"/>
  <c r="DJ32" i="4" s="1"/>
  <c r="DL8" i="4"/>
  <c r="DI8" i="4"/>
  <c r="DJ8" i="4" s="1"/>
  <c r="DL11" i="4"/>
  <c r="DI11" i="4"/>
  <c r="DJ11" i="4" s="1"/>
  <c r="DL10" i="4"/>
  <c r="DI10" i="4"/>
  <c r="DJ10" i="4" s="1"/>
  <c r="DL41" i="4"/>
  <c r="DI41" i="4"/>
  <c r="DJ41" i="4" s="1"/>
  <c r="DK12" i="4"/>
  <c r="DI12" i="4" s="1"/>
  <c r="DJ12" i="4" s="1"/>
  <c r="DL40" i="4"/>
  <c r="DK7" i="4"/>
  <c r="DK52" i="4" l="1"/>
  <c r="DI7" i="4"/>
  <c r="DJ7" i="4" s="1"/>
  <c r="DL12" i="4"/>
  <c r="DL7" i="4"/>
  <c r="AQ101" i="3"/>
  <c r="AS101" i="3"/>
  <c r="AO101" i="3"/>
  <c r="AP101" i="3"/>
  <c r="AT101" i="3"/>
  <c r="AU101" i="3"/>
  <c r="AR101" i="3"/>
</calcChain>
</file>

<file path=xl/sharedStrings.xml><?xml version="1.0" encoding="utf-8"?>
<sst xmlns="http://schemas.openxmlformats.org/spreadsheetml/2006/main" count="3456" uniqueCount="1124">
  <si>
    <t xml:space="preserve"> ALCALDIA LOCAL DE CUIDAD BOLIVAR </t>
  </si>
  <si>
    <t>ALMACENES ÉXITO 
NIT. 890.900.608-9</t>
  </si>
  <si>
    <t>DOTACIONES ZOLU
NIT. 80.155.819-1</t>
  </si>
  <si>
    <t>NACIONAL DE GRECAS Y EQUIPOS INDUSTRIALES
NIT. 900.719.747-6</t>
  </si>
  <si>
    <t>REDSIS
NIT. 79.985.948</t>
  </si>
  <si>
    <t>K-TRONIX</t>
  </si>
  <si>
    <t>FREEZER SHOP ELECTRODOMESTICOS
NIT. 1.015.480.003</t>
  </si>
  <si>
    <t xml:space="preserve">TELONES COLOMBIA
NIT. </t>
  </si>
  <si>
    <t>GRECAS AGUILLA</t>
  </si>
  <si>
    <t>FALABELLA 
NIT. 900.017.447-8</t>
  </si>
  <si>
    <t>SMS TECNOLOGIA QUE TRANSFORMA VIDAS
NIT. 900.799.138-1</t>
  </si>
  <si>
    <t>STEREN COLOMBIA SAS 
NIT. 901.109.730</t>
  </si>
  <si>
    <t>Tempo Foods SAS
:901825930-4</t>
  </si>
  <si>
    <t>AUDIOVISUALES DE COLOMBIA SAS
NIT 901337835 -9</t>
  </si>
  <si>
    <t>FERREELECTRICOS INDUSTRIALES FONTIBON S.A.S</t>
  </si>
  <si>
    <t>COMERCIAL DE HERRAMIENTAS S.A.S 
NIT.  900309261</t>
  </si>
  <si>
    <t>ORTOPEDICOS Y HOSPITALARIOS MULTISALUD</t>
  </si>
  <si>
    <t>MATERIALES NUEVO OCCIDENTE S.A.S
NIT. 900.549.099-0</t>
  </si>
  <si>
    <t xml:space="preserve">ELECTRICOS FONTIBON 
NIT. </t>
  </si>
  <si>
    <t>FERRELECTRICOS JEP SAS 
NIT. 830.048.145</t>
  </si>
  <si>
    <t xml:space="preserve">EIF ELECTRICOS INDUSTRIALES DE FONTIBON 
NIT. </t>
  </si>
  <si>
    <t>DEPOSITO FONTIVON A&amp;V SAS</t>
  </si>
  <si>
    <t>CRISTALERIA Y PANADERIA UNIVERSAL
NIT. 79.192.406-0</t>
  </si>
  <si>
    <t xml:space="preserve">DISTRI ILUMINACIONES FONTIBON 
NIT. </t>
  </si>
  <si>
    <t xml:space="preserve">DOTACIONES H&amp;S
NIT. </t>
  </si>
  <si>
    <t xml:space="preserve">REPRESENTACIONES Y DISTRIBUCIONES NOSOTROS LTDA
NIT. </t>
  </si>
  <si>
    <t>TORO INDUSTRIAL
NIT. 901.204.317-4</t>
  </si>
  <si>
    <t>LA FERIA DE GRECA
NIT.830.048.145</t>
  </si>
  <si>
    <t>OPEN TECNOLOGIA &amp; SERVICIOS
NIT. 900.603.858-5</t>
  </si>
  <si>
    <t xml:space="preserve">IMMATEK S.A.S
NIT. 900.552.572-4 </t>
  </si>
  <si>
    <t>FERRETERIA LA OPORTUNIDAD S.A.S
NIT. 900.497.580-8</t>
  </si>
  <si>
    <t>CYC ELECTRONIC
NIT. 900.349.557-4</t>
  </si>
  <si>
    <t>HOMECENTER
NIT. 800.242.106-2</t>
  </si>
  <si>
    <t>CARPAS EVOLUTION SAS 
NIT. 901793727</t>
  </si>
  <si>
    <t xml:space="preserve"> VITTORIA ONE SHOP 
NIT. 900924625</t>
  </si>
  <si>
    <t xml:space="preserve">Magenta Estampado Diseño y Confección SAS
NIT. 901.463.086-8
</t>
  </si>
  <si>
    <t>LEON PARASOLES CARPA Y ADQUILERES
NIT. 901546277-5</t>
  </si>
  <si>
    <t xml:space="preserve">ELECTRICOS AVAL
NIT. 901117651-7 </t>
  </si>
  <si>
    <t>ESCOLARES VERSALES S.A.S
NIT: 800.088.063 -4</t>
  </si>
  <si>
    <t xml:space="preserve">COMPAÑÍA PAPELERA NACIONAL S.A.S.
NIT: 900.009.495 - 8 </t>
  </si>
  <si>
    <t>LUEGOPAGO
NIT. 901361936-5</t>
  </si>
  <si>
    <t>TIPICOS VIBER 
NIT. 19.412.300-2</t>
  </si>
  <si>
    <t>GRUPO ZINGAL 
NIT. 901.669.731-6</t>
  </si>
  <si>
    <t>TU FERRETERIA.COM
NIT.  901069288</t>
  </si>
  <si>
    <t>CAROLINA NARVAEZ BEDOYA 
NIT. 1010164761</t>
  </si>
  <si>
    <t>A&amp;C
901114690-0</t>
  </si>
  <si>
    <t>FUN GUERREROS VIDA
NIT. 900384469</t>
  </si>
  <si>
    <t>ANALISIS COTIZACIONES</t>
  </si>
  <si>
    <t xml:space="preserve">RESULTADO  DEL ANALISIS </t>
  </si>
  <si>
    <t>ITEM</t>
  </si>
  <si>
    <t>ELEMENTO Y/O PRODUCTO</t>
  </si>
  <si>
    <t>DESCRIPCIÓN / ESPECIFICACIÓN TÉCNICA</t>
  </si>
  <si>
    <t>UNIDAD DE MEDIDA</t>
  </si>
  <si>
    <t>CANTIDAD</t>
  </si>
  <si>
    <t>VALOR UNITARIO INCLUIDO IVA</t>
  </si>
  <si>
    <t>VALOR UNITARIO IVA INCLUIDO + IPC (5,1%)</t>
  </si>
  <si>
    <t xml:space="preserve">MEDIANA (Unitario) </t>
  </si>
  <si>
    <t>PROMEDIO (Unitario)</t>
  </si>
  <si>
    <t>DESVIACIÓN ESTÁNDAR (Unitario)</t>
  </si>
  <si>
    <t>DISPERCIÓN PRECIOS (Promedio)</t>
  </si>
  <si>
    <t>VALOR UNITARIO  (IVA INCLUIDO)</t>
  </si>
  <si>
    <t xml:space="preserve">OBSERVACIONES </t>
  </si>
  <si>
    <t>Computador portátil</t>
  </si>
  <si>
    <t>Procesador: Intel Core i5 de 12 Generación 1235U
Nombre del sistema operativo: FreeDOS
Capacidad de disco SSD: 512 GB
Memoria RAM: 8 GB
Tarjeta gráfica: Gráficos Intel Iris X
Con pantalla táctil: No
Resolución de la pantalla: 1366 px x 768 px y puesta en sitio de entrega.</t>
  </si>
  <si>
    <t>Unidad</t>
  </si>
  <si>
    <t xml:space="preserve">SE TOMA EL PROMEDIO COMO MEDIDA DE TENDENCIA CENTRAL </t>
  </si>
  <si>
    <t xml:space="preserve">SE TOMA LA MEDIANA COMO MEDIDA DE TENDENCIA CENTRAL </t>
  </si>
  <si>
    <t>Base metálica soporte TV</t>
  </si>
  <si>
    <t>Soporte Pedestal 1.88m Ultra Resistente Para Tv 32- 60 Color Negro y puesta en sitio de entrega.</t>
  </si>
  <si>
    <t>Modo de impresión a doble cara: Manual
Tecnología de impresión: Inyección de tinta
Impresión: Impresión a color
Impresión dúplex: Si
Resolución máxima: 5760 x 1440 DPI
Velocidad de impresión (negro, calidad normal, A4/US Carta): 33 ppm
Velocidad de impresión (color, calidad normal, A4/US Carta): 15 ppm y puesta en sitio de entrega.</t>
  </si>
  <si>
    <t>Pantalla Telón de Proyección Pared 280 x 210cm</t>
  </si>
  <si>
    <t xml:space="preserve">
Relación de aspecto 1:1, ajustable a 4:3 y 16:9.
Imagen en diagonal hasta 100"
Sistema manual para instalar al techo y a la pared.
Parte trasera de color negro para mejor recepción de luz.
Bordes negros para mayor contraste y ganancia de imagen.
Superficie de color blanco.
Material Matte White (material sintetico) que conserva la resolución y luminancia del proyector.
De uso es manual 
Recomendable para proyectar en 3D.
Es compatible con formatos 4.3 y 16.9
Carcasa resistente y moderna. 
</t>
  </si>
  <si>
    <t>Cabina de sonido con trípode incluido.
Suministro de cabina Activa de 15" Top Pack de 350 WTTS o superior, P3 Display / Reproducción: Bluetooth / Radio FM/ USB / SD / MP3
 • Ecualizador gráfico /. 2 entradas de micrófono con volumen
Independiente de línea XLR/RCA / Jack 3.5 con volumen independiente / 1 salida de línea XLR • Salida para bafle pasivo
 Incluye trípode y micrófono
 Incluye soporte 
Incluye transporte, y puesta en sitio de entrega.</t>
  </si>
  <si>
    <t xml:space="preserve">Sistemas de micrófonos </t>
  </si>
  <si>
    <t xml:space="preserve">
Sistema de micrófono inalámbrico UHF de 4 canales (PTU-5000), PTU-5000 y puesta en sitio de entrega.</t>
  </si>
  <si>
    <t>Ventiladores de pared</t>
  </si>
  <si>
    <t>Greca para 240 tintos</t>
  </si>
  <si>
    <t>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y puesta en sitio de entrega.</t>
  </si>
  <si>
    <t>Toldo Carpa 6x3 Paredes Plegable Impermeable Reforzado (para las juntas que no tienen salón)</t>
  </si>
  <si>
    <t>Tipo de producto Toldo- Altura abierto 2,19 m Ancho abierto 6 - Peso-12 kg- Otros a prueba de agua a prueba de nieve-Con protección UV
Es resistente a los impactos-retráctil-Material de la cubierta-Lona-Material del soporte-Acero-Accesorios incluidos-TOLDO 3X6 y puesta en sitio de entrega.</t>
  </si>
  <si>
    <t>Punto Ecológico 3 Puestos 53L  Blanco Verde Negro Con Tapa Vaivén</t>
  </si>
  <si>
    <t xml:space="preserve">Punto Ecológico con estructura metálica 3 canecas x 55 Litros cada una, es ideal para reciclar y mantener tus espacios limpios y ordenados. Su calidad y diseño le permite gran durabilidad tanto en zonas exteriores como interiores, y está fabricado con los mejores materiales para garantizar la calidad del producto. Además, cuenta con toda la información necesaria y acorde a la norma para su fácil utilización, y es perfecto para zonas de tráfico pesado de personas. y puesta en sitio de entrega.
</t>
  </si>
  <si>
    <t>Escalera Extensible 16 Pasos Capacidad 150 Kg Tr Color Plateado</t>
  </si>
  <si>
    <t>Carretilla</t>
  </si>
  <si>
    <t xml:space="preserve">SE TOMA LA PROMEDIO COMO MEDIDA DE TENDENCIA CENTRAL </t>
  </si>
  <si>
    <t>Juego de herramientas de jardinería de 10 piezas, herramientas manuales de jardinería con estuche de transporte.</t>
  </si>
  <si>
    <t>Kit de herramientas completo 10 en 1: el juego de herramientas de jardín incluye un rastrillo de tres dientes, una pala redonda grande, una pala afilada grande, un cuchillo de deshierbar, una pala redonda pequeña, una pala pequeña y afilada, un rastrillo pequeño, tijeras de podar, una botella rociadora y tijeras de seto, que cubren todas las herramientas esenciales de jardinería. Este kit de herramientas es perfecto para una variedad de actividades de jardinería como excavar, deshierbar, rastrillar, aflojar el suelo, airear, trasplantar, podar y regar. y puesta en sitio de entrega.</t>
  </si>
  <si>
    <t xml:space="preserve">Tablero Acrílico Blanco </t>
  </si>
  <si>
    <t>60cm X 40cm (Alto x Diámetro). Aluminio GOLD. Enviamos Bien Protegida  y puesta en sitio de entrega.</t>
  </si>
  <si>
    <t>Megáfono Recargable 9 50w, USB, Bluetooth, Aux Prophonic</t>
  </si>
  <si>
    <t>Megáfono 9 pulgadas, usb, sd, Aux 3.5, bluetooth, 50w, sistema de grabación de 200 segundos, 3 tipos de sirena, entrada 12v, batería de litio recargable 7.4 v duración max 4 horas , correa, cable para conectar a la cigarrera del carro,  y puesta en sitio de entrega.</t>
  </si>
  <si>
    <t>Kit básico para emergencias y desastres naturales (tipo morral)</t>
  </si>
  <si>
    <t>Detalle del producto cantidad:1. alcohol antiséptico frasco x 120ml tapa rosca/1 algodón paq x 5gr/1 aplicadores paq x 20 und/1 bajalenguas paq x 20 und/5 cura unidad/1 gasa estéril 7.5x7.5 por 2 und/1 guante par empacado individual vinilo/1 pito metálico/ 1 preservativo/1 tijera sencilla/1 toalla higiénica unidad/1 libreta/2 cabestrillo sencillo/1 esferos/1 linterna dinamo recargable no necesita pilas/1 listado teléfonos de emergencia/1 morral sencillo elaborado en lona morral de 35cm x 30cm x 8 cm compuesto por dos bolsillos (uno grande y uno pequeño), bolsillos internos en vinilo, reata para cargar en hombros, estampado a una tinta/ manta isotérmica desechable para emergencias y res/1 manual de primeros auxilios/3 tapabocas sencillo  producto por unidad en empaque individual/1 bisturí pequeño/1 pilas doble tipo aa precio por par/ 1 radio/1 paquete de pañuelos kleenex. Se debe entregar un paquete por cada referencia indicada. puesta en sitio de entrega</t>
  </si>
  <si>
    <t>Camilla De Emergencia con señal, gancho y Inmovilizador de cabeza</t>
  </si>
  <si>
    <t>Paleta Señal Punto De Encuentro De 30 X 30 Cm Reflectiva</t>
  </si>
  <si>
    <t xml:space="preserve">Paleta de punto de encuentro de 30 cm reflectiva/Todas las señales de tránsito son fabricadas bajo el manual de señalización vial del instituto nacional de vías INVIAS 2015  y puesta en sitio de entrega.
</t>
  </si>
  <si>
    <t>Caja de herramientas básica.</t>
  </si>
  <si>
    <t xml:space="preserve">Pica 5 Lbs Piqueta Cabo De Fibra De Vidrio </t>
  </si>
  <si>
    <t>Pala redonda Puño 'd'</t>
  </si>
  <si>
    <t>Sirenas de emergencia</t>
  </si>
  <si>
    <t>Sirena 110v Para Alarmas Comunitarias Pánico emergencia y seguridad en su entorno. Con un potente nivel de sonido de 128 dB y un alcance de 120 metros, su diseño resistente a la intemperie asegura un funcionamiento óptimo en diversas condiciones climáticas. Fabricada en PVC, es un dispositivo nuevo que no requiere batería de respaldo, lo que la hace fácil de instalar y mantener.  y puesta en sitio de entrega.</t>
  </si>
  <si>
    <t>Nevera Convencional 235 Lts</t>
  </si>
  <si>
    <t>Alta Eficiencia Energética, Dispensador de Agua, Lámina Grafito, Organización Práctica, Bandejas en Cristal Templado, Peso del paquete: 39.16 kg/Medidas: 140 cm x 55 cm x 67 cm.  y puesta en sitio de entrega.</t>
  </si>
  <si>
    <t xml:space="preserve">Licuadora </t>
  </si>
  <si>
    <t>Descripción: 6 Cuchillas en acero inoxidable con exclusiva tecnología POWELIX® para un licuado perfecto/10 velocidades/ pulso: Máximo control en tus recetas/Potencia de 600W: Eficiencia y rapidez en tus preparaciones/Vaso de vidrio de 1,75 L termorresistente: Ideal para sopas y batidos/Capacidad Útil 1.25 Litros/Sistema de acople Carbón Drive: Mayor resistencia y durabilidad.  y puesta en sitio de entrega.</t>
  </si>
  <si>
    <t xml:space="preserve">Tanque/caneca 65 Litros </t>
  </si>
  <si>
    <t>Las medidas del tanque son las siguientes: Alto: 55.6 cm/Ancho: 51.3 cm/Diámetro: 44.2 cm/Capacidad: 65 Litros  y puesta en sitio de entrega.</t>
  </si>
  <si>
    <t>Linterna LED Recargable</t>
  </si>
  <si>
    <t>Especificaciones: MAh: 600/Frecuencia: 60 Hz/Intensidad luminosa: 30 lm/Máx. distancia de iluminación: 65 a 100 metros/Tensión: 127 V/Tiempo de descarga: 3 h/ Vida: 100 000 h/ Incluye:1 Batería recargable de plomo-ácido de 4 V c.c. 0,5 Ah. Características: Cuerpo fabricado plástico/Iluminación tradicional, lente plano y haz multiled/Recargable/ Se conecta directamente a la corriente eléctrica</t>
  </si>
  <si>
    <t>Extensión Eléctrica X 30 Mts</t>
  </si>
  <si>
    <t>La extensión eléctrica uso con un largo de cable de 30 metros, cuenta con 3 tomas, lo que te permitirá conectar varios dispositivos al mismo tiempo, brindándote mayor comodidad y versatilidad. Con diseño resistente y duradero garantiza un uso seguro y confiable.  y puesta en sitio de entrega.</t>
  </si>
  <si>
    <t>Cucharones metálico grande</t>
  </si>
  <si>
    <t>Estufa a gas (4) puestos</t>
  </si>
  <si>
    <t>La Estufa De Mesa Torre Gas con cuatro quemadores, su diseño empotrable y dimensiones compactas de 51.5 cm de ancho y 51 cm de profundidad, fabricada con parrillas en alambrón, esta estufa asegura durabilidad y resistencia al uso diario, cuenta con válvulas de seguridad que ofrecen tranquilidad durante su uso, con un peso de 5.3 kg y una altura de solo 18 cm.  y puesta en sitio de entrega.</t>
  </si>
  <si>
    <t>Bandera Colombia Escudo 150x90cm Exterior Grande Doble Cara</t>
  </si>
  <si>
    <t>Dimensiones: 150cm (ancho) x 100cm (largo) aproximadamente/Diseño: Dobladillo para meter el tubo + ESCUDO./Material: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</si>
  <si>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Bandera Bogotá 150x90cm Exterior Grande Doble Cara</t>
  </si>
  <si>
    <t>Asta de banderas metálico</t>
  </si>
  <si>
    <t>Asta de bandera, estructura vertical diseñada para sostener y exhibir banderas, en aluminio, acero inoxidable o fibra de vidrio para garantizar resistencia a la intemperie y durabilidad. Los mástiles para sostener banderas de 150x90cm, que permita la exhibición en eventos como reuniones formales. sección superior donde se engancha la bandera con poleas para facilitar el izado. esenciales que permitan su visualización en diversos entornos y puesta en sitio de entrega.</t>
  </si>
  <si>
    <t xml:space="preserve">Sillas plasticas con brazos </t>
  </si>
  <si>
    <t>Silla Con apoyabrazos
Especificaciones principales
Aptas para interiores y exteriores
Material: Polipropileno (Plástico)
•Tipo : Sillas de plástico resistentes a 130 Kg
•Ancho : 52.3 cm, 77.8 cm, 54.7 cm</t>
  </si>
  <si>
    <t xml:space="preserve">Sillas plasticas </t>
  </si>
  <si>
    <t xml:space="preserve">Silla sin Brazos liviana y resistente Material: Polipropileno (Plástico)
• Resistencia: 130 kg
• Dimensiones 46.5 de largo x 49.5 de ancho y 89 de alto. </t>
  </si>
  <si>
    <t>UND</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</si>
  <si>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</si>
  <si>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t>Archivador metálico con llave</t>
  </si>
  <si>
    <t xml:space="preserve">Estructura: Fabricada totalmente en lámina de acero de alta calidad calibre 22 en cuerpo y frentes de cajón. Dimensiones Alto: 100 cm a 105 cm; Ancho: 45 cm a 50 cm; Fondo: 50 cm a 60 cm. Sistema de Gavetas: Tres (3) gavetas de extracción total mediante correderas telescópicas de acero con rodamientos de bolas. Capacidad para carpetas colgantes tamaño Oficio y Carta. Seguridad: Sistema de bloqueo centralizado mediante una sola cerradura de trampa que asegura todas las gavetas simultáneamente (incluye duplicado de llave). Estabilidad: Capacidad de carga mínima de 30 kg por gaveta y sistema antivuelco. Puesta en sitio de entrega.
</t>
  </si>
  <si>
    <t xml:space="preserve">Unidad </t>
  </si>
  <si>
    <t xml:space="preserve">Escritorios </t>
  </si>
  <si>
    <t>Escritorio en madera aglomerada de alta densidad (MDP o MDF) de mínimo 25 mm de espesor, Incluye una cajonera integrada o pedestal móvil de 2 o 3 gavetas. Dimensiones 150 cm x 60 cm. Retorno (ala): 90 cm x 45 cm. (Forma de "L")</t>
  </si>
  <si>
    <t>Silla giratoria con elevación neumática. Dimensiones: Ancho asiento: 48-50 cm; Profundidad: 45-47 cm; Altura total regulable (100-110 cm). Capacidad: Soporte de peso mínimo de 120 kg Estructura: Espaldar en marco de polipropileno de alta resistencia, tapizado en malla tipo "Mesh" antitranspirante de alta tensión. Asiento: Estructura interna de madera contrachapada, con espuma de poliuretano inyectada de alta densidad (mínimo 50 kg/) tapizada en tela tipo paño o malla. Mecanismo: Sistema de elevación neumática mediante cilindro de gas clase 3 o 4. Sistema de contacto permanente o basculante con bloqueo. Ergonomía: Apoyo lumbar fijo o ajustable y curvatura anatómica. Base: Estrella de 5 radios (diámetro mínimo de 60 cm) en Nylon reforzado o acero cromado, con ruedas de doble giro en poliuretano. Dimensiones: Ancho asiento: 48-50 cm; Profundidad: 45-47 cm; Altura total regulable (100-110 cm). Capacidad: Soporte de peso mínimo de 120 kg. Puesta en sitio de entrega.</t>
  </si>
  <si>
    <t>unidad</t>
  </si>
  <si>
    <t>Sistema de iluminación portátil</t>
  </si>
  <si>
    <t>Reflectores LED recargables para eventos nocturnos en parques o canchas que no tengan luz. potencia: 100W a 200W. Flujo luminoso: 10.000 lúmenes o superior. Protección IP66 (impermeable y resistente al polvo). Cuerpo en aluminio inyectado y vidrio templado. Vida útil: 30.000 horas. Soporte ajustable para pared o poste incluye impresión logo. puesta en sitio de entrega.</t>
  </si>
  <si>
    <t xml:space="preserve">Dispensador de agua </t>
  </si>
  <si>
    <t>El dispensador de Agua. Dimensiones: Altura mínima de 90 cm y base estable con protectores de piso.
Sistema de Filtración: Etapa de 4 filtros integrada (Sedimentos, Carbón activado granular, Carbón en bloque y Membrana de Ultrafiltración/UF). Rendimiento: Capacidad de calentamiento de 5 L/h 85°C) y enfriamiento de $ 2 L/h 10°C). 3. Componentes: Tanques de almacenamiento internos fabricados en Acero Inoxidable grado alimenticio Eléctrico: Enfriamiento mediante compresor de alta eficiencia Conexión a 110V/60Hz. Puesto en sitio de entrega.</t>
  </si>
  <si>
    <t>Señalética en Braille:</t>
  </si>
  <si>
    <t xml:space="preserve"> Material Acrílico o poliestireno de alta resistencia. Debe incluir pictograma universal (Hombre, Mujer o Discapacidad) en relieve y texto en sistema Braille para personas con discapacidad visual. Dimensiones: 20 cm x 25 cm. Colores de alto contraste (ej. Azul/Blanco). Cinta doble faz industrial para fijación. Puesta en sitio de entrega.</t>
  </si>
  <si>
    <t xml:space="preserve">TOTAL </t>
  </si>
  <si>
    <t>TRENDY
NIT.  901374981-3</t>
  </si>
  <si>
    <t xml:space="preserve">EXHIBOLSAS LAS PAISITAS
</t>
  </si>
  <si>
    <t xml:space="preserve">CON LOS CRESPOS HECHOS
NIT. </t>
  </si>
  <si>
    <t>AIPE PAPELERRA 
NIT.  813010383</t>
  </si>
  <si>
    <t xml:space="preserve">BISUTERIA FINA 
NIT. 900986368 </t>
  </si>
  <si>
    <t xml:space="preserve">FANTY ADORNOS
NIT. 52.105.664
</t>
  </si>
  <si>
    <t>EL REY DE LOS ADORNOS SAS 
NIT. 8000810428</t>
  </si>
  <si>
    <t>EL RINCON DEL TIPLE
NIT. 1020802759-7</t>
  </si>
  <si>
    <t>MAJA BELLEZA
NIT. 901777696</t>
  </si>
  <si>
    <t>DISTRIBUIRDORA LUZA</t>
  </si>
  <si>
    <t>LA MINA 
NIT. 901.649.369-7</t>
  </si>
  <si>
    <t>SANTORINE BISUTERIA 
NIT. 9016680251</t>
  </si>
  <si>
    <t>TONO MUSIC 
NIT. NIT, 80110102-6</t>
  </si>
  <si>
    <t>INNGO MARKETING CULTURAL 
NIT. 900.893.185-1</t>
  </si>
  <si>
    <t xml:space="preserve">DISTRIBUIDORA Y COSMETICOS MONELIZZ
NIT. </t>
  </si>
  <si>
    <t xml:space="preserve">ALMACEN LOS MONOS </t>
  </si>
  <si>
    <t xml:space="preserve">VIOLETA MAKEUD
</t>
  </si>
  <si>
    <t>TIENDA DE MUSICA
Nit: 890.916.911</t>
  </si>
  <si>
    <t xml:space="preserve">CABEZA DE MARTILLO </t>
  </si>
  <si>
    <t>EL EMPERADOR
NIT. 901114393</t>
  </si>
  <si>
    <t>MUEBLES Y ARTESANIAS CRISTIAN 
NIT. 87.710.847-4</t>
  </si>
  <si>
    <t>ARTESANIAS ACOSTA DORA
NIT. 20.271.810</t>
  </si>
  <si>
    <t xml:space="preserve">TIPICOS SAN MIGUEL
</t>
  </si>
  <si>
    <t xml:space="preserve">ARTESANIAS NACIR
</t>
  </si>
  <si>
    <t xml:space="preserve">SUMINISTROS Y PAPELERIA INKJET
</t>
  </si>
  <si>
    <t xml:space="preserve">EXHIBOLSAS LAS PAISITAS
NIT.  </t>
  </si>
  <si>
    <t xml:space="preserve">TEO TIN 
</t>
  </si>
  <si>
    <t xml:space="preserve">FANTANOVIOS Y COSMETICOS EL OSKAR 
</t>
  </si>
  <si>
    <t>ARTESANIAS EL INDIO 
NIT. 19.194.442-3</t>
  </si>
  <si>
    <t>AVIA MAKE UP 
NIT. 901381815</t>
  </si>
  <si>
    <t>BLUE MARINE 
NIT. 901738198</t>
  </si>
  <si>
    <t>COSMETICOS MAYA
NIT.</t>
  </si>
  <si>
    <t>SUBLIMACION GRAFICA S.A.S.
NIT. 900.692.649‑2</t>
  </si>
  <si>
    <t xml:space="preserve">ZOLUSHKA BALLET S.A.S.
NIT. 901524375‑4 </t>
  </si>
  <si>
    <t>ALL WE AR
NIT. 901491512-3</t>
  </si>
  <si>
    <t>ARABESQUE
NIT. 90112026-8</t>
  </si>
  <si>
    <t xml:space="preserve"> T‑Shirt Lab S.A.S.
NIT. 830.016.029‑4</t>
  </si>
  <si>
    <t>DISTRIBUIDORA NACIONAL DE SOMBREROS S.A.S.
NIT.  890918413‑9</t>
  </si>
  <si>
    <t>SCARPE BALLET S.A.S. 
NIT. 901650294-5</t>
  </si>
  <si>
    <t>SOMBREROS DLUNA S.A.S
NIT. 901932251.</t>
  </si>
  <si>
    <t xml:space="preserve">EXITO
NIT. 890900608-9. </t>
  </si>
  <si>
    <t>DISTRIBUIDORA NACIONAL GROUP S.A.S.
NIT 901.708.000-9</t>
  </si>
  <si>
    <t>TELEMARKETER BPO &amp; LOGISTICS SAS
NIT. 901012708 - 6</t>
  </si>
  <si>
    <t xml:space="preserve">CONFECCIONES PAULINA MALU
</t>
  </si>
  <si>
    <t>CONFECCIONES COLOMBIANAS DE TEXTILES S.A.S.
NIT. 901155035-1</t>
  </si>
  <si>
    <t>FUNDACION CEDHI 
NIT.  900.032.841 - 1</t>
  </si>
  <si>
    <t xml:space="preserve">OFFIGRAND MAYORISTA SAS
NIT: 901642603-4
</t>
  </si>
  <si>
    <t>TODO EN DEPORTES 1
NIT: 830013803-5</t>
  </si>
  <si>
    <t>CLUB DEPORTIVO EAGLES SKATE DEL MUNICIPIO DE MOSQUERA
NIT.  901.773.493</t>
  </si>
  <si>
    <t xml:space="preserve">DOTACIONES Y SUMINISTROS LA 17 SAS
NIT.  9004641907 
</t>
  </si>
  <si>
    <t>PROTEGERNOS SEGURIDAD INDUSTRIAL
NIT. 9005888907</t>
  </si>
  <si>
    <t>ADORNOS Y ENCAJES EL UNIVERSO
NIT 9012297254​​</t>
  </si>
  <si>
    <t>LA NOVEDAD DE LOS ADORNOS SAS 
NIT 9012298933</t>
  </si>
  <si>
    <t>DEPOSITO FONTIBON A&amp;V SAS
NIT: 900531144.</t>
  </si>
  <si>
    <t>PINTURAS EL MUNDIAL DEL COLOR 
NIT. 79.845.412-5</t>
  </si>
  <si>
    <t>TODO PINTURAS SANM 
NIT. 8110453713​​</t>
  </si>
  <si>
    <t>LOS TRES ELEFANTES
Nit 86003047-8</t>
  </si>
  <si>
    <t xml:space="preserve">CIRCOROTOS
</t>
  </si>
  <si>
    <t>SANDRA CAMPOS COLLECTION
NIT. 900969283</t>
  </si>
  <si>
    <t>TONSON S.A.S
NIT. 9011658990.</t>
  </si>
  <si>
    <t>MICHE PRODUCCIONES LTDA
NIT 8020106517</t>
  </si>
  <si>
    <t>EVENTOS SANTIAGO FRANCO
:1030641065</t>
  </si>
  <si>
    <t xml:space="preserve">FUN GUERREROS VIDA
NIT. :900384469 </t>
  </si>
  <si>
    <t>A &amp;C
NIT. 901114690-0</t>
  </si>
  <si>
    <t xml:space="preserve">CAC PUBLICIDAD
NIT. 830.135.170-5 </t>
  </si>
  <si>
    <t>IDDENTUFY S.A.S.
NIT. 901.412.899-0</t>
  </si>
  <si>
    <t xml:space="preserve"> VALOR UNITARIO INCLUIDO IVA </t>
  </si>
  <si>
    <t>MEDIANA (Unitario)</t>
  </si>
  <si>
    <t>VALOR TOTAL (IVA INCLUIDO)</t>
  </si>
  <si>
    <t xml:space="preserve">Baquetas </t>
  </si>
  <si>
    <t> </t>
  </si>
  <si>
    <t>Golpeadores</t>
  </si>
  <si>
    <t>Golpeadores de lira</t>
  </si>
  <si>
    <t>Caja</t>
  </si>
  <si>
    <t xml:space="preserve">Cañas Clarinete soprano </t>
  </si>
  <si>
    <t>Aceite para vara</t>
  </si>
  <si>
    <t>Parche redoblante</t>
  </si>
  <si>
    <t>Atriles</t>
  </si>
  <si>
    <t>Platillos para bandas</t>
  </si>
  <si>
    <t xml:space="preserve">Trompeta </t>
  </si>
  <si>
    <t xml:space="preserve">Melofono </t>
  </si>
  <si>
    <t xml:space="preserve">Trombón de vara </t>
  </si>
  <si>
    <t xml:space="preserve">Flauta </t>
  </si>
  <si>
    <t xml:space="preserve">Clarinete Soprano </t>
  </si>
  <si>
    <t>Saxofón alto</t>
  </si>
  <si>
    <t>Saxofón Tenor</t>
  </si>
  <si>
    <t>Bombo tipo marching</t>
  </si>
  <si>
    <t>Multinetor</t>
  </si>
  <si>
    <t>Marimba</t>
  </si>
  <si>
    <t>Cununo</t>
  </si>
  <si>
    <t>Bombo</t>
  </si>
  <si>
    <t>Guasá</t>
  </si>
  <si>
    <t>Flauta</t>
  </si>
  <si>
    <t>Clarinete</t>
  </si>
  <si>
    <t>Bombardino</t>
  </si>
  <si>
    <t>Redoblante</t>
  </si>
  <si>
    <t>Violines</t>
  </si>
  <si>
    <t>Bongos</t>
  </si>
  <si>
    <t>Espejos</t>
  </si>
  <si>
    <t>Tripodes</t>
  </si>
  <si>
    <t>Carpas</t>
  </si>
  <si>
    <t>Telas</t>
  </si>
  <si>
    <t xml:space="preserve">Telas aereas. 
Tipo de Material: Tela de punto de alta resistencia, generalmente Jersey Lycra, Poliamida o Nylon de baja elasticidad (especificar según preferencia).
Ancho de la Tela: 1.50 metros a 1.60 metros (estándar para agarre cómodo).
Longitud: Especifique el metraje total (ej. 8, 10 o 12 metros). Nota: Se recomienda el doble de la altura del techo más 2 metros adicionales.
Capacidad de Carga: Certificada para soportar una carga mínima de rotura de 900 kg a 1,200 kg (WLL/MBS).
Elasticidad: Baja o media (máximo 10-15% bajo tensión) para evitar rebotes peligrosos en caídas. Puesto en el sitio de entrega. </t>
  </si>
  <si>
    <t>Baletas</t>
  </si>
  <si>
    <t>Narices</t>
  </si>
  <si>
    <t>Kit de maquillaje fashion – Profesional artístico</t>
  </si>
  <si>
    <t>Bases blancas</t>
  </si>
  <si>
    <t xml:space="preserve"> Diabolo</t>
  </si>
  <si>
    <t>Platos chinos</t>
  </si>
  <si>
    <t>Cajas de Malabarismo (TRIO) 13cm x 18cm</t>
  </si>
  <si>
    <t>Pelota Burbuja 63mm Color</t>
  </si>
  <si>
    <t>Bandera Ajedrez</t>
  </si>
  <si>
    <t>Sombrero Volador</t>
  </si>
  <si>
    <t>Monociclos</t>
  </si>
  <si>
    <t>Monociclo</t>
  </si>
  <si>
    <t>Cuerda floja</t>
  </si>
  <si>
    <t>Colchoneta - Airtrak</t>
  </si>
  <si>
    <t>Paletas combinadas</t>
  </si>
  <si>
    <t>Pinceles</t>
  </si>
  <si>
    <t>Sombras mate y nacarada personales</t>
  </si>
  <si>
    <t>Lápices delineadores</t>
  </si>
  <si>
    <t>Desmaquillantes</t>
  </si>
  <si>
    <t>Toallas desmaquilladoras</t>
  </si>
  <si>
    <t>Bolsos personales</t>
  </si>
  <si>
    <t>Trusas</t>
  </si>
  <si>
    <t>Vestidos</t>
  </si>
  <si>
    <t>Camisas</t>
  </si>
  <si>
    <t>Sombreros</t>
  </si>
  <si>
    <t>Pelucas</t>
  </si>
  <si>
    <t>Accesorios</t>
  </si>
  <si>
    <t>Campana salsera</t>
  </si>
  <si>
    <t>Tambor</t>
  </si>
  <si>
    <t>Xilófono</t>
  </si>
  <si>
    <t>Maracas</t>
  </si>
  <si>
    <t>Guitarra acústica</t>
  </si>
  <si>
    <t>Guitarra eléctrica</t>
  </si>
  <si>
    <t>Percusión</t>
  </si>
  <si>
    <t>Bajos eléctricos</t>
  </si>
  <si>
    <t>Claves de madera</t>
  </si>
  <si>
    <t>Teclados</t>
  </si>
  <si>
    <t>Batería</t>
  </si>
  <si>
    <t>Amplificadores de bajo guitarra</t>
  </si>
  <si>
    <t>Medias</t>
  </si>
  <si>
    <t xml:space="preserve">Vestidos artísticos  para danza </t>
  </si>
  <si>
    <t>Falda</t>
  </si>
  <si>
    <t xml:space="preserve">Blusa </t>
  </si>
  <si>
    <t xml:space="preserve">Traje hombre </t>
  </si>
  <si>
    <t>Pañuelo o pañoleta</t>
  </si>
  <si>
    <t xml:space="preserve">Velas </t>
  </si>
  <si>
    <t>Alpargatas</t>
  </si>
  <si>
    <t>Sombrero</t>
  </si>
  <si>
    <t>Ligas para el cabello</t>
  </si>
  <si>
    <t xml:space="preserve">Bandas elásticas </t>
  </si>
  <si>
    <t xml:space="preserve">Piso tipo konker </t>
  </si>
  <si>
    <t>Rodilleras</t>
  </si>
  <si>
    <t>Calcetines de danza antideslizantes</t>
  </si>
  <si>
    <t>Vestuario escénico base</t>
  </si>
  <si>
    <t>Mat o colchoneta</t>
  </si>
  <si>
    <t>Bandas elásticas de resistencia</t>
  </si>
  <si>
    <t>Foam roller o pelota de masaje</t>
  </si>
  <si>
    <t>Tela o pañuelo grande</t>
  </si>
  <si>
    <t>Toalla pequeña</t>
  </si>
  <si>
    <t>Camiseta  de danza contemporánea</t>
  </si>
  <si>
    <t>Kit de primeros auxilios</t>
  </si>
  <si>
    <t>Kit de maquillaje escénico</t>
  </si>
  <si>
    <t>Kit de peinado</t>
  </si>
  <si>
    <t>Ropa de calentamiento</t>
  </si>
  <si>
    <t xml:space="preserve">Lápiz </t>
  </si>
  <si>
    <t>Borrador</t>
  </si>
  <si>
    <t>Tajalápiz</t>
  </si>
  <si>
    <t xml:space="preserve">Cuaderno </t>
  </si>
  <si>
    <t>Resmas</t>
  </si>
  <si>
    <t xml:space="preserve"> Bitácora </t>
  </si>
  <si>
    <t xml:space="preserve"> Yeso </t>
  </si>
  <si>
    <t>Rollo</t>
  </si>
  <si>
    <t xml:space="preserve"> Papel Higuienico </t>
  </si>
  <si>
    <t xml:space="preserve"> Pintura </t>
  </si>
  <si>
    <t xml:space="preserve"> Carboncillo </t>
  </si>
  <si>
    <t xml:space="preserve">unidad </t>
  </si>
  <si>
    <t>Fijador para Carboncillo y Grafito</t>
  </si>
  <si>
    <t>Block de dibujo papel para dibujo profesional</t>
  </si>
  <si>
    <t xml:space="preserve"> Bisturí de Precisión </t>
  </si>
  <si>
    <t> Temperas</t>
  </si>
  <si>
    <t xml:space="preserve">CAJA </t>
  </si>
  <si>
    <t>Crayones</t>
  </si>
  <si>
    <t xml:space="preserve"> Plastilina </t>
  </si>
  <si>
    <t> Regla</t>
  </si>
  <si>
    <t> Palos</t>
  </si>
  <si>
    <t xml:space="preserve"> Papel periódico </t>
  </si>
  <si>
    <t xml:space="preserve"> Papel crepe </t>
  </si>
  <si>
    <t xml:space="preserve">Paquete </t>
  </si>
  <si>
    <t> Papel seda</t>
  </si>
  <si>
    <t xml:space="preserve"> Hisopos </t>
  </si>
  <si>
    <t xml:space="preserve"> Marcadores </t>
  </si>
  <si>
    <t>Colbon</t>
  </si>
  <si>
    <t>paquete</t>
  </si>
  <si>
    <t>Papel Acuarela</t>
  </si>
  <si>
    <t>Paleta</t>
  </si>
  <si>
    <t>Esponjas</t>
  </si>
  <si>
    <t>Arcilla</t>
  </si>
  <si>
    <t>Cerámicas</t>
  </si>
  <si>
    <t>Lápiz B2 y 4B</t>
  </si>
  <si>
    <t>Block</t>
  </si>
  <si>
    <t>Esferos</t>
  </si>
  <si>
    <t>Resaltadores</t>
  </si>
  <si>
    <t>Papel kraft</t>
  </si>
  <si>
    <t>Libro de trabajo</t>
  </si>
  <si>
    <t>Cuento Ilustrado</t>
  </si>
  <si>
    <t>Libro Álbum</t>
  </si>
  <si>
    <t>Caja de colores</t>
  </si>
  <si>
    <t xml:space="preserve">Cartulina </t>
  </si>
  <si>
    <t>Paquete</t>
  </si>
  <si>
    <t>Papel iris</t>
  </si>
  <si>
    <t>Papel origami</t>
  </si>
  <si>
    <t>Pegante en barra</t>
  </si>
  <si>
    <t xml:space="preserve"> (Pegante en barra sin componentes tóxicos Forma redonda, cierre hermético Mínimo 40 g).  
Puesta en sitio de entrega.</t>
  </si>
  <si>
    <t>Juego de peines</t>
  </si>
  <si>
    <t>Set de herramientas de peluquería: peines, cepillo de triple burla, cepillo de borde, peines de cola de rata, lazo trenzado con clips.  El kit debe incluir: 1. Peines de cola de rata (3 unidades), En carbono o material resistente al calor, con punta fina para divisiones precisas. 2. Cepillo de triple burla / Cardado (1 unidad): Con cerdas mixtas o de jabalí para dar volumen y pulir. 3. Cepillo de bordes (2 unidades): Doble cara con cerdas suaves y peine para fijar cabellos cortos. Todos los elementos deben ser de grado profesional, resistentes a productos químicos y de fácil desinfección.  
Puesta en sitio de entrega.</t>
  </si>
  <si>
    <t>Gel</t>
  </si>
  <si>
    <t>Producto cosmético diseñado para el control de bordes, pulido de peinados recogidos y definición de texturas.  Contenido: Mínimo 250 ml a 300 ml. Composición: Fórmula enriquecida con componentes hidratantes (ej. manteca de karité, aceite de coco o ricino) para evitar la rotura del cabello. Desempeño: Libre de residuos (sin escamas blancas), no graso y con fijación de larga duración resistente al sudor y movimiento. Debe contar con registro sanitario vigente. Color: Transparente. 
• Tipo: Espuma fijadora capilar
• Contenido: Mínimo 200 ml
• Aplicación: Cabello 
Puesta en sitio de entrega.</t>
  </si>
  <si>
    <t>Cera</t>
  </si>
  <si>
    <t>Barra de cera para cabello 50 ml.  
Puesta en sitio de entrega.</t>
  </si>
  <si>
    <t>Bolsa o caja de Bandas Elásticas Para El Cabello - Trenzas Banda X 600 - colores surtidos. 
Puesta en sitio de entrega.</t>
  </si>
  <si>
    <t>Cintas</t>
  </si>
  <si>
    <t>Cinta en satín de 1/2 cm – rollo X 25 mts – colores surtidos. 
Puesta en sitio de entrega.</t>
  </si>
  <si>
    <t>rollo</t>
  </si>
  <si>
    <t>Maniquí de cabeza cabello para trenzas</t>
  </si>
  <si>
    <t>Maniquí de cabeza cabello para trenzas Cabello similar a humano crespo largo. Con textura Afro/Crespa (4C) para práctica de trenzado técnico.  Longitud: Mínimo 20 a 24 pulgadas (50-60 cm) medidos desde la frente hasta las puntas. Densidad: Mínimo 250 cabellos por cm^2$ para simular volumen real. Resistencia: Capaz de soportar herramientas de calor hasta 180°C y uso de geles/ceras.  Accesorios: Debe incluir Soporte de mesa ajustable, Base de la cabeza con orificio estándar universal. Puesta en sitio de entrega.
• Material cabeza: PVC o silicona
• Cabello: Sintético o natural, mínimo 50 cm
• Color: Natural (negro o castaño)
• Uso: Práctica de trenzado
Puesta en sitio de entrega.</t>
  </si>
  <si>
    <t>Cabello sintético (kanekalon)</t>
  </si>
  <si>
    <t>Colores surtidos (tonos naturales). Extensión de cabello sintético de fibra de alta calidad, diseñada para trenzado africano, peinados escénicos y caracterización.  Longitud: Mínimo 24 pulgadas (60 cm) doblado / 48 pulgadas (120 cm) extendido. Peso: Mínimo 100 gramos por paquete.  Textura: Fibra suave, ligera y libre de enredos, con acabado mate para apariencia natural. Propiedades: Termo-resistente (de 80°C). Colores: Surtido en tonos naturales (Negro #1, Castaño Oscuro #2, Castaño Medio #4, Rubio Cenizo). Puesta en sitio de entrega.
• Material: Fibra sintética para trenzas
• Longitud: Mínimo 60 cm
• Presentación: Paquete individual
Puesta en sitio de entrega.</t>
  </si>
  <si>
    <t>Gel de cera para trenzas</t>
  </si>
  <si>
    <t xml:space="preserve">Extreme Hold 500 ml. </t>
  </si>
  <si>
    <t>Ganchos para chochet braids</t>
  </si>
  <si>
    <t>Ganchos para chochte brains: Herramienta de alfombra de gancho de seguridad, ganchillo manual, herramienta de dreadlock de gancho de pelo para cabello micro, sintético o real. Alta calidad para uso prolongado en Material: mango de plástico 
Tamaño: aproximadamente 16 x 1 cm/6,29 x 0,39 pulgadas 
Puesta en sitio de entrega.</t>
  </si>
  <si>
    <t xml:space="preserve">Toalla microfibra  </t>
  </si>
  <si>
    <t>Variedad de colores 
• Material: Microfibra
• Tamaño: Mínimo 80 x 50 cm
• Uso: Secado capilar
Puesta en sitio de entrega.</t>
  </si>
  <si>
    <t>Accesorios para peinado</t>
  </si>
  <si>
    <t>Accesorios para peinado Cola de ratón de varios materiales .Material: Nylon o Poliéster 100% de alta densidad que no pierda el color con el roce o el lavado. Medidas: Calibre (diámetro) de 2 mm. Longitud: Presentación en rollos o carretes de 100 metros por color.  Variedad: Kit surtido con colores vibrantes (Dorado, Plateado, Neones y Tonos Primarios). Calidad: El cordón debe ser flexible, fácil de anudar y con puntas que permitan el sellado por calor para evitar el deshilachado. puesta en sitio de entrega
Puesta en sitio de entrega.</t>
  </si>
  <si>
    <t>Pinzas</t>
  </si>
  <si>
    <t>Kint pinzas: Kit de 5 Pinzas Para Joyas, Bisutería, Corte, Alambre.  fabricadas en acero al carbono o acero inoxidable con acabado pulido para evitar marcas en el alambre. El kit debe incluir exactamente: Pinza de Punta Redonda: Para crear argollas y bucles. Pinza de Corte Lateral (Frio): De alta precisión para alambres de cobre, latón y plata. Pinza de Punta Plana: Para sujetar y doblar ángulos rectos. Pinza de Punta de Cadena (Chain Nose): Punta fina y serrada para espacios reducidos. Pinza de Punta Doblada: Para acceder a ángulos difíciles y abrir/cerrar argollas. Estuche de almacenamiento incluido. Puesta en sitio de entrega.
Puesta en sitio de entrega.</t>
  </si>
  <si>
    <t>Mostacilla Checa</t>
  </si>
  <si>
    <t>Mostacilla checa por 250 gramos en colores surtidos.  
Puesta en sitio de entrega.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</si>
  <si>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</si>
  <si>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Puesta en sitio de entrega.</t>
  </si>
  <si>
    <t>Paños de aguja</t>
  </si>
  <si>
    <t>Aguja pelo (Aguja larga para mostacilla) con 25 unidades cada paño.  
Puesta en sitio de entrega.</t>
  </si>
  <si>
    <t>Hilo búfalo</t>
  </si>
  <si>
    <t>Hilo búfalo calibre B-46 / Rollos X 40 gramos. Variedad de colores.  
Puesta en sitio de entrega.</t>
  </si>
  <si>
    <t>Herrajes</t>
  </si>
  <si>
    <t>Conjunto de Herrajes para aretes tipo pescador, cierres para manillas, separadores, uniones, argollas, infinitos, alfileres de argolla, alfileres de balín, arandelas.  Material: Aleación de metal con recubrimiento de alta calidad en colores dorado y plateado. El kit debe estar compuesto por:  Ganchos Pescador: Mín. 100 unidades.  Cierres (Loros/Mosquetones): Mín. 50 unidades.  Argollas de Unión (4mm y 6mm): Mín. 200 unidades. Alfileres (con cabeza de balín y de argolla) Mín. 100 unidades de cada uno (200 total). Separadores e Infinitos: Surtido de diseño técnico (mín. 50 piezas). Terminales y Arandelas: Mín. 100 unidades. Todo el material debe ser resistente a la oxidación y entregarse en un organizador plástico con compartimentos para cada referencia. 
Puesta en sitio de entrega.</t>
  </si>
  <si>
    <t>Nylon</t>
  </si>
  <si>
    <t>Hilo Nylon Para Joyería Bisutería Pulseras 0.6mm Rollo X100m.  
Puesta en sitio de entrega.</t>
  </si>
  <si>
    <t>Hilo Chino</t>
  </si>
  <si>
    <t>Hilo Chino 0.8mm x 90metros Para Bisutería Manillas X 6 Rollos.  
Puesta en sitio de entrega.</t>
  </si>
  <si>
    <t>Telar</t>
  </si>
  <si>
    <t>Telar de mostacilla bisutería con bandeja, en madera de 9mm de espesor, graduable, longitud máxima 46cm, ancho 16cm. Con bandeja de 10 puestos dimensiones 25cm x 9,5cm material en madera de 9mm de espesor.
Puesta en sitio de entrega.</t>
  </si>
  <si>
    <t>Sartas</t>
  </si>
  <si>
    <t>Sartas de murano de Calibre #10 Colores Surtidos 
Puesta en sitio de entrega.</t>
  </si>
  <si>
    <t>Aguja de crochet</t>
  </si>
  <si>
    <t>Kit de agujas para croché x 6, en diferente grosor.  
Puesta en sitio de entrega.</t>
  </si>
  <si>
    <t>Hilo</t>
  </si>
  <si>
    <t>Hilo de crochet clásico colores surtidos ovillo de 100 gramos.  
Puesta en sitio de entrega.</t>
  </si>
  <si>
    <t>Tijeras</t>
  </si>
  <si>
    <t>Tijeras A01. para cortar hilos, alambres y materiales delicados con precisión 
Puesta en sitio de entrega.</t>
  </si>
  <si>
    <t>Cartillas</t>
  </si>
  <si>
    <t>Revista con patrones paso a paso de crochet y bisuteria.  publicación impresa técnica enfocada en técnicas de Crochet (Tejido) y Bisutería. Contenido: Debe incluir diagramas de patrones, guías fotográficas de alta resolución y explicaciones detalladas para niveles principiante e intermedio. Extensión: Mínimo 32 a 48 páginas de contenido útil. Material: Tapas en papel propalcote de mínimo 150g con acabado plastificado (brillante o mate); páginas interiores en papel propalcote o bond de mínimo 90g para asegurar durabilidad. tamaño: Formato estándar (aprox. 21 cm x 28 cm).  Encuadernación: Al caballete (grapada) o lomo pegado, con acabado resistente al hojeo frecuente
Puesta en sitio de entrega.</t>
  </si>
  <si>
    <t>Marcadores</t>
  </si>
  <si>
    <t>Gancho Marcador De Puntada Crochet X 25unid.  
Puesta en sitio de entrega.</t>
  </si>
  <si>
    <t>Pintura en vinilo</t>
  </si>
  <si>
    <t>Galón de pintura en diversos colores.
Puesta en sitio de entrega.</t>
  </si>
  <si>
    <t>Aerosoles</t>
  </si>
  <si>
    <t>Aerosol en lata en diversos colores.
Pintura de secado rápido formulada para adherencia en madera, metal, plástico y mampostería. 
Contenido: Mínimo 400 ml (aprox. 11 a 12 oz) por lata. 
Composición: Base acrílica o esmalte sintético de alta cubrición, con pigmentos resistentes a la luz UV Acabado: Surtido entre brillante, mate y satinado.
Colores: Surtido según carta de colores primaria y secundaria. 
Puesta en sitio de entrega.</t>
  </si>
  <si>
    <t>Brochas</t>
  </si>
  <si>
    <t>Rodillos</t>
  </si>
  <si>
    <t>Guantes</t>
  </si>
  <si>
    <t>Par de guantes, en nitrilo en color negro, gris o azul, en diferentes tallas. 
Puesta en sitio de entrega.</t>
  </si>
  <si>
    <t>Tapabocas</t>
  </si>
  <si>
    <t>Tapabocas industrial, negro con antifluido enbalado individualmente. 
Puesta en sitio de entrega.</t>
  </si>
  <si>
    <t>Tiza</t>
  </si>
  <si>
    <t xml:space="preserve">Tiza para demarcación para pisos, paredes o pizarras. </t>
  </si>
  <si>
    <t>Overol</t>
  </si>
  <si>
    <t>Cintas de Pintor</t>
  </si>
  <si>
    <t>Rollo de cinta de 1 pulgada con adhesivo de fácil aplicación y democión, que no dañe la superficie. 
Puesta en sitio de entrega.</t>
  </si>
  <si>
    <t>Material: Aluminio extruido de alta resistencia, ligero y resistente a la corrosión.  
Capacidad de Carga: Máximo 150 kg (Uso Industrial Pesado) Mínimo 16 peldaños en total, con peldaños en forma de "D" estriados para evitar deslizamientos.  
Sistema de Extensión: Polea y cuerda de nylon con ganchos de seguridad (pestillos) de gravedad de alta resistencia. 
Seguridad: Tapas de extremo protectoras en la parte superior y zapatas giratorias antideslizantes de caucho en la base para máxima estabilidad. 
Altura: Alcance máximo aproximado de 4.8 metros (16 pies) extendida.
Puesta en sitio de entrega.</t>
  </si>
  <si>
    <t xml:space="preserve">Coderas </t>
  </si>
  <si>
    <t>Coderas para baile – Breakdance Coderas Para niños y jóvenes, 
Material: Neopreno, EVA o espuma de alta densidad
Diseño: Anatómico, con ajuste por velcro o elástico
Tallas: S, M y L (a seleccionar según necesidad)
Medidas de referencia (circunferencia del codo):
• Talla S: 20 – 24 cm
• Talla M: 25 – 29 cm
• Talla L: 30 – 34 cm
Espesor del acolchado: Mínimo 10 mm
Presentación: Par
Puesta en sitio de entrega.</t>
  </si>
  <si>
    <t>Rodilleras para baile – Breakdance Para niños y jóvenes, material resistente y ajustable. 
Material: Neopreno, EVA o espuma de alta densidad
Diseño: Anatómico, con sistema de ajuste elástico o velcro
Tallas: S, M y L
Medidas de referencia (circunferencia de la rodilla):
• Talla S: 30 – 35 cm
• Talla M: 36 – 41 cm
• Talla L: 42 – 47 cm
Espesor del acolchado: Mínimo 12 mm
Presentación: Par
Puesta en sitio de entrega.</t>
  </si>
  <si>
    <t>Gorro protector</t>
  </si>
  <si>
    <t xml:space="preserve">Casco </t>
  </si>
  <si>
    <t>Casco protector diseñado específicamente para facilitar la ejecución de giros sobre la cabeza (headspins), brindando protección craneal, estabilidad y reducción de fricción durante el movimiento.
Cubierta exterior: Superficie superior plana o ligeramente redondeada, con recubrimiento en malla de nylon de baja fricción o material deslizante de alta resistencia, que facilita el giro controlado.
Estructura: Calota fabricada en plástico ABS, resistente a impactos y de alta durabilidad.
Interior: Acolchado interno de espuma densa, diseñado para la protección craneal y la absorción de presión durante el contacto continuo.
Sistema de ajuste: Sistema de correas de seguridad ajustables, que garantizan un ajuste firme y seguro durante el uso.
Talla: Ajustable o surtido de tallas para población juvenil.
Puesta en sitio de entrega.</t>
  </si>
  <si>
    <t xml:space="preserve">Cabina de sonido pequeña </t>
  </si>
  <si>
    <t>Bluetooht 300 Watts  / Radio FM/ USB / SD / MP3 - entradas de micrófono
Puesta en sitio de entrega.</t>
  </si>
  <si>
    <t>V</t>
  </si>
  <si>
    <t xml:space="preserve">Cabina de sonido Grande </t>
  </si>
  <si>
    <t>Parlante activo recargable mínimo 12" pulgadas. 
Sistema de audio auto amplificado diseñado para eventos al aire libre y talleres. 
Driver: Woofer de 12 pulgadas. Potencia: Mínimo 500W RMS (potencia real sostenida). Autonomía: Batería de litio interna con duración de 6 horas a volumen medio. Conectividad: Bluetooth 5.0, puerto USB/SD, entrada para micrófono (XLR o Jack 1/4") y entrada auxiliar. Accesorios: Incluye control remoto, cable de alimentación y soporte (trípode) de altura ajustable.  Garantía y Legalidad: Garantía técnica mínima de 12 meses por defectos de fabricación y 6 meses en la batería. 
Puesta en sitio de entrega.</t>
  </si>
  <si>
    <t>Bases de micrófonos</t>
  </si>
  <si>
    <t>Soporte de micrófono de piso diseñado para brindar alta estabilidad y seguridad durante presentaciones en vivo, ensayos y grabaciones, garantizando un posicionamiento preciso del micrófono.
Estructura: Tubos fabricados en acero reforzado, con acabado en pintura electrostática color negro mate, resistente a la corrosión y al desgaste por uso continuo.
Base: Sistema de trípode plegable con patas de acero, equipado con terminales de goma antideslizante de alta densidad, que proporcionan estabilidad, absorción de vibraciones y protección de superficies.
Ajuste de altura: Sistema de embrague de acción rápida, que permite regulación continua de altura desde aproximadamente 90 cm hasta 160 cm.
Brazo (boom): Brazo telescópico ajustable con longitud mínima de 70 cm, equipado con perilla de bloqueo de alta presión y contrapeso integrado, que asegura estabilidad y balance durante el uso.
Compatibilidad: Compatible con micrófonos estándar con rosca universal.
Entrega: Puesta en sitio de entrega
Puesta en sitio de entrega.</t>
  </si>
  <si>
    <t xml:space="preserve">Micrófonos manos libres </t>
  </si>
  <si>
    <t xml:space="preserve">CONEXIÓN BLUETOOTH: 
​Conexión Dual: Combínalo con uno o dos dispositivos al mismo tiempo.
​Alcance: Hasta 10 metros.
​MANOS LIBRES: con micrófono HD incorporado. 
​COMPATIBILIDAD: Funciona con sistemas operativos Android e iOS. Diseñado para teléfonos móviles, ordenadores portátiles, Mac, tabletas y otros dispositivos con Bluetooth.
​​Batería de larga duración: Incluye un cable micro USB para la recarga. Una sola carga proporciona hasta 13 horas de uso continuo.
​​Voltaje: 5 V.
​Rendimiento de Batería:
​Reproducción de música: 13 horas (volumen medio).
Puesta en sitio de entrega.
</t>
  </si>
  <si>
    <t xml:space="preserve">Chaquetas rompe vientos con logo diseño y estampado </t>
  </si>
  <si>
    <t>Vela para Danza Folclórica</t>
  </si>
  <si>
    <t>Vela de parafina sólida tipo ciro o velón delgado, dimensiones:Longitud: Entre 25 cm y 30 cm. Diámetro: Entre 1.8 cm y 2.2 cm (Grosor estándar para un agarre cómodo en la mano del bailarín). Colores surtidos 
Puesta en sitio de entrega.</t>
  </si>
  <si>
    <t>Cuenco Tibetano</t>
  </si>
  <si>
    <t>Cuenco Tibetano, Material: Aleación de metales (mínimo 5 a 7 metales) de alta calidad.
Dimensiones: Diámetro de 12 cm a 15 cm incluye Accesorios: Baqueta/Mazo: Madera de alta densidad con un extremo recubierto en gamuza o cuero para producción de sonidos graves y sostenidos. Color bronce antiguo o dorado mate, libre de grietas o porosidades que afecten la resonancia.
Puesta en sitio de entrega.</t>
  </si>
  <si>
    <t xml:space="preserve">Diploma </t>
  </si>
  <si>
    <t>Diplomas en papel opalina, tamaña carta, impresión laser, full color, para los participantes del proceso, con los logos de la alcaldia local de ciudad bolivar, donde incluye el nombre del participante y una frase de participacion en dicho proceso.</t>
  </si>
  <si>
    <t xml:space="preserve"> DOTACIONES Y ESCOLARES S.A.S.
805,014,520 - 1</t>
  </si>
  <si>
    <t>BIEJ DEPORTES SAS
NIT: 900.291,928</t>
  </si>
  <si>
    <t>AYUDAS PARA TODOS 
NIT. 900454275</t>
  </si>
  <si>
    <t>DECATHLON
NIT. 900868271-1</t>
  </si>
  <si>
    <t>P&amp;P MARCA LA DIFERENCIA
NIT. 901784716</t>
  </si>
  <si>
    <t>TELEMARKETER BPO &amp; LOGISTICS SAS
NIT. 901012708-6</t>
  </si>
  <si>
    <t>CASA OLIMPICA SPORT
NI. CASA OLIMPICA SPORT</t>
  </si>
  <si>
    <t>COMERCIALIZADORA EXCEL SPORT S.A.S</t>
  </si>
  <si>
    <t>EURO BIKES S.A.S.
NIT. 900346454</t>
  </si>
  <si>
    <t>ORLAVE
NIT 8909422172</t>
  </si>
  <si>
    <t xml:space="preserve">TIENDA MARCIAL COLOMBIA
NIT. 901726064-1. </t>
  </si>
  <si>
    <t xml:space="preserve">SPORT CLUB
NIT. 79,359,129-0 </t>
  </si>
  <si>
    <t xml:space="preserve"> BLEJ DEPORTES SAS
 900291928</t>
  </si>
  <si>
    <t xml:space="preserve">DA FITNESS S.A.S
NIT 9015957768 </t>
  </si>
  <si>
    <t xml:space="preserve">VILLA DEPORTIVA COLOMBIA SAS   
    NIT. 9 0 1 3 5 2 9 0 2-7 
</t>
  </si>
  <si>
    <t>GLOBAL FITNESS SAS
NIT. 901.949.061-9</t>
  </si>
  <si>
    <t xml:space="preserve">BUSTAMANTE DEPORTES 
860.500.592-4
</t>
  </si>
  <si>
    <t xml:space="preserve"> GRAN COLOMBIA BETS
NIT. 1030558765-1
</t>
  </si>
  <si>
    <t xml:space="preserve">DICIPLINA DEPORTIVA </t>
  </si>
  <si>
    <t xml:space="preserve">VALOR UNITARIO INCLUIDO IVA
</t>
  </si>
  <si>
    <t>VALOR UNITARIO ANTES DE IVA</t>
  </si>
  <si>
    <t>IVA</t>
  </si>
  <si>
    <t>VALOR TOTAL  (IVA INCLUIDO)</t>
  </si>
  <si>
    <t xml:space="preserve">FUTBOL </t>
  </si>
  <si>
    <t xml:space="preserve">Conos </t>
  </si>
  <si>
    <t>Bastones</t>
  </si>
  <si>
    <t>Aros</t>
  </si>
  <si>
    <t>Aro Ula Ula Plano 60 Cm. En PVC. Diámetro: 60 cm. Construcción cerrada.</t>
  </si>
  <si>
    <t>Paracaidas</t>
  </si>
  <si>
    <t>Paracaidas de Resistencia para entrenamiento de Fuerza. Tela de cobertura gruesa y de alta densidad, resistente a la humedad, la fricción y el desgarro; costura fina, juntas de costura lisas, cabezal inalámbrico, Medidas de la tela 145cm X 145cm. Medidas de la correa central 130 cm ajustable. Color negro con plateado, con logos institucionales.</t>
  </si>
  <si>
    <t xml:space="preserve">FUTBOL SALA </t>
  </si>
  <si>
    <t xml:space="preserve">ESCUELA POLIMOTOR PARA PERSONAS CONDISCAPACIDAD </t>
  </si>
  <si>
    <t xml:space="preserve">Balon de baloncesto para personas con discapacidad </t>
  </si>
  <si>
    <t>Balón de baloncesto tamaño 7, que mide 9,5″ de diámetro. Dos grandes campanas de metal dentro de la bola hacen ruido cuando está en movimiento. Hecho de caucho con una vejiga de caucho sintético enrollada en nailon.</t>
  </si>
  <si>
    <t>Balón sonoro (Futbol sala)</t>
  </si>
  <si>
    <r>
      <t>Tiene que tener un peso mínimo de 400 gramos, y máximo de 440 gramos al comienzo del partido y una presión equivalente a 0,4 - 0,6 atmósferas (400- 600 g/cm²) al nivel del mar</t>
    </r>
    <r>
      <rPr>
        <sz val="11"/>
        <color rgb="FF1F1F1F"/>
        <rFont val="Garamond"/>
        <family val="1"/>
      </rPr>
      <t>.</t>
    </r>
  </si>
  <si>
    <t xml:space="preserve">Balones  de pilates </t>
  </si>
  <si>
    <t>Balón elastómero suave y resistente de gran diámetro (35-85 cm) relleno de aire.</t>
  </si>
  <si>
    <t xml:space="preserve">Raquetas de tenis (iniciación) </t>
  </si>
  <si>
    <t xml:space="preserve">Peso: Entre 250 y 280 gramos, Tamaño de la cabeza: Entre 660 y 742 cm², La longitud estándar de 27 pulgadas (68.6 cm) es adecuada para principiantes, Un patrón de encordado más abierto (16x19) ofrece más potencia y efectos, mientras que uno más cerrado (16x18) brinda más control, Las raquetas de iniciación suelen estar fabricadas con materiales compuestos como grafito o aluminio, que ofrecen un buen equilibrio entre ligereza y resistencia, Es importante elegir el tamaño de grip adecuado para la mano, ya que un grip demasiado grande o pequeño dificulta el agarre y el control de la raqueta. </t>
  </si>
  <si>
    <t>Sudaderas</t>
  </si>
  <si>
    <t xml:space="preserve">ESCUELA POLIMOTOR CONVENCIONAL de 4 a 6 años   </t>
  </si>
  <si>
    <t xml:space="preserve">Escaleras de coordinación </t>
  </si>
  <si>
    <t xml:space="preserve">BALONCESTO </t>
  </si>
  <si>
    <t>Paletas de pateo</t>
  </si>
  <si>
    <t>Paletas de pateo. Paletas de velocidad, para pateo dobles en cuero para pateo de precisión, peso de 0,340 kg, dimensiones de 39 cm x 19 cm x 5cm, color rojo, azul y negro.</t>
  </si>
  <si>
    <t>Colchoneta</t>
  </si>
  <si>
    <t>Colchoneta gruesa, de material goma impermeable, con medidas de: largo 180cm X 50cm X 2.5 cm, antideslizante, color negro, relleno en espuma de Polietileno excelente densidad.</t>
  </si>
  <si>
    <t>Cascos deporte de contacto</t>
  </si>
  <si>
    <t>Cascos para competencia. Protector de cabeza color rojo, azul o blanco con logos institucionales, material fine PU + relleno de espuma. Tallas Surtidas</t>
  </si>
  <si>
    <t>Paos pequeños</t>
  </si>
  <si>
    <t>Paos pequeños. En cuero sintético, con medidas de 20 cm Ancho X 41 cm Largo X 10 cm Alto, costuras reforzadas, ajustable en velcro, bloque de cojin en alta densidad. Logos institucionales según el manual de imagen institucional.</t>
  </si>
  <si>
    <t>Protectores pecho</t>
  </si>
  <si>
    <t>Protector de pecho o pechera reversible con logos institucionales, en diferentes tallas, composición en 50% poliuretano 30% espuma densa, 20% piel sintética, peso de 960 gramos. Diseño según manual de imagen institucional.</t>
  </si>
  <si>
    <t xml:space="preserve">PATINAJE </t>
  </si>
  <si>
    <t xml:space="preserve">Uniformes de patinaje </t>
  </si>
  <si>
    <t>Uniformes para beneficiarios patinaje totalmente en lycra poliéster, de alta calidad con colores y logos institucionales. Par de medias para patinaje. Incluye diseño y producción. Diseño según manual de imagen institucional.</t>
  </si>
  <si>
    <t>Patines semi profesionales.</t>
  </si>
  <si>
    <t>Patines semi profesionales. (bota en material de alta durabilidad y resistencia, llanta silicona 76mm - 100 mm(según edad) chasis aluminio, rodamiento abec 1, patin ajustable y talla segun la necesidad de la ejecucion (estos elementos serán entregados en la segunda o tercera  sesión de la escuela)</t>
  </si>
  <si>
    <t xml:space="preserve">Cascos patinaje </t>
  </si>
  <si>
    <t>Cascos de protección: pasta de   policarbonato con politileno expandido (Icopor), sistema de ajuste graduable adicional al sistema de correas</t>
  </si>
  <si>
    <t xml:space="preserve">Kit de proteccion </t>
  </si>
  <si>
    <t xml:space="preserve">Tablas deslizantes de fundamentacion </t>
  </si>
  <si>
    <t xml:space="preserve">BADMINTON </t>
  </si>
  <si>
    <t xml:space="preserve">Raquetas </t>
  </si>
  <si>
    <t xml:space="preserve">Tubos </t>
  </si>
  <si>
    <t>tubos de volantes de bádminton de calidad están hechos de materiales de alta calidad, como plumas de ganso o nailon de alta calidad, y ofrecen un buen rendimiento en la pista. Cada tubo contiene 12 volantes de badminton.</t>
  </si>
  <si>
    <t>Mallas, postes y base</t>
  </si>
  <si>
    <t xml:space="preserve">Cinta -Rollo </t>
  </si>
  <si>
    <t>La cinta para marcar pistas de badminton tiene un tamaño oficial según la BWF, con rollos que midan 126 metros de largo y 40 mm de ancho, disponible en varios colores como blanco y amarillo. Esta cinta permite marcar más de un campo con un solo rollo.</t>
  </si>
  <si>
    <t xml:space="preserve">VOLEIBOL </t>
  </si>
  <si>
    <t>ELEMENTOS ANTROPOMEDICOS</t>
  </si>
  <si>
    <t>Dinamometro Profesional Digital Medidor Fuerza Mano Medico</t>
  </si>
  <si>
    <t>Capacidad de medición de 0 a 265 lbs (120 kg) con una división mínima de 0,2 lbs (0,1 kg), gracias a su sensor de alta precisión. Obtenga lecturas exactas de fuerza de agarre en tiempo real. Pantalla clara en el mango y asas ajustables para adaptarse a diferentes tamaños de manos. Su diseño ligero lo hace cómodo y mucho más fácil de usar que los modelos manuales tradicionales. Fabricado con materiales de alta calidad que garantizan su durabilidad, ideal tanto para entrenamientos de fuerza como para evaluaciones clínicas.</t>
  </si>
  <si>
    <t>Tallimetro Con Base</t>
  </si>
  <si>
    <t>Este estadiometro portátil presenta una construcción robusta y duradera, lo que garantiza su resistencia y precisión en el uso diario.
Está fabricado con materiales de alta calidad que aseguran una medición precisa y confiable de la estatura de los pacientes.
Este estadiometro se puede desmontar fácilmente y transportar en un estuche, Especificaciones:
Rango de medición de  20 – 210 cm. División de 5 mm.
Características físicas:
Dimensiones:420 x 320 x 2150 mm Peso 2.6 kg.</t>
  </si>
  <si>
    <t>Cínta Métrica Corporal Retráctil</t>
  </si>
  <si>
    <t>Características del Producto
Rango de medición: 0 a 150 cm.
Sistema retráctil con botón central para mayor precisión.
Incluye ranura de bloqueo para medición exacta.
Elaborado en plástico ABS de alta calidad.
Medición en milímetros para mayor detalle.
Tamaño compacto: 9 cm x 5 cm x 2 cm.
Peso ligero: 40 g.
Modo de uso sencillo:
Rodea la zona a medir y ajusta la cinta en la ranura circular.
Presiona el botón central para obtener la medida precisa.</t>
  </si>
  <si>
    <t>Báscula Inteligente Tanita Ironman D o equivalente /precisión - Blanca</t>
  </si>
  <si>
    <t>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t>
  </si>
  <si>
    <t>BOXEO</t>
  </si>
  <si>
    <t>Cabezal de Boxeo (Unisex)</t>
  </si>
  <si>
    <t>Proteccion de acolchado de espuma en capas.
Corona superior con tirantes cruzados  y almohadilla de corona trasera separada.
Sistema de cerramiento de cabeza de velcro bidireccional.
Almohadillas elegantes para las mejillas y forro interior suave al tacto.
Correas para las orejas cruzadas integradas.
Montonera integral acolchada integrada.
Talla: 6 (s) 14 (m) 20 (l)</t>
  </si>
  <si>
    <t>Saco de Boxeo 80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</si>
  <si>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 x 40″.</t>
  </si>
  <si>
    <t>Saco de Boxeo 100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</si>
  <si>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13″x 46″.</t>
  </si>
  <si>
    <t>Guantes de Boxeo de 10 Onzas (Unisex)</t>
  </si>
  <si>
    <t>Con una correa de gancho y bucle de longitud completa en forma de cuña para ajuste seguro y una seccion de espuma integrada en la palma para mayor proteccion.
La combinacion de espuma de triple capa proporciona una absorcion de impactos
Con tecnologia para ventilacion y control de la temperatura, para mantener las manos frescas y secas.</t>
  </si>
  <si>
    <t>Guantes de Boxeo de 12 Onzas (Unisex)</t>
  </si>
  <si>
    <t>Guantes de Boxeo de 14 Onzas (Unisex)</t>
  </si>
  <si>
    <t>Guantes de Boxeo de 16 Onzas (Unisex)</t>
  </si>
  <si>
    <t>Vendas para boxeo (2m)</t>
  </si>
  <si>
    <t>Tejido elástico para protección de nudillos y muñecas. Cierre en velcro.</t>
  </si>
  <si>
    <t>Pads para golpeó (manoplas para golpeó y almuadillas para golpeo)</t>
  </si>
  <si>
    <t>Con Xtra Fresh que ayuda a controlar la humedad
Con cámara de aire que proporciona una superficie de impacto suave
Relleno con múltiples capas que amortiguan el golpe
Dedos cubiertos para evitar piquetes de ojos</t>
  </si>
  <si>
    <t>Paletas Velocidad  (pares)</t>
  </si>
  <si>
    <t>Con  Efectos de sonido contra golpe, blanco fácil de agarrar, seguro y flexible. 
Paleta doble ala de entrenamiento
Tamaño: longitud 43 cm de largo - ancho 21 cm - Espesor de la hoja 6 cm</t>
  </si>
  <si>
    <t>Kit mancuernas de 5 a 25 kg</t>
  </si>
  <si>
    <t>5 pares de mancuernas de 5 libras 
5 pares de Mancuernas de 6 libras 
5 pares de mancuernas de 10 libras 
Mancuerna en Neopreno
diseño exclusivo en forma de estrella</t>
  </si>
  <si>
    <t>Sets discos para pesas de 5 a 25 kg</t>
  </si>
  <si>
    <t>1 barra en acero cromado con agarre antideslizante (dividida en dos) de 5 kg
2 barras de mancuerna de 2.5 kg cada una.
4 discos de 5 kg
6 discos de 2.5 kg
4 discos de 1.25 kg
6 seguros de rosca.
Estuche con ruedas para facilitar el transporte del set y su almacenamiento.</t>
  </si>
  <si>
    <t xml:space="preserve">Rueda para abdominales </t>
  </si>
  <si>
    <t>Consiste en una rueda central (o dos juntas para mayor estabilidad) con manilares a los lados.
Suelen tener un diámetro aproximado de 17-18 cm.</t>
  </si>
  <si>
    <t>Kit pesas rusas de 5 a 15 Kg</t>
  </si>
  <si>
    <t xml:space="preserve">5 pesas rusas de 5kg
5  pesas rusas de 10kg 
5 pesas rusas de 15kg </t>
  </si>
  <si>
    <t xml:space="preserve">Sets completo bandas elásticas de resistencia </t>
  </si>
  <si>
    <t>sets completo de bandas elásticas de resistencia para entrenamiento físico, que cumplan con las siguientes caracteristicas ; 
60x5x0,04 cm / 5 libras.
60x5x0,06 cm / 15 libras.
60x5x0,08 cm / 20 libras.
 60x5x0,1 cm / 30 libras.
 60x5x0,12 cm / 40 libras.</t>
  </si>
  <si>
    <t xml:space="preserve">objetivo de boxeo para pared </t>
  </si>
  <si>
    <t>Objetivo de boxeo para instalación en pared, color negro, con dimensiones descritas abajo. .
El producto debe contar con relleno de alta densidad para absorción de impacto y material externo resistente al uso intensivo.
Medidas:
Alto: 60 cm
Ancho: 25 cm
Largo: 35 cm.</t>
  </si>
  <si>
    <t xml:space="preserve">protector genital </t>
  </si>
  <si>
    <t>Protector genital anatómico para hombres y mujeres, material plástico y acolchado, tallas S M L,  diseño ergonómico para deporte de contacto.</t>
  </si>
  <si>
    <t xml:space="preserve">botiquín de primeros auxilios </t>
  </si>
  <si>
    <t>Botiquín de pared y portátil  con gasas estériles, vendas, solución antiséptica, guantes desechables, tijeras, cinta adhesiva médica, conforme a normativa SST vigente.</t>
  </si>
  <si>
    <t>tatami (laminas 2.5 m C/U )</t>
  </si>
  <si>
    <t>Dimensiones	
laminas de 1 M x 1 M  x 2.5 cm
Absorbe altos impactos Alta resistencia al desgaste No se deforma No se descompone Evita la proliferación de gérmenes Antiestático Antideslizante Antifatiga</t>
  </si>
  <si>
    <t xml:space="preserve"> GRUPO EMPRESARIAL MADEX S.A.S
NIT:  900.552.715-0</t>
  </si>
  <si>
    <t>PLASTICOS CREATIVOS S.A.S
NIT: 811004496-1</t>
  </si>
  <si>
    <t>Blej Deportes sas
NIT:   900291928</t>
  </si>
  <si>
    <t>DIDACTICOS CELMAX SAS
NIT:  800045606-9</t>
  </si>
  <si>
    <t>Jungla Toys.sas
NIT: 902022877-9</t>
  </si>
  <si>
    <t xml:space="preserve">FUNDACION SOCIAL HORMIGUITA  
NIT: 901.900.163-2 </t>
  </si>
  <si>
    <t>FUNDACIÓN GUERREROS VIDA
NIT: :900384469</t>
  </si>
  <si>
    <t xml:space="preserve">DISTRIYERRI SAS
NIT:901539418 </t>
  </si>
  <si>
    <t xml:space="preserve">CANTIDAD </t>
  </si>
  <si>
    <t>VALOR UNITARIO (IVA INCLUIDO)</t>
  </si>
  <si>
    <t>VALOR IVA</t>
  </si>
  <si>
    <t>VALOR TOTAL IVA INCLUIDO</t>
  </si>
  <si>
    <t>Balón de futbol</t>
  </si>
  <si>
    <r>
      <t xml:space="preserve">Balón de fútbol
</t>
    </r>
    <r>
      <rPr>
        <b/>
        <sz val="11"/>
        <color theme="1"/>
        <rFont val="Garamond"/>
        <family val="1"/>
      </rPr>
      <t>Características técnicas:</t>
    </r>
    <r>
      <rPr>
        <sz val="11"/>
        <color theme="1"/>
        <rFont val="Garamond"/>
        <family val="1"/>
      </rPr>
      <t xml:space="preserve">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t>
    </r>
    <r>
      <rPr>
        <b/>
        <sz val="11"/>
        <color theme="1"/>
        <rFont val="Garamond"/>
        <family val="1"/>
      </rPr>
      <t>Especificaciones físicas:</t>
    </r>
    <r>
      <rPr>
        <sz val="11"/>
        <color theme="1"/>
        <rFont val="Garamond"/>
        <family val="1"/>
      </rPr>
      <t xml:space="preserve">
Peso: entre 0,5 kg y 1 kg.
Dimensiones aproximadas: 21 x 21 x 21 cm.
</t>
    </r>
    <r>
      <rPr>
        <b/>
        <sz val="11"/>
        <color theme="1"/>
        <rFont val="Garamond"/>
        <family val="1"/>
      </rPr>
      <t xml:space="preserve">Certificación:
</t>
    </r>
    <r>
      <rPr>
        <sz val="11"/>
        <color theme="1"/>
        <rFont val="Garamond"/>
        <family val="1"/>
      </rPr>
      <t>Aprobado y/o certificado bajo normas oficiales vigentes.
Certificación por federación nacional y/o internacional (FCF, DIMAYOR, FIFA).
Evidencia mediante sello visible en la superficie del balón.</t>
    </r>
  </si>
  <si>
    <t>Balón de futbol de salón o futsala</t>
  </si>
  <si>
    <r>
      <t xml:space="preserve">Balón de fútbol de salón (Futsala)
</t>
    </r>
    <r>
      <rPr>
        <b/>
        <sz val="11"/>
        <color theme="1"/>
        <rFont val="Garamond"/>
        <family val="1"/>
      </rPr>
      <t>Características técnicas:</t>
    </r>
    <r>
      <rPr>
        <sz val="11"/>
        <color theme="1"/>
        <rFont val="Garamond"/>
        <family val="1"/>
      </rPr>
      <t xml:space="preserve">
Cubierta en material sintético laminado y/o cosido.
Impermeable y con estabilidad de peso para uso interior y exterior en diferentes superficies.
Alta resistencia al desgaste.
</t>
    </r>
    <r>
      <rPr>
        <b/>
        <sz val="11"/>
        <color theme="1"/>
        <rFont val="Garamond"/>
        <family val="1"/>
      </rPr>
      <t xml:space="preserve">Especificaciones físicas: 
</t>
    </r>
    <r>
      <rPr>
        <sz val="11"/>
        <color theme="1"/>
        <rFont val="Garamond"/>
        <family val="1"/>
      </rPr>
      <t xml:space="preserve">Peso: entre 410 y 450 gramos.
Circunferencia: entre 58 y 62 cm.
</t>
    </r>
    <r>
      <rPr>
        <b/>
        <sz val="11"/>
        <color theme="1"/>
        <rFont val="Garamond"/>
        <family val="1"/>
      </rPr>
      <t>Certificación:</t>
    </r>
    <r>
      <rPr>
        <sz val="11"/>
        <color theme="1"/>
        <rFont val="Garamond"/>
        <family val="1"/>
      </rPr>
      <t xml:space="preserve">
Aprobado y/o certificado bajo normas oficiales vigentes.
Certificación por federación nacional y/o internacional (FCF, DIMAYOR, FIFA).
Evidencia mediante sello visible en la superficie del balón</t>
    </r>
  </si>
  <si>
    <t>Balón baloncesto No.5</t>
  </si>
  <si>
    <r>
      <t xml:space="preserve">Balón de baloncesto No. 5
</t>
    </r>
    <r>
      <rPr>
        <b/>
        <sz val="11"/>
        <color theme="1"/>
        <rFont val="Garamond"/>
        <family val="1"/>
      </rPr>
      <t>Características técnicas:</t>
    </r>
    <r>
      <rPr>
        <sz val="11"/>
        <color theme="1"/>
        <rFont val="Garamond"/>
        <family val="1"/>
      </rPr>
      <t xml:space="preserve">
Cubierta en caucho natural vulcanizado.
Impermeable, resistente al desgaste, apto para uso en exteriores (asfalto) e interiores.
Superficie antideslizante con excelente agarre.
Rebote controlado entre 120 y 140 cm.
</t>
    </r>
    <r>
      <rPr>
        <b/>
        <sz val="11"/>
        <color theme="1"/>
        <rFont val="Garamond"/>
        <family val="1"/>
      </rPr>
      <t xml:space="preserve">Especificaciones físicas:
</t>
    </r>
    <r>
      <rPr>
        <sz val="11"/>
        <color theme="1"/>
        <rFont val="Garamond"/>
        <family val="1"/>
      </rPr>
      <t xml:space="preserve">Peso: entre 470 y 510 gramos.
Circunferencia: entre 69 y 70 cm.
</t>
    </r>
    <r>
      <rPr>
        <b/>
        <sz val="11"/>
        <color theme="1"/>
        <rFont val="Garamond"/>
        <family val="1"/>
      </rPr>
      <t>Certificación:</t>
    </r>
    <r>
      <rPr>
        <sz val="11"/>
        <color theme="1"/>
        <rFont val="Garamond"/>
        <family val="1"/>
      </rPr>
      <t xml:space="preserve">
Aprobado y/o certificado bajo normas oficiales vigentes.
Certificación por federación nacional y/o internacional (LPB, FCB, FIBA).
Evidencia mediante sello visible en la superficie del balón</t>
    </r>
  </si>
  <si>
    <t>Balón de Voleibol</t>
  </si>
  <si>
    <r>
      <t xml:space="preserve">Balón de voleibol
</t>
    </r>
    <r>
      <rPr>
        <b/>
        <sz val="11"/>
        <color theme="1"/>
        <rFont val="Garamond"/>
        <family val="1"/>
      </rPr>
      <t xml:space="preserve">Características técnicas:
</t>
    </r>
    <r>
      <rPr>
        <sz val="11"/>
        <color theme="1"/>
        <rFont val="Garamond"/>
        <family val="1"/>
      </rPr>
      <t xml:space="preserve">Cubierta en material tipo composite soft touch, sintético laminado y/o cosido.
Impermeable y resistente al desgaste.
Apto para uso exterior (asfalto) e interior en diferentes superficies de juego.
</t>
    </r>
    <r>
      <rPr>
        <b/>
        <sz val="11"/>
        <color theme="1"/>
        <rFont val="Garamond"/>
        <family val="1"/>
      </rPr>
      <t>Especificaciones físicas:</t>
    </r>
    <r>
      <rPr>
        <sz val="11"/>
        <color theme="1"/>
        <rFont val="Garamond"/>
        <family val="1"/>
      </rPr>
      <t xml:space="preserve">
Peso: entre 260 y 280 gramos.
Circunferencia: entre 65 y 67 cm.
Rebote mínimo: 120 cm.
</t>
    </r>
    <r>
      <rPr>
        <b/>
        <sz val="11"/>
        <color theme="1"/>
        <rFont val="Garamond"/>
        <family val="1"/>
      </rPr>
      <t>Certificación:</t>
    </r>
    <r>
      <rPr>
        <sz val="11"/>
        <color theme="1"/>
        <rFont val="Garamond"/>
        <family val="1"/>
      </rPr>
      <t xml:space="preserve">
Aprobado y/o certificado bajo normas oficiales vigentes.
Certificación por federación nacional y/o internacional (FEDEVOLEI, FIVB).
videncia mediante sello visible en la superficie del balón.</t>
    </r>
  </si>
  <si>
    <t>Petos deportivos talla S, M y L</t>
  </si>
  <si>
    <r>
      <t xml:space="preserve">Petos deportivos tallas S, M y L
</t>
    </r>
    <r>
      <rPr>
        <b/>
        <sz val="11"/>
        <color theme="1"/>
        <rFont val="Garamond"/>
        <family val="1"/>
      </rPr>
      <t>Características técnicas:</t>
    </r>
    <r>
      <rPr>
        <sz val="11"/>
        <color theme="1"/>
        <rFont val="Garamond"/>
        <family val="1"/>
      </rPr>
      <t xml:space="preserve">
Elaborados en tela tipo malla, Novacron, Austin o material equivalente.
Tela transpirable, resistente y de fácil lavado y secado.
Conserva color y forma con el uso y el paso del tiempo.
Numeración estampada a una sola tinta.
Colores variados.
</t>
    </r>
    <r>
      <rPr>
        <b/>
        <sz val="11"/>
        <color theme="1"/>
        <rFont val="Garamond"/>
        <family val="1"/>
      </rPr>
      <t>Tallas:</t>
    </r>
    <r>
      <rPr>
        <sz val="11"/>
        <color theme="1"/>
        <rFont val="Garamond"/>
        <family val="1"/>
      </rPr>
      <t xml:space="preserve">
S, M y L.</t>
    </r>
  </si>
  <si>
    <t>Platillo de señalización</t>
  </si>
  <si>
    <r>
      <t xml:space="preserve">Platillo de señalización para actividades deportivas, recreativas y pedagógicas apilable para fácil almacenamiento.
</t>
    </r>
    <r>
      <rPr>
        <b/>
        <sz val="11"/>
        <color theme="1"/>
        <rFont val="Garamond"/>
        <family val="1"/>
      </rPr>
      <t>Caracteristicas técnicas:</t>
    </r>
    <r>
      <rPr>
        <sz val="11"/>
        <color theme="1"/>
        <rFont val="Garamond"/>
        <family val="1"/>
      </rPr>
      <t xml:space="preserve">
Material: PVC o silicona flexible de alta resistencia.
Colores variados.
</t>
    </r>
    <r>
      <rPr>
        <b/>
        <sz val="11"/>
        <color theme="1"/>
        <rFont val="Garamond"/>
        <family val="1"/>
      </rPr>
      <t xml:space="preserve">Dimensiones:
</t>
    </r>
    <r>
      <rPr>
        <sz val="11"/>
        <color theme="1"/>
        <rFont val="Garamond"/>
        <family val="1"/>
      </rPr>
      <t xml:space="preserve">Diámetro aproximado: 20 cm.
Altura aproximada: 5 cm.
Resistentes a exposición solar y humedad.
Material flexible que evita deformaciones y reduce riesgo de lesiones.
</t>
    </r>
  </si>
  <si>
    <t>Kit</t>
  </si>
  <si>
    <t>Tula para balones</t>
  </si>
  <si>
    <r>
      <t xml:space="preserve">Tula para almacenamiento y transporte de balones deportivos tipo morral.
</t>
    </r>
    <r>
      <rPr>
        <b/>
        <sz val="11"/>
        <color theme="1"/>
        <rFont val="Garamond"/>
        <family val="1"/>
      </rPr>
      <t>Características técnicas:</t>
    </r>
    <r>
      <rPr>
        <sz val="11"/>
        <color theme="1"/>
        <rFont val="Garamond"/>
        <family val="1"/>
      </rPr>
      <t xml:space="preserve">
Capacidad mínima para 10 balones inflados (fútbol, baloncesto o voleibol).
Elaborada en lona o material sintético de alta resistencia.
Cargaderas tipo morral en reata resistente.
Refuerzo en la parte inferior para mayor durabilidad.
Costuras reforzadas con hilo de alta resistencia.
Ojales metálicos con sistema de cierre mediante pin metálico.
Incluye candado tipo guaya de seguridad con tres llaves.
Colores oscuros.
Capacidad de carga:
Soporta peso mínimo de 74 kg.
</t>
    </r>
    <r>
      <rPr>
        <b/>
        <sz val="11"/>
        <color theme="1"/>
        <rFont val="Garamond"/>
        <family val="1"/>
      </rPr>
      <t>Dimensiones aproximadas:</t>
    </r>
    <r>
      <rPr>
        <sz val="11"/>
        <color theme="1"/>
        <rFont val="Garamond"/>
        <family val="1"/>
      </rPr>
      <t xml:space="preserve">
Altura: 110 cm.
Diámetro: 65 cm.
</t>
    </r>
    <r>
      <rPr>
        <b/>
        <sz val="11"/>
        <color theme="1"/>
        <rFont val="Garamond"/>
        <family val="1"/>
      </rPr>
      <t>Seguridad</t>
    </r>
    <r>
      <rPr>
        <sz val="11"/>
        <color theme="1"/>
        <rFont val="Garamond"/>
        <family val="1"/>
      </rPr>
      <t>:
Sistema de cierre que permite asegurar la tula durante el almacenamiento.</t>
    </r>
  </si>
  <si>
    <t xml:space="preserve">Lazo salto de 3 metros </t>
  </si>
  <si>
    <r>
      <t xml:space="preserve">Lazo para salto utilizado en actividades deportivas, recreativas y pedagógicas.
</t>
    </r>
    <r>
      <rPr>
        <b/>
        <sz val="11"/>
        <color theme="1"/>
        <rFont val="Garamond"/>
        <family val="1"/>
      </rPr>
      <t xml:space="preserve">Características técnicas:
</t>
    </r>
    <r>
      <rPr>
        <sz val="11"/>
        <color theme="1"/>
        <rFont val="Garamond"/>
        <family val="1"/>
      </rPr>
      <t xml:space="preserve">Longitud aproximada: 3 metros.
Diámetro aproximado del lazo: ½ pulgada.
Elaborado en nylon, cabuya, algodón o material equivalente de alta resistencia.
Mangos ergonómicos fabricados en plástico resistente.
</t>
    </r>
  </si>
  <si>
    <t xml:space="preserve">Caja </t>
  </si>
  <si>
    <t>NOSTOS COMPAÑY S.A.S
NIT: 901864566-2</t>
  </si>
  <si>
    <t>COMERCIALIZADORA TC SAS 
NIT: 900992965</t>
  </si>
  <si>
    <t>HARDWARE ASESORIAS SOFTWARE LTDA
NIT: 804.000.673-3</t>
  </si>
  <si>
    <t>B&amp;S
NIT:900.427.491-1</t>
  </si>
  <si>
    <t>JKD ELECTRICOS
NIT:901646421-9</t>
  </si>
  <si>
    <t>Televisor de 55 pulgadas</t>
  </si>
  <si>
    <r>
      <t xml:space="preserve">Televisor LED tipo Smart de mínimo 55 pulgadas, para uso institucional y pedagógico.
</t>
    </r>
    <r>
      <rPr>
        <b/>
        <sz val="11"/>
        <color theme="1"/>
        <rFont val="Garamond"/>
        <family val="1"/>
      </rPr>
      <t xml:space="preserve">DIRIGIRSE AL ANEXO TÉCNICO PARA VERIFICAR LA DESCRIPCIÓN DETALLADA </t>
    </r>
    <r>
      <rPr>
        <sz val="11"/>
        <color theme="1"/>
        <rFont val="Garamond"/>
        <family val="1"/>
      </rPr>
      <t xml:space="preserve">
</t>
    </r>
    <r>
      <rPr>
        <b/>
        <sz val="11"/>
        <color theme="1"/>
        <rFont val="Garamond"/>
        <family val="1"/>
      </rPr>
      <t>Características técnicas:</t>
    </r>
    <r>
      <rPr>
        <sz val="11"/>
        <color theme="1"/>
        <rFont val="Garamond"/>
        <family val="1"/>
      </rPr>
      <t xml:space="preserve">
Tamaño mínimo: 55”.
Resolución mínima: 4K UHD (3840 x 2160 píxeles).
Conectividad WiFi incorporada.
Conexión Bluetooth.
Filtro de ruido digital.
Dolby Digital integrado.
Mínimo 2 altavoces de 1 vía.
Potencia mínima de sonido: 10W x 2 RMS.
</t>
    </r>
    <r>
      <rPr>
        <b/>
        <sz val="11"/>
        <color theme="1"/>
        <rFont val="Garamond"/>
        <family val="1"/>
      </rPr>
      <t>Mínimo:</t>
    </r>
    <r>
      <rPr>
        <sz val="11"/>
        <color theme="1"/>
        <rFont val="Garamond"/>
        <family val="1"/>
      </rPr>
      <t xml:space="preserve">
2 puertos HDMI.
1 puerto USB.
</t>
    </r>
    <r>
      <rPr>
        <b/>
        <sz val="11"/>
        <color theme="1"/>
        <rFont val="Garamond"/>
        <family val="1"/>
      </rPr>
      <t>Conectividad LAN:</t>
    </r>
    <r>
      <rPr>
        <sz val="11"/>
        <color theme="1"/>
        <rFont val="Garamond"/>
        <family val="1"/>
      </rPr>
      <t xml:space="preserve">
LAN inalámbrica integrada.
Puerto LAN por cable (RJ45).
Entrada para PC por HDMI y/o VGA.
Salida de sonido para amplificación externa.
</t>
    </r>
    <r>
      <rPr>
        <b/>
        <sz val="11"/>
        <color theme="1"/>
        <rFont val="Garamond"/>
        <family val="1"/>
      </rPr>
      <t>Accesorios e instalación:</t>
    </r>
    <r>
      <rPr>
        <sz val="11"/>
        <color theme="1"/>
        <rFont val="Garamond"/>
        <family val="1"/>
      </rPr>
      <t xml:space="preserve">
Incluye soporte ecualizable con brazo extensible para montaje en pared.
El soporte debe anclarse con los chazos y fijaciones necesarias según el tipo de pared (ladrillo y/o concreto).
Debe instalarse y entregarse debidamente fijado en el lugar indicado por el funcionario responsable.
Incluye control remoto.
Incluye cable de poder.
La instalación será responsabilidad del contratista. Debe entregarse instalado, encendido y probado. Se debe verificar el correcto funcionamiento del equipo y de todos sus accesorios. Conexión a toma de corriente regulada.
</t>
    </r>
    <r>
      <rPr>
        <b/>
        <sz val="11"/>
        <color theme="1"/>
        <rFont val="Garamond"/>
        <family val="1"/>
      </rPr>
      <t>Garantía:</t>
    </r>
    <r>
      <rPr>
        <sz val="11"/>
        <color theme="1"/>
        <rFont val="Garamond"/>
        <family val="1"/>
      </rPr>
      <t xml:space="preserve">
Garantía mínima de 3 años, incluyendo partes y mano de obra.</t>
    </r>
  </si>
  <si>
    <t>Equipo de cómputo de escritorio corporativo</t>
  </si>
  <si>
    <r>
      <t xml:space="preserve">Equipo de cómputo de escritorio corporativo para uso institucional.
</t>
    </r>
    <r>
      <rPr>
        <b/>
        <sz val="11"/>
        <color theme="1"/>
        <rFont val="Garamond"/>
        <family val="1"/>
      </rPr>
      <t xml:space="preserve">DIRIGIRSE AL ANEXO TÉCNICO PARA VERIFICAR LA DESCRIPCIÓN DETALLADA </t>
    </r>
    <r>
      <rPr>
        <sz val="11"/>
        <color theme="1"/>
        <rFont val="Garamond"/>
        <family val="1"/>
      </rPr>
      <t xml:space="preserve">
</t>
    </r>
    <r>
      <rPr>
        <b/>
        <sz val="11"/>
        <color theme="1"/>
        <rFont val="Garamond"/>
        <family val="1"/>
      </rPr>
      <t xml:space="preserve">Procesador: </t>
    </r>
    <r>
      <rPr>
        <sz val="11"/>
        <color theme="1"/>
        <rFont val="Garamond"/>
        <family val="1"/>
      </rPr>
      <t xml:space="preserve">8 núcleos físicos y 16 subprocesos, referencias mínimas: Intel Core Ultra 7 y/o AMD Ryzen 7 PRO, fecha de lanzamiento no superior a 18 meses respecto a la cotización.
</t>
    </r>
    <r>
      <rPr>
        <b/>
        <sz val="11"/>
        <color theme="1"/>
        <rFont val="Garamond"/>
        <family val="1"/>
      </rPr>
      <t xml:space="preserve">Memoria y almacenamiento: </t>
    </r>
    <r>
      <rPr>
        <sz val="11"/>
        <color theme="1"/>
        <rFont val="Garamond"/>
        <family val="1"/>
      </rPr>
      <t xml:space="preserve">Memoria RAM: 16 GB, disco SSD 1 TB PCIe. 
</t>
    </r>
    <r>
      <rPr>
        <b/>
        <sz val="11"/>
        <color theme="1"/>
        <rFont val="Garamond"/>
        <family val="1"/>
      </rPr>
      <t>CPU y conectividad física:</t>
    </r>
    <r>
      <rPr>
        <sz val="11"/>
        <color theme="1"/>
        <rFont val="Garamond"/>
        <family val="1"/>
      </rPr>
      <t xml:space="preserve"> Puerto para monitor sin uso de convertidores, Puertos para teclado y mouse sin convertidores, minimo 4 puertos USB (al menos 1 tipo C), Los puertos USB deben quedar libres después de conectar teclado y mouse, mínimo 1 puerto de video libre tras conectar el monitor,puerto Ethernet RJ-45 10/100/1000 con compatibilidad nativa IPv4 e IPv6, Conectores de audio 3.5 mm (micrófono y auriculares, independiente o combo), parlante interno mono o estéreo, fuente de poder interna con mínimo 85% de eficiencia al 50% de carga. 
</t>
    </r>
    <r>
      <rPr>
        <b/>
        <sz val="11"/>
        <color theme="1"/>
        <rFont val="Garamond"/>
        <family val="1"/>
      </rPr>
      <t xml:space="preserve">Monitor: </t>
    </r>
    <r>
      <rPr>
        <sz val="11"/>
        <color theme="1"/>
        <rFont val="Garamond"/>
        <family val="1"/>
      </rPr>
      <t xml:space="preserve">21.5” LED IPS, Antirreflejo, Ajuste de inclinación y altura, resolución mínima HD, interfaz que garantice la resolución nativa, CPU y monitor deben ser de la misma marca.
</t>
    </r>
    <r>
      <rPr>
        <b/>
        <sz val="11"/>
        <color theme="1"/>
        <rFont val="Garamond"/>
        <family val="1"/>
      </rPr>
      <t xml:space="preserve">Periféricos: </t>
    </r>
    <r>
      <rPr>
        <sz val="11"/>
        <color theme="1"/>
        <rFont val="Garamond"/>
        <family val="1"/>
      </rPr>
      <t xml:space="preserve">Teclado en español, USB, con teclado numérico y resistente a salpicaduras, mouse USB con sensor óptico, 2 botones y scroll, CPU, monitor, teclado y mouse de la misma marca, guaya de seguridad incluida.
</t>
    </r>
    <r>
      <rPr>
        <b/>
        <sz val="11"/>
        <color theme="1"/>
        <rFont val="Garamond"/>
        <family val="1"/>
      </rPr>
      <t xml:space="preserve">Seguridad: </t>
    </r>
    <r>
      <rPr>
        <sz val="11"/>
        <color theme="1"/>
        <rFont val="Garamond"/>
        <family val="1"/>
      </rPr>
      <t xml:space="preserve">Chip TPM versión 2.0 o superior (discreto o embebido).
</t>
    </r>
    <r>
      <rPr>
        <b/>
        <sz val="11"/>
        <color theme="1"/>
        <rFont val="Garamond"/>
        <family val="1"/>
      </rPr>
      <t xml:space="preserve">Sistema Operativo: </t>
    </r>
    <r>
      <rPr>
        <sz val="11"/>
        <color theme="1"/>
        <rFont val="Garamond"/>
        <family val="1"/>
      </rPr>
      <t xml:space="preserve">Windows 11 Pro instalado
</t>
    </r>
    <r>
      <rPr>
        <b/>
        <sz val="11"/>
        <color theme="1"/>
        <rFont val="Garamond"/>
        <family val="1"/>
      </rPr>
      <t xml:space="preserve">Certificaciones y eficiencia: </t>
    </r>
    <r>
      <rPr>
        <sz val="11"/>
        <color theme="1"/>
        <rFont val="Garamond"/>
        <family val="1"/>
      </rPr>
      <t xml:space="preserve">Tarjeta de red inalámbrica PCI o PCIe 802.11 ax 2x2, certificación EPEAT Gold, energy Star 8.x o superior (CPU y monitor).
Certificación MIL-STD 810H.
</t>
    </r>
    <r>
      <rPr>
        <b/>
        <sz val="11"/>
        <color theme="1"/>
        <rFont val="Garamond"/>
        <family val="1"/>
      </rPr>
      <t xml:space="preserve">Entrega e instalación: </t>
    </r>
    <r>
      <rPr>
        <sz val="11"/>
        <color theme="1"/>
        <rFont val="Garamond"/>
        <family val="1"/>
      </rPr>
      <t xml:space="preserve">Entrega con todos los cables y conectores necesarios,instalación de software propietario de la Entidad Compradora y configuración del equipo,  instalación de la última versión estable de drivers y firmware, marcación institucional con logo SED en CPU y monitor.
</t>
    </r>
    <r>
      <rPr>
        <b/>
        <sz val="11"/>
        <color theme="1"/>
        <rFont val="Garamond"/>
        <family val="1"/>
      </rPr>
      <t xml:space="preserve">Garantía: </t>
    </r>
    <r>
      <rPr>
        <sz val="11"/>
        <color theme="1"/>
        <rFont val="Garamond"/>
        <family val="1"/>
      </rPr>
      <t>Garantía mínima de 3 años.</t>
    </r>
  </si>
  <si>
    <t>Video Beam</t>
  </si>
  <si>
    <r>
      <t xml:space="preserve">Video Beam para uso institucional y auditorios.
</t>
    </r>
    <r>
      <rPr>
        <b/>
        <sz val="11"/>
        <color theme="1"/>
        <rFont val="Garamond"/>
        <family val="1"/>
      </rPr>
      <t>Características técnicas:</t>
    </r>
    <r>
      <rPr>
        <sz val="11"/>
        <color theme="1"/>
        <rFont val="Garamond"/>
        <family val="1"/>
      </rPr>
      <t xml:space="preserve">
Resolución mínima: XGA (1280 x 800) y/o WUXGA (1920 x 1200) o superior.
Brillo mínimo: 4000 lúmenes ANSI.
Vida útil de la fuente de luz: mínimo 15.000 horas.
Relación de contraste mínima: 16000:1.
Zoom óptico y/o digital con control remoto.
Modos de proyección frontal y trasera.
Tecnología DLP y/o 3LCD.
</t>
    </r>
    <r>
      <rPr>
        <b/>
        <sz val="11"/>
        <color theme="1"/>
        <rFont val="Garamond"/>
        <family val="1"/>
      </rPr>
      <t>Conectividad</t>
    </r>
    <r>
      <rPr>
        <sz val="11"/>
        <color theme="1"/>
        <rFont val="Garamond"/>
        <family val="1"/>
      </rPr>
      <t xml:space="preserve"> (sin uso de adaptadores)
Mínimo 2 puertos HDMI.
1 puerto VGA IN y 1 puerto VGA OUT.
1 puerto RJ45.
1 puerto USB funcional.
1 puerto RS-232.
Altavoz integrado mínimo de 10W.
Nota: No se permitirá el uso de adaptadores para cumplir con los puertos solicitados.
</t>
    </r>
    <r>
      <rPr>
        <b/>
        <sz val="11"/>
        <color theme="1"/>
        <rFont val="Garamond"/>
        <family val="1"/>
      </rPr>
      <t xml:space="preserve">Entrega e instalación: </t>
    </r>
    <r>
      <rPr>
        <sz val="11"/>
        <color theme="1"/>
        <rFont val="Garamond"/>
        <family val="1"/>
      </rPr>
      <t xml:space="preserve">Equipo original de fábrica (no se aceptan marquillas superpuestas ni impresiones no originales). Serial y modelo originales del fabricante.Instalación a cargo del contratista. Entrega instalada y probada. Conexión a toma de corriente regulada. Verificación del funcionamiento de todos los accesorios.
</t>
    </r>
    <r>
      <rPr>
        <b/>
        <sz val="11"/>
        <color theme="1"/>
        <rFont val="Garamond"/>
        <family val="1"/>
      </rPr>
      <t>Certificaciones y garantía:</t>
    </r>
    <r>
      <rPr>
        <sz val="11"/>
        <color theme="1"/>
        <rFont val="Garamond"/>
        <family val="1"/>
      </rPr>
      <t xml:space="preserve">
Certificación de cumplimiento estándar ROHS.
Garantía mínima de 2 años, incluyendo soporte técnico y disponibilidad de repuestos.</t>
    </r>
  </si>
  <si>
    <t xml:space="preserve">SECRETARIA DE GOBIERNO                                                                                                                                                                                                                                                                                                                                                                                              ALCALDIA LOCAL DE CUIDAD BOLIVAR </t>
  </si>
  <si>
    <t xml:space="preserve">Estudio de Mercado </t>
  </si>
  <si>
    <t xml:space="preserve">Papelería y Suministros El Escritorio S.A.S.  </t>
  </si>
  <si>
    <t>ARTE IMPRESO SAS</t>
  </si>
  <si>
    <t>ARTE DIGITAL ACI S.A.S</t>
  </si>
  <si>
    <t>PANAMERICANA LEBRERIA Y PAPELERIA S.A.</t>
  </si>
  <si>
    <t xml:space="preserve">COMERCIALIZADORA LA EXITOSA JR SAS </t>
  </si>
  <si>
    <t xml:space="preserve"> PAPELERIA PUERTO REY</t>
  </si>
  <si>
    <t xml:space="preserve">CACHARRERIA MEDELLIN DISTRIBUIDORA </t>
  </si>
  <si>
    <t>COLOR PRINT AGENCIA PUBLICITARIA</t>
  </si>
  <si>
    <t>PANAFARGO PAPELERIA Y TIENDAS DE ARTE</t>
  </si>
  <si>
    <t>ESCOLARES VERSALES S.A.S</t>
  </si>
  <si>
    <t>DISTRIBUIDORA NACIONAL GROUP S.A.S.</t>
  </si>
  <si>
    <t>COMPAÑÍA PAPELERA NACIONAL S.A.S.</t>
  </si>
  <si>
    <t>PAPELERIA Y CACHARRERIA NCA - NORMA CECILIA AGUIRRE MEJÍA</t>
  </si>
  <si>
    <t>COMERCIALIZADORA DISFENIX S.A.S.</t>
  </si>
  <si>
    <t>ERGONOMUS</t>
  </si>
  <si>
    <t>MYVO ARTECMA</t>
  </si>
  <si>
    <t>HOMECENTER</t>
  </si>
  <si>
    <t>LA CALI</t>
  </si>
  <si>
    <t>GARABATOS</t>
  </si>
  <si>
    <t>ECORRECICLAJE UNIVERSAL</t>
  </si>
  <si>
    <t>GABYVENTAS.COM</t>
  </si>
  <si>
    <t>DIGITAL STORE</t>
  </si>
  <si>
    <t>SAT STORE</t>
  </si>
  <si>
    <t>DRUCKER COMERCIO ELECTRONICO</t>
  </si>
  <si>
    <t>PAPER EXPRESS</t>
  </si>
  <si>
    <t>MARCAIDEA</t>
  </si>
  <si>
    <t>VALOR TECHO TOTAL</t>
  </si>
  <si>
    <t>Observación</t>
  </si>
  <si>
    <t>NIT. 901.247.654-3</t>
  </si>
  <si>
    <t>NIT: 830072026-0</t>
  </si>
  <si>
    <t>N.I.T. 901720441 -2</t>
  </si>
  <si>
    <t>NIT: 830.037.946-3</t>
  </si>
  <si>
    <t>N.I.T. 900859627-1</t>
  </si>
  <si>
    <t>NIT: 899999061</t>
  </si>
  <si>
    <t>NIT: 860.076.508-1</t>
  </si>
  <si>
    <t>N.I.T: 890206033-8</t>
  </si>
  <si>
    <t>NIT: 900.055.360-8</t>
  </si>
  <si>
    <t>NIT: 800.088.063 -4</t>
  </si>
  <si>
    <t>NIT 901.708.000-9</t>
  </si>
  <si>
    <t xml:space="preserve">NIT: 900.009.495 - 8 </t>
  </si>
  <si>
    <t>NIT: 39.797.006-6</t>
  </si>
  <si>
    <t>NIT: 900.348.994-5</t>
  </si>
  <si>
    <t>NIT: 900642173</t>
  </si>
  <si>
    <t>NIT: 860052160</t>
  </si>
  <si>
    <t>NIT: 800.242.106-2</t>
  </si>
  <si>
    <t>NIT: 800220247</t>
  </si>
  <si>
    <t>NIT: 901517011</t>
  </si>
  <si>
    <t>NIT: 9012130501</t>
  </si>
  <si>
    <t>NIT: 8032204</t>
  </si>
  <si>
    <t>NIT: 9010124304</t>
  </si>
  <si>
    <t>NIT: 901.258.258</t>
  </si>
  <si>
    <t>NIT: 901992226</t>
  </si>
  <si>
    <t>NIT: 901392700</t>
  </si>
  <si>
    <t xml:space="preserve">VALOR UNITARIO IVA INCLUIDO </t>
  </si>
  <si>
    <t>VALOR UNITARIO
IVA INCLUIDO</t>
  </si>
  <si>
    <t>Acuarelas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</si>
  <si>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</si>
  <si>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Unid</t>
  </si>
  <si>
    <t>SE TOMA EL PROMEDIO TENIENDO EN CUENTA LA DISPERSION GENERADA</t>
  </si>
  <si>
    <t>Archivador - Az</t>
  </si>
  <si>
    <t>Carpeta, Archivador A-z Plastificado Tamaño Carta</t>
  </si>
  <si>
    <t>SE TOMA LA MEDIANA TENIENDO EN CUENTA LA DISPERSION GENERADA</t>
  </si>
  <si>
    <t xml:space="preserve">Bandas Elásticas </t>
  </si>
  <si>
    <t>Bandas de Caucho Bandas elásticas, Caja de 18 Unidades, 90 mm x 2mm</t>
  </si>
  <si>
    <t>Block Hojas Iris</t>
  </si>
  <si>
    <t>Block iris tamaño carta (21,5 x 28 cm) y  tamaño oficio (22 x 33 cm), 90 g/m² a 120 g/m², ideal para uso con lápices, colores, marcadores, micropuntas, crayones y témperas de bajo contenido de agua, Mínimo 40 hojas por block.</t>
  </si>
  <si>
    <t xml:space="preserve">Caja Bolígrafos </t>
  </si>
  <si>
    <t>Bolígrafo negro Cuerpo plástico o polietileno translucido o color negro; punta metálica, con tapa, redondo, rectangular o hexagonal, Caja X 12 Unidades</t>
  </si>
  <si>
    <t>Borrador De Tablero</t>
  </si>
  <si>
    <t>Borrador para tablero Elaborado en felpa sintética, fieltro o paño chalet. La base debe ser en madera o plástico</t>
  </si>
  <si>
    <t xml:space="preserve">Borradores </t>
  </si>
  <si>
    <t>Borrador de nata No tóxico Medidas aproximadas 5.5 a 6.3 cm * 0.8 a 1 en el espesor * 1.9 a 2.3 cm. largo 5.5.</t>
  </si>
  <si>
    <t>Carpeta Oficio</t>
  </si>
  <si>
    <t xml:space="preserve">Carpeta legajadora oficio plástica </t>
  </si>
  <si>
    <t>Octavo de 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</si>
  <si>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</si>
  <si>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Carpeta Carta</t>
  </si>
  <si>
    <t>Carpeta legajadora carta plástica</t>
  </si>
  <si>
    <t>unid</t>
  </si>
  <si>
    <t>Pliego de Cartulinas</t>
  </si>
  <si>
    <t>Papel cartulina de distintos colores Bristol, pliego 216 gr/m2 o superior x 30 Unidades</t>
  </si>
  <si>
    <t xml:space="preserve">Cintas </t>
  </si>
  <si>
    <t>Cinta adhesiva de empaque en rollo 48 mm x 100 mts</t>
  </si>
  <si>
    <t>Cinta adhesiva para enmascarar multipropósito 12 mm x 40 mts</t>
  </si>
  <si>
    <t>Cinta adhesiva para enmascarar multipropósito 48 mm x 40 mts</t>
  </si>
  <si>
    <t>Cinta adhesiva Transparente 12 mm x 40 mts</t>
  </si>
  <si>
    <t>Cinta Mágica Medidas aproximadas 18mm a 20 mm x 31 a 34m</t>
  </si>
  <si>
    <t>Clip Mariposa</t>
  </si>
  <si>
    <t>Clip mariposa gigante, Alambre metálico bajo carbono, con recubrimiento de cinc electrolítico (galvánico) Caja X 50 Und</t>
  </si>
  <si>
    <t>Colores x 24 Un</t>
  </si>
  <si>
    <t>Caja colores 24 Unidades colores surtidos</t>
  </si>
  <si>
    <t>Colores x 12 Un</t>
  </si>
  <si>
    <t>Caja de colores  X 12 Und , 17 cm de largo</t>
  </si>
  <si>
    <t>Corrector</t>
  </si>
  <si>
    <t>Corrector 8 mm 7 a 12 ml Largo del lápiz entre 1268 y 137 mm Diámetro de la punta metálica entre 0,8 y 1 mm, Caja x 12 Unds</t>
  </si>
  <si>
    <t xml:space="preserve">Cosedoras </t>
  </si>
  <si>
    <t>Grapadora Cosedora Metálica De Pinza Estandar + Ganchos Kit</t>
  </si>
  <si>
    <t>Cuaderno</t>
  </si>
  <si>
    <t>Cuaderno Cosido Mediano Cuadriculado Book - 50 Hojas</t>
  </si>
  <si>
    <t>Fichas Bibliográficas</t>
  </si>
  <si>
    <t>Paquetes de fichas bibliográficas (colores: azul, blanco, amarillo, verde y rosador)</t>
  </si>
  <si>
    <t xml:space="preserve">Formato Carnets De Vacunación </t>
  </si>
  <si>
    <t>Impresión Formato Papel bond 75g carta con la NTC 4436:1998 y la NTC 5397. Especificaciones de impresión Según ALCB</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</si>
  <si>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</si>
  <si>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</si>
  <si>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</si>
  <si>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</si>
  <si>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</si>
  <si>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Formato Formula Medica</t>
  </si>
  <si>
    <t>Formato Historia Clínica</t>
  </si>
  <si>
    <t xml:space="preserve">Formato Historia Clínica Brigadas Medico Veterinarias </t>
  </si>
  <si>
    <t xml:space="preserve">Formato Historia Clínica Esterilizaciones </t>
  </si>
  <si>
    <t>Formato Historia Clínica Urgencias</t>
  </si>
  <si>
    <t xml:space="preserve">Formato Hoja De Anestesia </t>
  </si>
  <si>
    <t xml:space="preserve">Formato Recomendaciones Post Quirúrgicas </t>
  </si>
  <si>
    <t xml:space="preserve">Formato Retiro De Puntos Y Seguimiento </t>
  </si>
  <si>
    <t>Gancho Legajador Plástico</t>
  </si>
  <si>
    <t>Gancho legajador Plástico, paquete x 100 Unds</t>
  </si>
  <si>
    <t>Clips</t>
  </si>
  <si>
    <t>Clip estándar pequeño, Alambre con un recubrimiento superficial galvanizado que le da buena presentación y evita la oxidación, dimensión: Diámetro 0.80-0.81 mm, longitud 31.5 – 32.5 mm, ancho 7.6-8.0 mm. Caja X 100 Und</t>
  </si>
  <si>
    <t>Grapas</t>
  </si>
  <si>
    <t>Grapa metálica con recubrimiento galvanizado. Dimensiones: Long pata 5.90-6.30 mm, long. Barra 106.0 – 107.0 mm, número de grapas x barra 209 Unds / Caja X 5000  Und</t>
  </si>
  <si>
    <t xml:space="preserve">Grapas </t>
  </si>
  <si>
    <t>Grapa Caja  para grapadora industrial - Caja x 1000 Ind</t>
  </si>
  <si>
    <t xml:space="preserve">Huelleros </t>
  </si>
  <si>
    <t>Huellero dactilar color negro, libre de cloro, no se decolora, no tóxico, tinta de secado rápido y no se corre. Para mínimo 2000 huellas</t>
  </si>
  <si>
    <t>Lápiz Mina Negra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</si>
  <si>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</si>
  <si>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Roja</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</si>
  <si>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</si>
  <si>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Libro De Actas</t>
  </si>
  <si>
    <t>Libro de actas 400 folios Papel bond mínimo entre 56 a 60g, tapa en cartón plastificado 32 a 34 cm largo por 20 a 23 de ancho para registro 400 folios rayados</t>
  </si>
  <si>
    <t xml:space="preserve">Lupa </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</si>
  <si>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</si>
  <si>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</si>
  <si>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</si>
  <si>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 xml:space="preserve">Marcadores </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</si>
  <si>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</si>
  <si>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</si>
  <si>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</si>
  <si>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 xml:space="preserve">Marcador Punta Fina Permanente, Negro X 12 para diferentes superficies papel, plástico, metal secado rápido y resiste a la decoloración </t>
  </si>
  <si>
    <t>Marcador Tinta acrílica a base de agua, no tóxica, de secado rápido y resistente al agua una vez seca.Punta fina (0.7 mm) o punta media (1-2 mm), según la actividad. Ideal para detalles y trazos definidos en superficies como piedra, madera, papel, cartón.por Caja x 12 Und</t>
  </si>
  <si>
    <t>Banderines Autoadhesivas</t>
  </si>
  <si>
    <t>Banderitas paquete  x100 colores surtidos</t>
  </si>
  <si>
    <t>Notas Autoadhesivas</t>
  </si>
  <si>
    <t>Notas Autoadhesivas Mínimo de 3 x 5 cms Colores surtidos, paquete X 100 hojas</t>
  </si>
  <si>
    <t>Notas autoadhesivas medianas de 7.5 cms x 7.5 cms Colores surtidos, paquete x 100 Unds</t>
  </si>
  <si>
    <t>Papel</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</si>
  <si>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</si>
  <si>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</si>
  <si>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Kraft</t>
  </si>
  <si>
    <t>Papel Kraft, 60 grs, 70 cm x 100 cm,</t>
  </si>
  <si>
    <t>Pliego</t>
  </si>
  <si>
    <t>Papel Contact</t>
  </si>
  <si>
    <t>Rollo Contact 45 cm x 5 metros (medida estándar, transparente brillante</t>
  </si>
  <si>
    <t>Rollo Contact x 20 metros transparente</t>
  </si>
  <si>
    <t>Papel Fotográfico</t>
  </si>
  <si>
    <t>Tamaño del papel A4, Tipo de papel Fotográfico Cantidad de hojas 20 Gramaje 180 g Formato de venta Resma x20 Hojas Unidades por pack 20.</t>
  </si>
  <si>
    <t>Papel Kraft Pliego 60gr X 25 Unidades</t>
  </si>
  <si>
    <t>Rollo Papel Kraft 60cm X 5 Kilos -130 Mts - 60 Gr</t>
  </si>
  <si>
    <t>Papel Periódico</t>
  </si>
  <si>
    <t>Papel periódico pliego 70cmx100cm</t>
  </si>
  <si>
    <t>Papelógrafo</t>
  </si>
  <si>
    <t>Papelógrafo para Papel grande y resistente, ideal para exposiciones y trabajos grupales. Tamaño estándar: 70 cm x 100 cm.</t>
  </si>
  <si>
    <t xml:space="preserve">Pegante </t>
  </si>
  <si>
    <t>Pegante líquido 225g unidad</t>
  </si>
  <si>
    <t>Perforadora Industrial</t>
  </si>
  <si>
    <t>Perforadora 2 Huecos, 150 Hojas: Con regla indicadora, discos protectores de plásticos, diámetro de perforación 6-7mm, base en ABS, palanca ergonómica, depósito para papel perforado, pinner y cortadores</t>
  </si>
  <si>
    <t xml:space="preserve">Pinceles </t>
  </si>
  <si>
    <t>Pinceles en madera punta redonda #2 x Caja12 Unidades</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</si>
  <si>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</si>
  <si>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Pistola Silicona</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</si>
  <si>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</si>
  <si>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Reglas</t>
  </si>
  <si>
    <t>Regla Metálica 30 cm</t>
  </si>
  <si>
    <t>Regla Plástica de 50 cm</t>
  </si>
  <si>
    <t xml:space="preserve">Resaltadores </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</si>
  <si>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</si>
  <si>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Saca Ganchos </t>
  </si>
  <si>
    <t>Saca ganchos para grapa Acero cromado combinado con plástico ABS</t>
  </si>
  <si>
    <t>Silicona</t>
  </si>
  <si>
    <t>Silicona Barra Transparente Gruesa Diámetro: 11.2Mm Largo: 30Cm Cantidad: 25 Barras (1Kilo)</t>
  </si>
  <si>
    <t>Kilo</t>
  </si>
  <si>
    <t>Silicona liquida 250 mililitros Silicona liquida fría.</t>
  </si>
  <si>
    <t>Sobres CD</t>
  </si>
  <si>
    <t>Sobre de felpa para CD de 12 cm, con doble bolsillo, Caja x 100 Unds</t>
  </si>
  <si>
    <t xml:space="preserve">Sobres </t>
  </si>
  <si>
    <t>Sobre de manila carta de 75 g, medidas aproximadas 22,5 x 29 cms. Tipo solapa universal, paquete x 100 Unds</t>
  </si>
  <si>
    <t>Tablas Planillera</t>
  </si>
  <si>
    <t>Tabla Planillera de plástico Oficio Tamaño: 35 cm alto x 23 cm largo - tamaño oficio Clip: 8 cm alto x 20 cm largo Tabla de plástico con bordes redondos.</t>
  </si>
  <si>
    <t xml:space="preserve">Tabla planillera archivadora </t>
  </si>
  <si>
    <t>Tabla planillera archivadora tamaño carta</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</si>
  <si>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</si>
  <si>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</si>
  <si>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Tableros</t>
  </si>
  <si>
    <t>Tablero Corcho 120X 90CM</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</si>
  <si>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</si>
  <si>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</si>
  <si>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</si>
  <si>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</si>
  <si>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Temperas</t>
  </si>
  <si>
    <t xml:space="preserve">Tempera (vinilo), en frasco de 80 c.c c/u, empaque x 6 Unds, colores primarios Blanco, negros, amarillos, azul, rojo y verde. </t>
  </si>
  <si>
    <t>Tijera de acero inoxidable mango en plástico y fibra de vidrio Entre 17 - 21 cms de largo</t>
  </si>
  <si>
    <t>Tijeras Zigzag</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</si>
  <si>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</si>
  <si>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Tinta Para Sello</t>
  </si>
  <si>
    <t>Tinta para Sellos, 28 cc, color negro, Alta definición, tinta acuosa libre de aceites. Envase plástico de alta resistencia. Frasco dispensador flexible. (28cc). Secado rápido de 25 Segundos</t>
  </si>
  <si>
    <t>Vinilos</t>
  </si>
  <si>
    <t>Vinilo Grande Caja X 10 Unidades Colores Surtidos
- Elemento: Vinilos x 10 Unidades
- Cantidad: 150 gr . C/u
- Colores Disponibles: amarillo, naranja, rosa, verde, verde limón, rojo, blanco, negro, azul oscuro, cafe, morado</t>
  </si>
  <si>
    <t>Carpetas Para Archivo</t>
  </si>
  <si>
    <t>Carpeta yute de 600 gramos, Kraft, Refuerzo en tela coleta, Tapa exterior plastificada, Con aleta vertical, Acabados perfectos, dos tapa</t>
  </si>
  <si>
    <t>Caja de archivo</t>
  </si>
  <si>
    <t>Regla Plástica de 30 cm</t>
  </si>
  <si>
    <t>CD- DVD R</t>
  </si>
  <si>
    <t>CD-R ,Capacidad: 700 MB , Velocidad: 52x , Minutos: 80 ,Paquete x 30 Unidades</t>
  </si>
  <si>
    <t>ETIQUETAS ADHESIVAS DE ALTA CALIDAD</t>
  </si>
  <si>
    <t>MATERIAL POLIESTER PLATA M, TAMAÑAÑO 50X25 MM X 2000 UND - DOBLE STICKERS</t>
  </si>
  <si>
    <t>PAPEL VINIPEL</t>
  </si>
  <si>
    <t>Rollo Película Stretch Vinipel 30cm X 500metros Embalaje</t>
  </si>
  <si>
    <t>Guillotina Industrial</t>
  </si>
  <si>
    <t>Guillotina 400 Hojas  Tamaño A3</t>
  </si>
  <si>
    <t>Humedecedor dactilar de glicelina</t>
  </si>
  <si>
    <t>Cuenta fácil x 28  Gr Sortkwik</t>
  </si>
  <si>
    <t>TOTAL</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</si>
  <si>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</si>
  <si>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t>PRINT CLASS</t>
  </si>
  <si>
    <t>STAR COPY V&amp;A</t>
  </si>
  <si>
    <t>STATE SOLUTIONS S.A.S.</t>
  </si>
  <si>
    <t>Coraltec S.A.S.</t>
  </si>
  <si>
    <t>ALHUM LTDA</t>
  </si>
  <si>
    <t>GRUPO SUMINISTROS S.A.S.</t>
  </si>
  <si>
    <t xml:space="preserve">DAFERTEC S.A.S. </t>
  </si>
  <si>
    <t>MICROCELL COLOMBIA S.A.S.</t>
  </si>
  <si>
    <t>VALOR UNITARIO TECHO (IVA INCLUIDO</t>
  </si>
  <si>
    <t>VALOR UNITARIO TECHO ANTES DE IVA</t>
  </si>
  <si>
    <t>OBSERVACIONES</t>
  </si>
  <si>
    <t>NIT: 900.852.262-3</t>
  </si>
  <si>
    <t>NIT: 9013434422</t>
  </si>
  <si>
    <t>NIT: 900464396-1</t>
  </si>
  <si>
    <t>NIT: 900.592.515-5</t>
  </si>
  <si>
    <t>NIT: 804.016.305-8</t>
  </si>
  <si>
    <t>N.I.T. 900.906.180-4</t>
  </si>
  <si>
    <t>N.I.T. 830.084..004-0</t>
  </si>
  <si>
    <t>RICOH MP 501</t>
  </si>
  <si>
    <t>Print Cartridge Ricoh MP 601 / Toner Negro - con su respectivo contenedor de residuos</t>
  </si>
  <si>
    <t>RICOH IM 550</t>
  </si>
  <si>
    <t>Print Cartridge Ricoh IM 600 / Toner - con su respectivo contenedor de residuos</t>
  </si>
  <si>
    <t>PGI-35 </t>
  </si>
  <si>
    <t>PGI-35: "Tanque de tinta negra a base de pigmento" Para CANON PIXMA</t>
  </si>
  <si>
    <t>CLI-36</t>
  </si>
  <si>
    <t>CLI-36: "Tanque de tinta de color a base de colorante (Cian, Magenta, Amarillo, Negro)" Para CANON PIXMA</t>
  </si>
  <si>
    <t>T215120 AL</t>
  </si>
  <si>
    <t>Tanque de tinta negro T215120 AL con su respectiva caja de mantenimiento o deposito de residuos</t>
  </si>
  <si>
    <t>T215520 AL</t>
  </si>
  <si>
    <t>Tanque de tinta Tricolor T215520 AL con su respectiva caja de mantenimiento o deposito de residuos</t>
  </si>
  <si>
    <t>CABEZALES</t>
  </si>
  <si>
    <t>ZEBRA GC420d</t>
  </si>
  <si>
    <t>Rollo estiquer blanco transferencia térmica / Rollo 110 mm x 74 ni- Half-Inch-Wax- 5cc 748, Papel normal de 5 cm x 7 cm</t>
  </si>
  <si>
    <t>ZEBRA GK420d</t>
  </si>
  <si>
    <t>Rollo estiquer blanco transferencia térmica / Papel Térmico de 100 mm x 75 mm, Papel Térmico de 50 mm x 70 mm</t>
  </si>
  <si>
    <t>FILAMENTO DE IMPRESIÓN 3D PLA</t>
  </si>
  <si>
    <t>Filamento de impresión 3D PLA / Filamento PLA de colores variados para impresora 3D con características de impresión: Diámetro del filamento: 1.75 mm; Extrusora: Individual Bowden; Diámetro de la boquilla: MK8 de 0.4 mm; Temperatura máxima de impresión 260°C (Rollo)</t>
  </si>
  <si>
    <t>Rollo x 1 Kilo</t>
  </si>
  <si>
    <t>VALOR TOTAL TECHO (IVA INCLUIDO</t>
  </si>
  <si>
    <t>CARTUCHOS DE TINTA</t>
  </si>
  <si>
    <t>VALOR UNITARIO TECHO 
(IVA INCLUIDO)</t>
  </si>
  <si>
    <t>NIT: 	9018566477</t>
  </si>
  <si>
    <t>VALOR UNITARIO 2025 + IPC (5,10%) 
IVA INCLUIDO</t>
  </si>
  <si>
    <r>
      <t>Unida</t>
    </r>
    <r>
      <rPr>
        <sz val="10"/>
        <color indexed="8"/>
        <rFont val="Times New Roman"/>
        <family val="1"/>
      </rPr>
      <t>d</t>
    </r>
  </si>
  <si>
    <t>"SUMINISTRO DE LOS ELEMENTOS NECESARIOS PARA EL FUNCIONAMIENTO DE LA ENTIDAD Y LOS DIFERENTES PROGRAMAS Y PROYECTOS A CARGO DEL FONDO DE DESARROLLO LOCAL DE CIUDAD BOLÍVAR, EN EL MARCO DEL PLAN DE DESARROLLO LOCAL”.”</t>
  </si>
  <si>
    <t>Objeto: “SUMINISTRO DE LOS ELEMENTOS NECESARIOS PARA EL FUNCIONAMIENTO DE LA ENTIDAD Y LOS DIFERENTES PROGRAMAS Y PROYECTOS A CARGO DEL FONDO DE DESARROLLO LOCAL DE CIUDAD BOLÍVAR, EN EL MARCO DEL PLAN DE DESARROLLO LOCAL”</t>
  </si>
  <si>
    <t xml:space="preserve">Objeto:  “SUMINISTRO DE LOS ELEMENTOS NECESARIOS PARA EL FUNCIONAMIENTO DE LA ENTIDAD Y LOS DIFERENTES PROGRAMAS Y PROYECTOS A CARGO DEL FONDO DE DESARROLLO LOCAL DE CIUDAD BOLÍVAR, EN EL MARCO DEL PLAN DE DESARROLLO LOCAL” </t>
  </si>
  <si>
    <t>Objeto: “SUMINISTRO DE LOS ELEMENTOS NECESARIOS PARA EL FUNCIONAMIENTO DE LA ENTIDAD Y LOS DIFERENTES PROGRAMAS Y PROYECTOS A CARGO DEL FONDO DE DESARROLLO LOCAL DE CIUDAD BOLÍVAR, EN EL MARCO DEL PLAN DE DESARROLLO LOCAL”.</t>
  </si>
  <si>
    <t xml:space="preserve">Mesa plegable tipo maletin </t>
  </si>
  <si>
    <t xml:space="preserve">Cabina de sonido con trípode Y microfono </t>
  </si>
  <si>
    <t>Ventilador Pared Awf-18bl Pro Balinera Cantidad de aspas 4 Aspas Gris Diámetro 18 " Material de las aspas Plástico 110V, puesta en sitio de entrega.</t>
  </si>
  <si>
    <t xml:space="preserve">Olla Caldero Grande 113 Litros 60x40cm </t>
  </si>
  <si>
    <t>Sillas ergonómicas</t>
  </si>
  <si>
    <t>Multitoma</t>
  </si>
  <si>
    <t>(Extenciones, multitomas)
Capacidad: 6 a 8 salidas con polo a tierra.
Protección: Interruptor con fusible (breaker) de 15A contra sobrecargas.
Certificación: RETIE (indispensable para Colombia) o norma UL. Puesto en el sietio de entrega.</t>
  </si>
  <si>
    <t>Telas aerea</t>
  </si>
  <si>
    <t>Clavas Pánico Bicolor</t>
  </si>
  <si>
    <t>Impresora</t>
  </si>
  <si>
    <t>Versátil y resistente. Es extendible-Soporta un peso máximo de 150kg-Cuenta con 16 peldaños. puesta en sitio de entrega.</t>
  </si>
  <si>
    <t xml:space="preserve">
Carretilla 6 pies de 120 litros llanta antipinchazo. puesta en sitio de entrega.
</t>
  </si>
  <si>
    <t>Camilla de emergencia inmovilizadora para rescate y transporte con inmovilizador de cabeza bloque, señalización para pegar a la pared y gancho soporte para colgar la tabla plástica a la pared. Características principales: Estructura resistente: Fabricada en plástico de alta densidad, garantizando durabilidad y fácil limpieza.
Arnés de seguridad: Con múltiples puntos de ajuste para asegurar al paciente de forma cómoda y segura.
Inmovilizador de cabeza: acolchado para mayor confort del paciente durante el transporte.
Soportes para pared: Incluye soportes metálicos para fijar la camilla a la pared cuando no esté en uso, debe contener
1 x Camilla plástica.
1 x Arnés para sujeción del paciente.
1 x Aviso con instrucciones de uso.
1 x Soporte de pared.
Medidas: Largo: 182 – 185 cm
Ancho: 40 – 48 cm
Espesor: 4 – 6 cm
Peso: 6 – 7.5 kg
Capacidad de carga: 140 – 160 kg
1 x Inmovilizador de cabeza. y puesta en sitio de entrega.</t>
  </si>
  <si>
    <t>Kit de herramientas manuales fabricadas en acero de aleación con recubrimiento anticorrosivo, diseñado para labores de mantenimiento general. El kit debe estar compuesto por elementos esenciales, incluyendo herramientas de sujeción (alicate o pinza), medición (flexómetro), atornillado (destornilladores de pala y cruz) y golpe (martillo).
Las herramientas deben estar organizadas en un estuche de polímero de alta densidad, con compartimentos moldeados que faciliten su almacenamiento y transporte.
El suministro incluye transporte y entrega puesta en sitio.</t>
  </si>
  <si>
    <t>Talacho-pico 5 lb con mango de fibra de vidrio de 36" 
CARACTERÍSTICAS:
Cabeza forjada en acero al carbono/Mango de fibra de vidrio de inyección sencilla con grip antiaderente/Ideal para excavar en suelo duro con su punta talacho y para romper superficies rocosas como grava y tierra seca endurecida con su punta pico/Cabeza 5 lb (2.3 kg)./Mango 36" (91 cm)/Escoplo 110 mm.  y puesta en sitio de entrega.</t>
  </si>
  <si>
    <t>Herramienta esencial para cualquier trabajo de jardinería o construcción. 
Con un mango de madera de 50.8/ proporciona un agarre cómodo y seguro, con un peso de 880 g, altura de 37.4 cm y ancho de 15.2 cm, largo total de la pala es de 68.5 cm, lo que permite un alcance adecuado para la mayoría de las tareas de jardinería. La forma redonda de la cajuela facilita la excavación y el movimiento de la tierra, haciendo que sus tareas sean más eficientes.  y puesta en sitio de entrega.</t>
  </si>
  <si>
    <t>Cucharón de metal para servicio de alimentos (sopa u otros líquidos), fabricado en acero inoxidable, resistente a la corrosión y de fácil limpieza. Cuenta con mango ergonómico que facilita su manipulación y uso continuo.
Medidas aproximadas:
Largo total: 30 – 35 cm
Diámetro del cucharón: 8 – 10 cm
Capacidad: 100 – 150 ml</t>
  </si>
  <si>
    <t>Dimensiones: 150cm (ancho) x 100cm (largo) aproximadamente
Diseño: Dobladillo para meter el tubo/
Material: Tifón (Semi-impermeable)/Doble Faz/Tela 100% poliéster, con una superficie brillante/Ideal para exteriores ya que no absorbe agua/Buena consistencia/Es un material resistente y duradero/
Por ser una fibra sintética, no sé deforma, ni se estira ni se encoge.  y puesta en sitio de entrega.</t>
  </si>
  <si>
    <t>VALOR INTERNET IVA INCLUIDO</t>
  </si>
  <si>
    <t>BASE GRAVABLE</t>
  </si>
  <si>
    <t>VALOR UNITARIO (CARGA TRIBUTARIA 26% + UTILIDAD 10%)</t>
  </si>
  <si>
    <t xml:space="preserve">ÉXITO </t>
  </si>
  <si>
    <t xml:space="preserve">ALOKOSTO 
NIT. </t>
  </si>
  <si>
    <t>Cañas saxofón Alto</t>
  </si>
  <si>
    <t>Cañas saxofón Tenor</t>
  </si>
  <si>
    <t xml:space="preserve">Cargador Saxofón </t>
  </si>
  <si>
    <t>Trombón tenor de vara (slide), caño grueso (large bore) o equivalente, con bomba de afinación y transpositor/engranaje (si aplica) o equivalente. Material: latón con acabado lacado/plateado. Incluye: boquilla y estuche. Vara de desplazamiento suave, sin holguras. Garantía mínima: 12 meses por defectos de fabricación. Entrega: puesto en el lugar de entrega.</t>
  </si>
  <si>
    <t>Flauta dulce (recorder) en madera o resina (o equivalente), 8 orificios (7 delanteros y 1 trasero), digitación estándar. Incluye estuche/funda y varilla de limpieza (si aplica) o equivalente. Producto nuevo. Entrega: puesto en el lugar de entrega.</t>
  </si>
  <si>
    <t>Flauta traversa en Do (C), material metálico (níquel-plata/plateada o equivalente). Sistema Boehm, llaves funcionales y acolchados en buen sello. Incluye estuche rígido y accesorios básicos de limpieza (o equivalente). Garantía mínima: 12 meses por defectos de fabricación. Entrega: puesto en el lugar de entrega.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</si>
  <si>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</si>
  <si>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</si>
  <si>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Bombo/Tambora: tambor de dos parches, cuerpo cilíndrico en madera con acabado protector. Parches en cuero natural o sintético con sistema de tensión mediante cuerdas o herrajes. Dimensiones estándar folclóricas (a definir según necesidad del proceso). Entrega: puesto en el sitio de entrega.</t>
  </si>
  <si>
    <t>Guasá: maraca tubular elaborada en guadua/bambú, rellena con semillas secas para sonoridad. Acabado lijado, sin astillas, extremos sellados de forma segura. Entrega: puesto en el sitio de entrega.</t>
  </si>
  <si>
    <t>Flauta de carrizo (aerófono de caña): elaborada en carrizo seleccionado, curado y seco para evitar grietas y garantizar estabilidad. Cuerpo en tubo cilíndrico natural con nudos limpios. Orificios: 5 a 6 orificios tonales (digitación folclórica estándar), alineados y suavizados. Acabado natural, sin rebabas. Entrega: puesto en el sitio de entrega.</t>
  </si>
  <si>
    <t>Redoblante (requinto) tipo marching / alta tensión. Diámetro del vaso: 10" Profundidad: 5" a 6" (o equivalente). Casco en madera laminada o material equivalente para percusión; herrajes de alta resistencia. Aros: triple flanco 2,3 mm o fundidos. Sistema de bordona: 12 a 20 hilos de acero con mecanismo de activación/desactivación de precisión. Incluye parches compatibles con alta tensión (si aplica) o equivalentes. Garantía mínima: 12 meses por defectos de fabricación. Entrega: puesto en el sitio de entrega.</t>
  </si>
  <si>
    <t>Violín tamaño 4/4 (adulto). Cuerpo en madera; diapasón en madera dura. Incluye: arco con crin sintética o natural, estuche y colofonia. Encordado: 4 cuerdas (acero). Producto nuevo, sin fisuras, con clavijas funcionales y puente ajustado. Garantía mínima: 12 meses por defectos de fabricación. Entrega: puesto en el sitio de entrega.</t>
  </si>
  <si>
    <t>Bongós (par de tambores unidos). Configuración: macho de 6,5" a 7" y hembra de 8" a 9" Vasos en madera maciza o laminada de alta densidad con acabado protector. Parches en cuero natural, con aros y herrajes metálicos anticorrosivos para afinación. Incluye llave de afinación. Producto nuevo, sin fisuras. Entrega: puesto en el sitio de entrega.</t>
  </si>
  <si>
    <t>Espejo móvil de cuerpo entero para actividades escénicas, montado sobre estructura autoportante con ruedas. Dimensiones sugeridas del espejo: 1,80 m (alto) x 1,20 m (ancho). Espesor del espejo: mínimo 4 mm (o equivalente). Seguridad: película de seguridad inastillable o espejo de seguridad. Estructura: metálica con acabado anticorrosivo y ruedas con freno Entrega: puesto en el sitio de entrega.</t>
  </si>
  <si>
    <t>Sistema de micrófonos inalámbricos para voz, mínimo dos (2) micrófonos. Tipo: dinámico. Patrón polar: cardioide. Banda de operación UHF (rango de frecuencias según disponibilidad y normativa aplicable), con receptor de diversidad (o equivalente) para estabilidad de señal. Alcance mínimo: 30 m en línea de vista (o equivalente). Alimentación de transmisores: baterías AA (doble AA o equivalente). Incluye: receptor, dos transmisores (de mano o bodypack según propuesta), cables de conexión (audio) y estuche/organizador (si aplica) o equivalente. Garantía mínima: 12 meses. Entrega: puesto en el sitio de entrega.</t>
  </si>
  <si>
    <t>Trípode de uso audiovisual (foto/video). Material: aluminio de alta resistencia. Altura ajustable: mínimo 0,60 m y máximo 1,70 m. Cabezal: de 3 vías o fluido con bloqueo de paneo y tilt. Capacidad de carga mínima: 4 kg Estabilidad: patas con puntas de goma antideslizante y gancho para contrapeso Incluye zapata/placa rápida. Entrega: puesto en el sitio de entrega.</t>
  </si>
  <si>
    <t>Carpa tipo plegable. Dimensiones: 2,0 m x 2,0 m Altura regulable. Estructura en acero con recubrimiento anticorrosivo o aluminio estructural. Cubierta en lona impermeable y resistente a rayos UV (o equivalente). Incluye estacas/amarres y bolsa de transporte. Entrega: puesto en el sitio de entrega.</t>
  </si>
  <si>
    <t>Uniformes Mujer</t>
  </si>
  <si>
    <t>Uniforme Hombre</t>
  </si>
  <si>
    <t>Baletas (zapatillas de ballet) surtidas para uso escénico/pedagógico, en tallas según requerimiento. Material: lona/canvas o cuero sintético (o equivalente), suela partida o completa según necesidad (o equivalente). Color: según requerimiento (p. ej., piel/negro/blanco). Deben incluir elástico(s) de sujeción cosido(s) o equivalente. Entrega: puesto en el sitio de entrega.</t>
  </si>
  <si>
    <t>Narices para clown (unidad). Material: látex, silicona o espuma EVA (o equivalente), hipoalergénico y flexible. Tamaño: estándar adulto o surtido (según requerimiento). Sistema de sujeción: elástico ajustable o adhesivo cosmético (si aplica) o equivalente. Color: rojo (o equivalente). Producto nuevo. Entrega: puesto en el sitio de entrega.</t>
  </si>
  <si>
    <t>Zapatos gigantes para payaso (par). Material: cuero sintético/PVC o equivalente, con suela antideslizante en caucho o equivalente. Talla: estándar adulto, con espacio interno para calzado (o equivalente). Acabado: costuras reforzadas, sin bordes cortantes. Color/diseño: según requerimiento del personaje. Entrega: puesto en el sitio de entrega.</t>
  </si>
  <si>
    <t xml:space="preserve">Zapatos de payaso </t>
  </si>
  <si>
    <t>Kit de maquillaje artístico profesiona. 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</si>
  <si>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Telas en paños de 4 m x 12 m, colores surtidos, para uso escénico/producción artística. Material: poliéster tipo tafetán, satín, lycra u otro textil equivalente (según necesidad), ancho y largo según indicado. Gramaje mínimo sugerido: 120 g/m² (o equivalente), con costuras o dobladillo en bordes para evitar deshilachado (si aplica) o equivalente. Entrega. Debe contar con Registro Sanitario INVIMA vigente cuando aplique: puesto en el sitio de entrega.</t>
  </si>
  <si>
    <t>Base blanca cremosa para maquillaje artístico (tipo teatro/clown), alto cubrimiento. Textura: crema/grasosa o equivalente, de fácil aplicación y acabado uniforme. Presentación: envase individual, contenido neto aproximado 60 g (o equivalente). Producto nuevo, en empaque original. Debe contar con Registro Sanitario INVIMA vigente cuando aplique. Entrega: puesto en el sitio de entrega.</t>
  </si>
  <si>
    <t>Platos chinos (spinning plates) para malabarismo. Material: plástico de alta densidad (p. ej., PEAD/HDPE o equivalente). Diámetro aproximado: 240 mm (o equivalente). Peso aproximado: 110 g (o equivalente). Incluye: una (1) baqueta/vara de giro en madera o material sintético (o equivalente). Color: surtido. Entrega: puesto en el sitio de entrega.</t>
  </si>
  <si>
    <t>Cajas de malabarismo tipo “cigar box” (set TRIO). Dimensiones por unidad: 13 cm x 18 cm (o equivalentes). Material: madera terciada/contrachapado de fibra larga (o equivalente), con acabado liso. Peso por unidad: 200 a 220 g (o equivalente). Bordes reforzados, sin astillas. Entrega: puesto en el sitio de entrega.</t>
  </si>
  <si>
    <t>Clavas de malabarismo bicolor (unidad). Material: plástico de alta resistencia (p. ej., PAD/PEAD o equivalente) con alma reforzada (o equivalente). Componentes: cuerpo tipo botella y mango liso, con tope y regatón en caucho termoplástico (o equivalente) para absorción de impacto. Longitud: 52 cm (o equivalente). Peso: 220 g (o equivalente). Entrega: puesto en el sitio de entrega.</t>
  </si>
  <si>
    <t>Pelota de rebote (goma) para malabarismo/entrenamiento. Diámetro: 65 mm (o equivalente). Rebote mínimo: 90% (o equivalente). Peso aproximado: 155 g (o equivalente). Material: caucho/goma de alta resistencia (o equivalente). Color: surtido. Entrega: puesto en el sitio de entrega.</t>
  </si>
  <si>
    <t>Pelota de escenario (malabarismo) de 72 mm de diámetro (o equivalente), peso aproximado 110 g (o equivalente). Material: PVC o caucho sintético (o equivalente), superficie lisa. Colores: surtidos. Entrega: puesto en el sitio de entrega.</t>
  </si>
  <si>
    <t>Pelota de Rebote 65mm</t>
  </si>
  <si>
    <t>Pelota tipo “burbuja” para malabarismo, diámetro 63 mm (o equivalente). Material: PVC o equivalente, rellena con semillas (p. ej., mijo o equivalente) para control. Peso aproximado: 110 g (o equivalente). Superficie: lisa o tipo “piel de durazno” (o equivalente). Colores: surtidos. Entrega: puesto en el sitio de entrega.</t>
  </si>
  <si>
    <t>Bandera/paño para práctica artística con diseño tipo ajedrez.
 Medidas: 56 cm x 68 cm (o equivalentes).
 Material: tela poliéster/nylon o equivalente, con dobladillo o refuerzo perimetral.
 Incluye destorcedor con rodamientos y tirador/perilla para poi (o equivalentes) para evitar enredos durante el giro (si aplica al montaje). Entrega: puesto en el sitio de entrega.</t>
  </si>
  <si>
    <t>Pelota de malabarismo 72mm</t>
  </si>
  <si>
    <t xml:space="preserve">Aro 24 cm </t>
  </si>
  <si>
    <t>Aro/argolla para malabarismo. Diámetro: 24 cm (o equivalente). Material: plástico flexible de alta resistencia (p. ej., PE/PP o equivalente). Color: surtido. Bordes redondeados, sin rebabas. Entrega: puesto en el sitio de entrega.</t>
  </si>
  <si>
    <t>Sombrero para malabarismo (“sombrero volador”), diseñado para lanzamiento y manipulación. Tipo: bombín/copa redonda (o equivalente) con ala reforzada para agarre. Material: fieltro prensado de alta densidad o material sintético equivalente, resistente a impactos y deformación. Peso aproximado: 250 g a 350 g (o equivalente) para estabilidad en el aire. Talla: estándar o ajustable (o equivalente). Entrega: puesto en el sitio de entrega.</t>
  </si>
  <si>
    <t>Ula Uula plegable 90 cm</t>
  </si>
  <si>
    <t>Monociclo aro 20. Tipo de equipo: monociclo de equilibrio para iniciación e intermedio. Tamaño de rueda: 20" (ideal para usuarios desde aprox. 1,40 m de estatura) (o equivalente). Rin en aluminio de doble pared o equivalente. Producto nuevo, apto para entrenamiento. Entrega: puesto en el sitio de entrega.</t>
  </si>
  <si>
    <t>Monociclo aro 24. Tipo de equipo: monociclo para jóvenes y adultos (estatura sugerida mayor a 1,60 m) (o equivalente). Tamaño de rueda: 24". Rin en aluminio de doble pared o equivalente. Producto nuevo, apto para entrenamiento. Entrega: puesto en el sitio de entrega.</t>
  </si>
  <si>
    <t>Cuerda floja tipo slackline/cinta reata de seguridad. Longitud: 50 m. Ancho: 25 mm a 50 mm (o equivalente). Material: poliéster o nylon de alta tenacidad. Carga mínima de rotura (MBS): 2.000 kg (o equivalente). Incluye elementos de anclaje/ratchet (tensor) y protectores de árbol (si aplica) o equivalente. Entrega: puesto en el sitio de entrega.</t>
  </si>
  <si>
    <t>Colchoneta inflable tipo airtrack para entrenamiento (gimnasia/acrobacia). Material: PVC reforzado o equivalente, con costuras/union termoselladas. Dimensiones mínimas: largo 3 m, ancho 1 m a 1,5 m y espesor 10 cm a 20 cm (o equivalentes). Superficie antideslizante. Incluye accesorios básicos de inflado (bomba compatible o adaptadores según propuesta) (o equivalente). Capacidad de carga mínima: 120 kg (o equivalente). Entrega: puesto en el sitio de entrega.</t>
  </si>
  <si>
    <t>Paleta de maquillaje Artistico en crema combinada (mínimo 24 colores), para caracterización/maquillaje artístico. Alta pigmentación y cobertura, apta para rostro y cuerpo. Presentación: estuche/paleta con tapa, producto nuevo y sellado. Debe contar con Registro Sanitario INVIMA vigente cuando aplique. Entrega: puesto en el sitio de entrega.</t>
  </si>
  <si>
    <t>Set de pinceles para maquillaje artístico Profesional, mínimo 6 unidades. Cerdas sintéticas, suaves, de buena recuperación y resistentes a la caída. Incluye variedad de formas: redondos, planos y lengua de gato, en tamaños para detalle y cubrimiento. Mango ergonómico en madera barnizada o material sintético (o equivalente) y virola metálica anticorrosiva. Producto nuevo. Entrega: puesto en el sitio de entrega.</t>
  </si>
  <si>
    <t>Set de pinceles para pintura/acuarela, mínimo 12 unidades. Cerdas sintéticas o naturales (o equivalente) aptas para técnicas base agua. Debe incluir pinceles redondos, planos, lengua de gato y punta fina en tamaños surtidos. Mango en madera o material sintético (o equivalente) con virola metálica anticorrosiva. Producto nuevo. Entrega: puesto en el sitio de entrega.</t>
  </si>
  <si>
    <t>Paleta de sombras para maquillaje artístico Profesional, mínimo 24 tonos, con acabados mate y nacarado (satinado) (o equivalente). Presentación: estuche con tapa. Producto nuevo, sellado. Debe contar con Registro Sanitario INVIMA vigente cuando aplique. Entrega: puesto en el sitio de entrega.</t>
  </si>
  <si>
    <t>Set de lápices delineadores para maquillaje artístico, mínimo 6 unidades. Tipo: ojo/labio/rostro (multifunción) (o equivalente), colores surtidos (incluye negro y blanco o equivalentes). Textura cremosa, alta pigmentación. Producto nuevo. Debe contar con Registro Sanitario INVIMA vigente cuando aplique. Entrega: puesto en el sitio de entrega.</t>
  </si>
  <si>
    <t>Desmaquillante para uso artístico (remoción de maquillaje de alto cubrimiento). Presentación: agua micelar y/o aceite desmaquillante, en envase mínimo 200 . Debe ser apto para uso facial, producto nuevo y sellado. Debe contar con Registro Sanitario INVIMA vigente cuando aplique. Entrega: puesto en el sitio de entrega.</t>
  </si>
  <si>
    <t>Toallas húmedas desmaquilladoras, paquete x 50 unidades (o equivalente). Material: tela no tejida (non-woven) o equivalente, con solución desmaquillante. Producto nuevo, sellado, apto para uso facial. Debe contar con Registro Sanitario INVIMA vigente cuando aplique. Entrega: puesto en el sitio de entrega.</t>
  </si>
  <si>
    <t>Bolso personal para transporte de elementos de maquillaje (unidad). Tamaño: pequeño o mediano (capacidad aproximada 3 a 8 L o equivalente). Material: lona, poliéster o cuero sintético (o equivalente), resistente y lavable. Cierre: cremallera. Compartimentos internos: mínimo 1 compartimiento principal y 1 bolsillo adicional. Color: a definir. Entrega: puesto en el sitio de entrega.</t>
  </si>
  <si>
    <t>Trusa/maillot (prenda enteriza) para danza/actividad escénica. Material: lycra (elastano) o mezcla poliéster-elastano, elasticidad 4 vías. Costuras planas o reforzadas (o equivalente). Tallas: surtidas (S, M, L, XL) según requerimiento. Colores: sólidos a definir. Entrega: puesto en el sitio de entrega.</t>
  </si>
  <si>
    <t>Vestido de dama para uso escénico, según temática requerida. Confección en telas de resistencia media/alta (p. ej., raso, terciopelo, jacquard o equivalentes) con forro interno (si aplica) o equivalente. Costuras reforzadas y sistema de cierre/ajuste (cremallera, broches u ojales). Tallas: surtidas (S, M, L, XL) según requerimiento. Incluye ornamentos básicos acordes al diseño (encajes, cintas, apliques) (si aplica) o equivalente. Entrega: puesto en el sitio de entrega.</t>
  </si>
  <si>
    <t>Camisas en algodón o mezcla algodón-poliéster (o equivalente), para uso escénico. Manga corta o larga según requerimiento. Tallas: surtidas (S, M, L, XL) según requerimiento. Colores: surtidos o a definir por la supervisión. Costuras reforzadas. Entrega: puesto en el sitio de entrega.</t>
  </si>
  <si>
    <t>Sombreros para vestuario escénico, variedad de estilos. Material: fieltro sintético, paja, poliéster u otros equivalentes, según personaje. Tallas: surtidas o ajustables (o equivalente). Colores: surtidos. Producto nuevo o en condiciones aptas para uso inmediato (según requerimiento del proceso). Entrega: puesto en el sitio de entrega.</t>
  </si>
  <si>
    <t>Pelucas de pelo artificial (fibra sintética) para uso escénico. Colores: surtidos. Largo: corto/medio/largo (según requerimiento). Incluye malla interior ajustable o equivalente. Producto nuevo, apto para caracterización. Entrega: puesto en el sitio de entrega.</t>
  </si>
  <si>
    <t>Set de accesorios escénicos, según diseño de personaje requerido. Incluye elementos como joyería de fantasía reforzada (aretes, collares), parches de uso artístico, pañoletas en tela resistente (mínimo 50 cm x 50 cm), cinturones o similares (o equivalentes). Materiales hipoalergénicos en piezas de contacto directo y resistentes al uso continuo. Diseño y color: a definir por la supervisión. Entrega: puesto en el sitio de entrega.</t>
  </si>
  <si>
    <t>Campana salsera (cowbell) para percusión latina. Material: acero o aleación metálica, acabado anticorrosivo. Tamaño: mediana/grande (según requerimiento), longitud aproximada 8" a 10" (o equivalente). Compatibilidad: apta para montaje en soporte/abrazadera de percusión (si aplica) o equivalente. Sonido brillante, sin deformaciones. Entrega: puesto en el sitio de entrega.</t>
  </si>
  <si>
    <t>Tambor (unidad). Dimensiones aproximadas: 16 cm (diámetro) x 20 cm (alto)). Cuerpo en madera o material compuesto con acabado protector. Parche en cuero natural o sintético (o equivalente) con sistema de tensión tradicional o herrajes. Producto nuevo, sin fisuras. Entrega: puesto en el sitio de entrega.</t>
  </si>
  <si>
    <t>Maracas elaboradas en totumo y madera. Diámetro aproximado: 8 a 10 cm. Mango en madera torneada (aprox. 12 a 15 cm) ensamblado firmemente. Relleno con semillas/granalla para sonoridad. Acabado lijado, sin astillas. Entrega: puesto en el sitio de entrega.</t>
  </si>
  <si>
    <t>Guitarra acústica (gama media para formación). Cuerpo en madera), tamaño estándar 4/4. Encordado en acero o nylon (según necesidad) de referencia comercial o equivalente. Incluye funda/estuche (si aplica) o equivalente. Producto nuevo, con clavijeros funcionales y buena afinación. Garantía mínima: 12 meses por defectos de fabricación. Entrega: puesto en el sitio de entrega.</t>
  </si>
  <si>
    <t>Guitarra eléctrica tipo estándar para formación. Escala aprox. 25,5" cuerpo en madera, mástil en arce o equivalente, diapasón en madera técnica o equivalente. Trastes: mínimo 21–22. Pastillas: 3 single-coil o configuración equivalente, selector de 5 posiciones, controles de volumen y tono. Incluye: cable, correa, púas, funda semirrígida o equivalente, barra de trémolo y herramienta de ajuste básica (si aplica) o equivalente. Garantía mínima: 12 meses por defectos de fabricación y funcionamiento electrónico. Entrega: puesto en el sitio de entrega.</t>
  </si>
  <si>
    <t>Set de percusión para formación (conjunto), compuesto como mínimo por: (1) tambora/bombo folclórico, (1) llamador (si aplica), (1) cajón peruano, (1) par de claves, (1) par de maracas y (1) conga. Materiales: maderas macizas o laminadas y parches en cuero natural o sintético según cada instrumento. Deben incluir herrajes/tensores cuando aplique. Producto nuevo, apto para uso pedagógico. Entrega: puesto en el sitio de entrega.</t>
  </si>
  <si>
    <t>Bajo eléctrico de 4 cuerdas para formación. Trastes: mínimo 20–24 Maderas: cuerpo en madera, mástil en arce o equivalente. Pastillas pasivas o activas, controles de volumen y tono. Escala: aprox. 34" (864 mm. Incluye encordado de referencia comercial (o equivalente). Garantía mínima: 12 meses por defectos de fabricación y funcionamiento electrónico. Entrega: puesto en el sitio de entrega.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</si>
  <si>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</si>
  <si>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Batería acústica de 5 piezas (kit), para formación. Incluye como mínimo: bombo 22" con pedal, redoblante 14" con base, toms aéreos 12" y 13" (o equivalentes), tom de piso 16" (o equivalente). Incluye herrajes: atril de hi-hat, base de platillo, silla/banco y par de baquetas (o equivalentes). Platillos: mínimo hi-hat y crash (o equivalentes). Garantía mínima: 12 meses por defectos de fabricación. Entrega: puesto en el sitio de entrega.</t>
  </si>
  <si>
    <t>Amplificador combo para guitarra/bajo (según necesidad), potencia nominal 20 W (o equivalente). Entradas: mínimo 1 entrada tipo jack 1/4". Controles: volumen y ecualización básica (o equivalente). Salida para audífonos o línea (si aplica) o equivalente. Dimensiones aproximadas: 25 cm (alto) x 33 cm (ancho) x 39 cm (profundidad) (o equivalentes). Garantía mínima: 12 meses. Entrega: puesto en el sitio de entrega.</t>
  </si>
  <si>
    <t>Medias calentadoras para danza (par), en diferentes tallas. Material: algodón o mezcla algodón-poliéster (o equivalente), elásticas y transpirables. Largo: media pierna o pantorrilla (según requerimiento). Color: a definir. Entrega: puesto en el sitio de entrega.</t>
  </si>
  <si>
    <t>Bandas elásticas circulares de resistencia para ejercicios. Material: látex natural o elastómero equivalente, alta densidad. Dimensiones aproximadas: 208 cm de perímetro x 3,2 cm de ancho x 0,45 cm de espesor (o equivalentes). Resistencia: alta, rango 35 a 85 lb (o equivalente). Colores: surtidos. Entrega: puesto en el sitio de entrega.</t>
  </si>
  <si>
    <t>Piso tipo “konker” (superficie modular para exterior) para prácticas al aire libre. Área total: 5 m x 5 m (25 m²) (o equivalente). Material: losetas/modulos en caucho reciclado, PVC deportivo o polipropileno de alto impacto (o equivalente), resistentes a intemperie y rayos UV. Espesor mínimo: 10 mm (o equivalente). Superficie antideslizante, drenante (si aplica) y fácil de ensamblar. Entrega: puesto en el sitio de entrega.</t>
  </si>
  <si>
    <t>Rodilleras de protección para trabajo de piso. Almohadilla frontal en espuma EVA de alta densidad o gel (o equivalente), espesor mínimo 15 mm (o equivalente). Diseño anatómico con ajuste elástico y borde antideslizante. Tallas: surtidas (S, M, L) según requerimiento. Colores: a definir. Entrega: puesto en el sitio de entrega.</t>
  </si>
  <si>
    <t>Calcetines de danza antideslizantes (par). Material: mezcla algodón/poliamida/elastano (o equivalente). Suela con puntos de silicona antideslizante de alta densidad. Color: negro (o según requerimiento). Tallas: surtidas. Entrega: puesto en el sitio de entrega.</t>
  </si>
  <si>
    <t>Mat o colchoneta para calentamientos y trabajo de piso. Dimensiones: 183 cm (largo) x 61 cm (ancho) (o equivalente). Espesor mínimo: 10 mm (o equivalente). Material: espuma EVA, TPE o equivalente, de celda cerrada (o equivalente) para facilitar limpieza y evitar absorción de humedad. Superficie: textura antideslizante en ambas caras. Incluye sistema de transporte (correas elásticas o funda) (o equivalente). Colores: surtidos según requerimiento. Entrega: puesto en el sitio de entrega..</t>
  </si>
  <si>
    <t>Foam roller (rodillo de masaje) o pelota de masaje (según necesidad). Material: espuma EVA de alta densidad o silicona equivalente. Tamaño XL (o equivalente): rodillo de 30 cm a 45 cm de largo y 10 cm a 15 cm de diámetro (o equivalente) o pelota de 8 cm a 12 cm de diámetro (o equivalente). Superficie lisa o texturizada (o equivalente). Colores: surtidos. Producto nuevo. Entrega: puesto en el sitio de entrega.</t>
  </si>
  <si>
    <t>Kit de primeros auxilios portátil, en estuche. Contenido mínimo: curitas/apósitos adhesivos surtidos, gasas estériles, venda elástica, cinta de uso médico/deportivo, solución antiséptica (p. ej., alcohol/gasa con alcohol o equivalente), guantes desechables y tijeras/pinzas básicas (o equivalentes). Producto nuevo y sellado. Entrega: puesto en el sitio de entrega.</t>
  </si>
  <si>
    <t>Kit de maquillaje escénico (sin marca), para caracterización. Contenido mínimo: paleta de sombras (incluye colores primarios, mates y satinados o equivalentes), labial rojo y tono piel (o equivalentes), iluminador, y base de maquillaje de alta cobertura (o equivalente). Productos nuevos, en empaque original. Deben contar con Registro Sanitario INVIMA vigente cuando aplique. Entrega: puesto en el sitio de entrega.</t>
  </si>
  <si>
    <t>Kit de peinado (sin marca) para uso escénico. Incluye como mínimo: (1) gel fijador/gomina extrafuerte (contenido mínimo 500 g o equivalente), (1) paquete de moñas/donas elásticas gruesas (mínimo 12 unidades), (1) paquete de bandas elásticas pequeñas (mínimo 100 unidades), (1) peine de cola fina y (1) cepillo de cerdas suaves (o equivalentes). Los productos cosméticos deben estar nuevos, sellados, y contar con Registro Sanitario INVIMA vigente cuando aplique. Entrega: puesto en el sitio de entrega.</t>
  </si>
  <si>
    <t>Lápices de escritura (mina negra). Dureza: HB o No. 2 (o equivalente). Material: madera reforestada o resina sintética (o equivalente). Longitud: 17,8 cm a 19,7 cm (o equivalente). Diámetro mínimo: 7,2 mm (o equivalente). Forma: redonda, triangular o hexagonal. Borrador no tóxico con casquillo sin bordes afilados. Presentación: caja x 12 unidades. Entrega: puesto en el sitio de entrega.</t>
  </si>
  <si>
    <t>Borrador tipo miga de pan (amasable) para dibujo/escritura. Color: gris o equivalente. No tóxico. Presentación: caja x 12 unidades (o equivalente). Entrega: puesto en el sitio de entrega.</t>
  </si>
  <si>
    <t>Cuaderno de notas cuadriculado, 100 hojas (o equivalente), tamaño a definir (p. ej., carta o cuaderno grande) según requerimiento. Papel bond (o equivalente). Presentación: caja x 12 unidades (o equivalente). Entrega: puesto en el sitio de entrega.</t>
  </si>
  <si>
    <t>Resma de papel tamaño media carta. Gramaje: 72 g/m² (o equivalente). Color: natural/blanco (o equivalente). Cantidad: 500 hojas por resma. Entrega: puesto en el sitio de entrega.</t>
  </si>
  <si>
    <t>Rollos de venda enyesada (gasa de algodón impregnada con yeso de fraguado rápido) o equivalente. Ancho: 10 cm, 15 cm o 20 cm (según necesidad) (o equivalentes). Largo por rollo: 2,7 m a 4,5 m (o equivalente). Producto nuevo, empacado individualmente. Entrega: puesto en el sitio de entrega.</t>
  </si>
  <si>
    <t>Papel higiénico en rollo. Presentación: paquete (cantidad de rollos a definir) según requerimiento. Hoja doble o equivalente. Producto nuevo. Entrega: puesto en el sitio de entrega.</t>
  </si>
  <si>
    <t>Pinturas acrílicas colores surtidos. Presentación: frascos/tubos (contenido a definir; p. ej., 60 ml o equivalente) o set surtido (o equivalente). Base agua, no tóxica para uso escolar/artistico (cuando aplique). Entrega: puesto en el sitio de entrega.</t>
  </si>
  <si>
    <t>Carboncillo natural o comprimido para dibujo. Presentación: set surtido (p. ej., palos diámetro 4–6 mm, longitud 13–15 cm, y/o bloques comprimidos) (o equivalentes), en estuche/caja protectora para evitar rotura. Libre de materiales que afecten el trazo (o equivalente). Entrega: puesto en el sitio de entrega.</t>
  </si>
  <si>
    <t>Fijador (fixative) en aerosol para carboncillo y grafito. Contenido: mínimo 200 ml (o equivalente). Secado rápido, pH neutro (o equivalente). Baja toxicidad (uso en ambiente ventilado). Presentación: lata aerosol nueva y sellada. Entrega: puesto en el sitio de entrega.</t>
  </si>
  <si>
    <t>Block de dibujo profesional para carboncillo/sanguina. Tamaño: a definir (p. ej., carta o equivalente). Gramaje: mínimo 100 g/m² (o equivalente). Textura: verjurada o ligeramente rugosa (o equivalente). Contenido: mínimo 80 hojas por block (o equivalente). Entrega: puesto en el sitio de entrega.</t>
  </si>
  <si>
    <t>isturí de precisión para manualidades/dibujo técnico. Mango en aluminio o equivalente con zona antideslizante. Cuchilla tipo No. 11 (punta de lanza) en acero al carbono o equivalente. Incluye tapa protectora y repuestos: mínimo 5 cuchillas. Entrega: puesto en el sitio de entrega.</t>
  </si>
  <si>
    <t>Témperas (pintura al temple) base agua, set x 6 colores surtidos. Volumen por frasco: mínimo 30 ml (o equivalente). Acabado mate, buena cobertura. No tóxicas para uso escolar (cuando aplique). Entrega: puesto en el sitio de entrega.</t>
  </si>
  <si>
    <t>Cera de alta calidad, pigmentos no tóxicos y seguros para el uso infantil
- Características:
Crayones de cera, caja x 12 colores surtidos. Pigmentos no tóxicos (apto para uso infantil cuando aplique). Textura suave, colores vivos. Entrega: puesto en el sitio de entrega.</t>
  </si>
  <si>
    <t>Plastilina en barras, 12 colores surtidos. Peso por barra: 55 g (o equivalente). No tóxica (cuando aplique). Entrega: puesto en el sitio de entrega.</t>
  </si>
  <si>
    <t>Regla metálica de 30 cm. Material: acero inoxidable o aluminio (o equivalente). Graduación visible en cm/mm. Bordes sin rebabas. Entrega: puesto en el sitio de entrega.</t>
  </si>
  <si>
    <t>Palos de pincho (palillos) paquete x 100 unidades (o equivalente). Material: madera o bambú (o equivalente). Entrega: puesto en el sitio de entrega.</t>
  </si>
  <si>
    <t>Papel periódico en pliegos. Presentación: paquete x 12 pliegos (o equivalente). Entrega: puesto en el sitio de entrega.</t>
  </si>
  <si>
    <t>Papel crepé, colores surtidos. Presentación: paquete x 12 rollos/hojas (según estándar comercial) (o equivalente). Entrega: puesto en el sitio de entrega.</t>
  </si>
  <si>
    <t>Papel seda, colores surtidos. Presentación: paquete x 12 pliegos (o equivalente). Entrega: puesto en el sitio de entrega.</t>
  </si>
  <si>
    <t>Hisopos ecológicos (cotonetes). Material: palo en papel/cartón o bambú (o equivalente) y puntas de algodón. Presentación: paquete (cantidad a definir) (o equivalente). Entrega: puesto en el sitio de entrega.</t>
  </si>
  <si>
    <t>Marcadores para tablero acrílico (borrables), colores surtidos. Punta: redonda o biselada (según necesidad) (o equivalente). Presentación: set/caja (cantidad a definir; p. ej., x 12) (o equivalente). Entrega: puesto en el sitio de entrega.</t>
  </si>
  <si>
    <t>Pegante blanco escolar (adhesivo PVA) para papel/cartón/madera liviana (o equivalente). Presentación: frasco (contenido a definir; p. ej., 250 ml o equivalente). No tóxico (cuando aplique). Entrega: puesto en el sitio de entrega.</t>
  </si>
  <si>
    <t>Papel para acuarela. Tamaño: 1/8 (o equivalente) o según requerimiento. Gramaje: mínimo 200 g/m² (recomendado 300 g/m²) (o equivalente). Cantidad: paquete/block x 100 hojas (o equivalente). Entrega: puesto en el sitio de entrega.</t>
  </si>
  <si>
    <t>Paleta para pintura/mezcla. Material: polipropileno de alta densidad o equivalente, resistente a solventes comunes. Dimensiones mínimas: 23 cm x 17 cm (o equivalente). Debe incluir mínimo 10 a 12 cavidades (pocillos) y un área central de mezcla. Color: blanco (o equivalente). Entrega: puesto en el sitio de entrega.</t>
  </si>
  <si>
    <t>Esponjas para técnicas de absorción/aplicación. Set mínimo: 5 piezas (o equivalente). Material: espuma sintética o celulosa (o equivalente), lavables, que no suelten residuos. Entrega: puesto en el sitio de entrega.</t>
  </si>
  <si>
    <t>Arcilla para modelado, presentación 1 kg (o equivalente). Color: natural o surtido según disponibilidad. Entrega: puesto en el sitio de entrega.</t>
  </si>
  <si>
    <t>Piezas de cerámica en bizcocho (sin esmaltar) para pintar. Tamaños: pequeños/medianos/grandes, surtidos según requerimiento. Deben ser aptas para pintura acrílica o vinilo (o equivalente). Entrega: puesto en el sitio de entrega.</t>
  </si>
  <si>
    <t>Lápices de grafito para dibujo, set surtido con durezas que incluyan 2B, 4B (y equivalentes). Presentación: caja x 12 unidades (o equivalente). Material: madera o equivalente. Entrega: puesto en el sitio de entrega.</t>
  </si>
  <si>
    <t>Block de papel bond tamaño carta, 100 hojas (o equivalente). Gramaje: 75 g/m² a 90 g/m² (o equivalente). Entrega: puesto en el sitio de entrega.</t>
  </si>
  <si>
    <t>Esferos tinta negra. Punta media 1,0 mm (o equivalente). Presentación: caja x 12 unidades (o equivalente). Entrega: puesto en el sitio de entrega.</t>
  </si>
  <si>
    <t>Resaltadores fluorescentes, colores surtidos. Punta biselada (o equivalente). Presentación: caja x 12 unidades (o equivalente). Entrega: puesto en el sitio de entrega.</t>
  </si>
  <si>
    <t>Rollo de papel kraft. Ancho: 61 cm (o equivalente). Largo: según presentación comercial (o equivalente). Entrega: puesto en el sitio de entrega.</t>
  </si>
  <si>
    <t>Libro de trabajo según temática de la clase (a definir por la supervisión). Requisitos mínimos: edición impresa, contenido pedagógico acorde al nivel, mínimo 80 páginas (o equivalente), encuadernación rústica o equivalente. Entrega: puesto en el sitio de entrega.</t>
  </si>
  <si>
    <t>Cuento ilustrado según temática de la clase (a definir por la supervisión). Requisitos mínimos: edición impresa, ilustrado a color (o equivalente), mínimo 24 páginas (o equivalente), encuadernación rústica o equivalente. Entrega: puesto en el sitio de entrega.</t>
  </si>
  <si>
    <t>Libro álbum según temática de la clase (a definir por la supervisión). Requisitos mínimos: formato grande (aprox. 21 cm x 28 cm o equivalente), ilustrado, mínimo 24 páginas (o equivalente), encuadernación resistente (grapado o lomo pegado) (o equivalente). Entrega: puesto en el sitio de entrega.</t>
  </si>
  <si>
    <t>Lápices de colores, caja x 12 unidades. Cuerpo en madera reforestada o equivalente, de fácil tajado. Colores surtidos. Entrega: puesto en el sitio de entrega.</t>
  </si>
  <si>
    <t>Cartulina Bristol tamaño octavo (25 cm x 35 cm) (o equivalente). Gramaje: 150 g/m² (o equivalente). Colores: blanco/amarillo/azul/verde/rosado o surtidos. Presentación: paquete x 100 unidades (o equivalente). Entrega: puesto en el sitio de entrega.</t>
  </si>
  <si>
    <t>Papel origami, colores surtidos. Tamaño: 15 cm x 15 cm (o equivalente) (otros tamaños según necesidad). Gramaje: 60 g/m² a 80 g/m² (o equivalente), resistente al plegado. Presentación: block/paquete (cantidad a definir) (o equivalente). Entrega: puesto en el sitio de entrega.</t>
  </si>
  <si>
    <t xml:space="preserve">Ítem: Rodillo de felpa de 9 pulgadas (228 mm).
Material: Poliéster de alta densidad o lana sintética (antigoteo). Puesto en el sitio de entrega </t>
  </si>
  <si>
    <t xml:space="preserve">Brocha para pintura de 2 pulgadas (50.8 mm).
Tipo de cerda: Cerda natural (mona) de alta calidad. Puesto en el sitio de entrega. </t>
  </si>
  <si>
    <t>Overol enterizo en drill color azul, negro o gris. Diferentes tallas. Especificaciones: Cierre frontal reforzado, bolsillos funcionales (pecho, costados y traseros), elástico en cintura para ajuste ergonómico y costuras dobles.
Puesta en sitio de entrega.</t>
  </si>
  <si>
    <t xml:space="preserve">Pelota de Gimnasia / Yoga </t>
  </si>
  <si>
    <t>Pelota de Gimnasia / Yoga, Material: PVC de alta densidad blando y flexible, Superficie: Antideslizante con textura de anillos concéntricos para mayor agarre al piso.Tamaño: Diámetro entre 20 cm y 25 cm., Debe incluir inflador de pie o de mano (bomba de aire, colores variados 
Puesta en sitio de entrega.</t>
  </si>
  <si>
    <t>Vestuarios tipico de carranga 
(mujer)</t>
  </si>
  <si>
    <t>Vestuarios tipico de carranga 
(hombre)</t>
  </si>
  <si>
    <t>Trompeta en Si♭ (Bb), instrumento de viento-metal. Material: latón con acabado lacado o plateado (o equivalente). Incluye: boquilla estándar, estuche rígido o semirrígido y kit básico de limpieza (o equivalente). Pistos de acción suave, afinación estable. Garantía mínima: 12 meses por defectos de fabricación. Entrega: puesto en el lugar de entrega.</t>
  </si>
  <si>
    <t>Melófono de marcha (marching mellophone), afinación Fa (F) o Si♭ (según estándar del conjunto) o equivalente, con estuche y boquilla incluidos. Material: latón con acabado lacado/plateado (o equivalente). Válvulas de acción superior, incluye porta-instrumento/correa si aplica. Garantía mínima: 12 meses por defectos de fabricación. Entrega: puesto en el lugar de entrega.</t>
  </si>
  <si>
    <t>Clarinete soprano en Si♭ (Bb), sistema Boehm (mínimo 17 llaves y 6 anillos), cuerpo en resina ABS/plástico técnico o equivalente (tipo estudiante). Incluye: boquilla, abrazadera, tapa, estuche y kit básico de limpieza (o equivalente). Llaves en alpaca/níquel (o equivalente), almohadillas con buen sello y muelles de acero. Garantía mínima: 12 meses por defectos de fabricación. Entrega: puesto en el lugar de entrega.</t>
  </si>
  <si>
    <t>Saxofón alto en Mi♭ (Eb), cuerpo en latón con acabado lacado (o equivalente). Incluye: boquilla, abrazadera, tapa, correa/arnés y estuche (o equivalentes). Llaves con ajuste correcto y zapatillas con buen sello. Garantía mínima: 12 meses por defectos de fabricación. Entrega: puesto en el lugar de entrega.</t>
  </si>
  <si>
    <t>Saxofón tenor en Si♭ (Bb), cuerpo en latón con acabado lacado (o equivalente). Incluye: boquilla, abrazadera, tapa, correa/arnés y estuche (o equivalentes). Llaves con ajuste correcto y zapatillas con buen sello. Garantía mínima: 12 meses por defectos de fabricación. Entrega: puesto en el lugar de entrega.</t>
  </si>
  <si>
    <t>Clarinete (instrumento). Aerófono de lengüeta simple, afinación Si♭ (Bb), sistema Boehm (mínimo 17 llaves y 6 anillos). Cuerpo en resina ABS/policarbonato o equivalente (tipo estudiante). Llaves en alpaca/níquel (o equivalente) con muelles de acero; almohadillas con buen sello. Incluye: boquilla, abrazadera, tapa, estuche y kit básico de limpieza (o equivalentes). Garantía mínima: 12 meses por defectos de fabricación. Entrega: puesto en el sitio de entrega.</t>
  </si>
  <si>
    <t>Bombardino (euphonium) o fliscorno barítono (según necesidad), afinación Si♭ (Bb). Instrumento de viento-metal de perforación cónica, mínimo 3 pistones de acción superior. Material: latón con acabado lacado o plateado. Campana orientada hacia arriba (upright), diámetro aproximado 280–300 mm (o equivalente). Incluye: boquilla y estuche. Garantía mínima: 12 meses por defectos de fabricación. Entrega: puesto en el sitio de entrega.</t>
  </si>
  <si>
    <t>SE TOMA EL PROMEDIO COMO MEDIDA DE TENDENCIA CENTRAL , VALORES TOMADOS DELA CANASTA DE COSTOS</t>
  </si>
  <si>
    <t>SE TOMA LA MEDIANA COMO MEDIDA DE TENDENCIA CENTRAL . , VALORES TOMADOS DELA CANASTA DE COSTOS</t>
  </si>
  <si>
    <t>SE TOMA EL PROMEDIO COMO MEDIDA DE TENDENCIA CENTRAL VALORES TOMADOS DELA CANASTA DE COSTOS</t>
  </si>
  <si>
    <t>SE TOMA EL PROMEDIO COMO MEDIDA DE TENDENCIA CENTRAL . VALORES TOMADOS DELA CANASTA DE COSTOS</t>
  </si>
  <si>
    <t>SE TOMA LA MEDIANA COMO MEDIDA DE TENDENCIA CENTRAL VALORES TOMADOS DELA CANASTA DE COSTOS</t>
  </si>
  <si>
    <t>SE TOMA LA MEDIANA COMO MEDIDA DE TENDENCIA CENTRAL  VALORES TOMADOS DELA CANASTA DE COSTOS</t>
  </si>
  <si>
    <t xml:space="preserve">SE TOMA LA MEDIANA COMO MEDIDA DE TENDENCIA CENTRAL . VALORES TOMADOS DE LA CANASTA DE COSTOS </t>
  </si>
  <si>
    <t xml:space="preserve">SE TOMA EL PROMEDIO COMO MEDIDA DE TENDENCIA CENTRAL  VALORES TOMADOS DE LA CANASTA DE COSTOS </t>
  </si>
  <si>
    <t>VALOR UNITARIO  INTERNET (IVA INCLUIDO)</t>
  </si>
  <si>
    <t>VALOR UNITARIO (CARGA TRIBUTARIA 26% * UTILIDAD 10%)</t>
  </si>
  <si>
    <r>
      <t xml:space="preserve">NOTA 1:  </t>
    </r>
    <r>
      <rPr>
        <sz val="11"/>
        <color rgb="FF000000"/>
        <rFont val="Garamond"/>
        <family val="1"/>
      </rPr>
      <t xml:space="preserve">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t>
    </r>
  </si>
  <si>
    <t>NIT: 800243833</t>
  </si>
  <si>
    <t>Xilófono profesional  en madera 8 Tonos con baquetas en madera.  
Altura: Específique la altura deseada (ej. 50 cm, 80 cm o 1 metro desde el suelo hasta el soporte del pie).
Seguridad: Amarres: Correas de lona reforzada o cuero con hebillas metálicas de seguridad para fijar pie y pantorrilla.
Base: Topes de caucho antideslizante de alta densidad en la base para evitar resbalones y proteger el piso. Puesto en el sietio de entrega.</t>
  </si>
  <si>
    <t>Bombo tipo marching (bombo de marcha) en medidas escalonadas:" 16" (según requerimiento), con herrajes de alta resistencia. Casco en madera laminada o material compuesto (o equivalente), aros metálicos, parches compatibles con alta tensión. Incluye sistema de arnés/soporte de marcha compatible (si aplica) o equivalente. Garantía mínima: 12 meses por defectos de fabricación. Entrega: puesto en el sitio de entrega.</t>
  </si>
  <si>
    <t>Aro tipo hula-hula (ula-ula) plegable o ensamblable paquete por 12 unidades (según propuesta), para uso recreativo/artístico. Material: polietileno de alta densidad (PEAD/HDPE) o equivalente. Diámetro: 80 cm a 90 cm (o equivalente). Espesor/tubo: 18 mm a 22 mm (o equivalente). Superficie lisa, sin aristas cortantes, colores sólidos surtidos. Entrega: puesto en el sitio de entrega.</t>
  </si>
  <si>
    <t>Conjunto de sudadera compuesto por chaqueta con capota y pantalón, diseñado para uso deportivo, recreativo e institucional. Elaborado en tela de algodón o mezcla algodón–poliéster, . diseño previamente aprobado por la institucion.</t>
  </si>
  <si>
    <t>Kit de protección.2  Coderas y 2 rodilleras y 2 muñequeras de gama profesional para práctica de deporte de patinaje.</t>
  </si>
  <si>
    <t>Set de 2 raquetas de bádminton de alta calidad están hechas de materiales   plástico reforzado. Estos materiales son ligeros y resistentes, lo que permite a los jugadores manejarlas con facilidad</t>
  </si>
  <si>
    <t xml:space="preserve">MATERIAL </t>
  </si>
  <si>
    <t xml:space="preserve">AJUSTAR DESCRIPCION TECNICA </t>
  </si>
  <si>
    <t xml:space="preserve">ya se ajusto </t>
  </si>
  <si>
    <t>DIDACTICOS CELMAX SAS</t>
  </si>
  <si>
    <t>RIO TECHNOLOGY</t>
  </si>
  <si>
    <t xml:space="preserve">Tabla deslizante de patinaje  en goma o caucho de alta densidad,  ajustable de 1.8 m  x 0.6 m </t>
  </si>
  <si>
    <t xml:space="preserve">Sistema completo para la práctica de bádminton, compuesto por malla (red), postes y bases portátiles. 
1. Malla en nailon o material sintético de alta resistencia
2. Dimensiones de la red: 6,02 m (largo) x 0,76 m (alto)
3. Cinta superior reforzada para tensión
4. Postes portátiles, resistentes y de fácil instalación
5. Altura compatible con estándar reglamentario (~1,55 m)
6. Bases con sistema de estabilidad (lastre o antideslizante)
7. Uso en interiores y exteriores
</t>
  </si>
  <si>
    <t>Bastones 1 mt entrenamiento Agilidad Deportiva, multicolor. Fabricado en politileno de acto impacto. 
1. Longitud: 1 metro (100 cm) ± 5 cm
2. Diámetro: entre 20 mm y 30 mm (2 cm a 3 cm)
3. Espesor de pared: entre 2 mm y 5 mm (según fabricación)
4. Peso: aproximado entre 150 g y 400 g</t>
  </si>
  <si>
    <t xml:space="preserve">EVENTOS SANTIAGO FRANCO
</t>
  </si>
  <si>
    <t>nit. :1030641065</t>
  </si>
  <si>
    <t xml:space="preserve">FUN GUERREROS VIDA
</t>
  </si>
  <si>
    <t xml:space="preserve">NIT. :900384469 </t>
  </si>
  <si>
    <t xml:space="preserve">A &amp;C
</t>
  </si>
  <si>
    <t>NIT. 901114690-0</t>
  </si>
  <si>
    <t>Tijeras A01</t>
  </si>
  <si>
    <t>Teclado electrónico para formación musical. Polifonía mínima: 32 voces (o equivalente). Conectividad: salida de audífonos, puerto USB-MIDI (o equivalente) e ingreso para pedal sustain. Incluye: pedal sustain, base tipo X ajustable y adaptador de corriente (o equivalentes). Garantía mínima: 12 meses. Entrega: puesto en el sitio de entrega.</t>
  </si>
  <si>
    <t>Tablero acrílico
Resistente a la luz solar y a la intemperie,
medidas de  60x120
y puesta en sitio de entrega.</t>
  </si>
  <si>
    <r>
      <t xml:space="preserve">Escalera de agilidad y coordinación 
</t>
    </r>
    <r>
      <rPr>
        <b/>
        <sz val="11"/>
        <color rgb="FF000000"/>
        <rFont val="Garamond"/>
        <family val="1"/>
      </rPr>
      <t xml:space="preserve">Caracteristicas: </t>
    </r>
    <r>
      <rPr>
        <sz val="11"/>
        <color rgb="FF000000"/>
        <rFont val="Garamond"/>
        <family val="1"/>
      </rPr>
      <t xml:space="preserve">
Medidas:  4 metros de largo X 40 de ancho.
Diseño; 10 casillas de 40cmx40cm,
Producto nacional elaborado en riata de poliéster fina y plastico.</t>
    </r>
  </si>
  <si>
    <r>
      <t xml:space="preserve">Conos en silicona
</t>
    </r>
    <r>
      <rPr>
        <b/>
        <sz val="11"/>
        <color rgb="FF000000"/>
        <rFont val="Garamond"/>
        <family val="1"/>
      </rPr>
      <t xml:space="preserve">Caracteristicas; </t>
    </r>
    <r>
      <rPr>
        <sz val="11"/>
        <color rgb="FF000000"/>
        <rFont val="Garamond"/>
        <family val="1"/>
      </rPr>
      <t xml:space="preserve"> 
Dimensiones; 40 Cm Con Agujeros Para Entrenamiento Agilidad Coordinación Deportiva.
Material de la Cinta: Riata de poliéster de alta densidad con acabado fino (resistente a la fricción y rayos UV)
.Material de Peldaños: Polímero rígido de alta resistencia al impacto.</t>
    </r>
  </si>
  <si>
    <t xml:space="preserve">SPORTFITNESS
NIT. </t>
  </si>
  <si>
    <t>COLOR PRINT AGENCIA PUBLICITARIA
N.I.T: 890206033-8</t>
  </si>
  <si>
    <t>PANAFARGO PAPELERIA Y TIENDAS DE ARTE
NIT: 900.055.360-8</t>
  </si>
  <si>
    <t>SAETA
NIT 860520782</t>
  </si>
  <si>
    <r>
      <t xml:space="preserve">Baquetas para redoblante tipo marching
</t>
    </r>
    <r>
      <rPr>
        <b/>
        <sz val="11"/>
        <color rgb="FF000000"/>
        <rFont val="Garamond"/>
        <family val="1"/>
      </rPr>
      <t>Caracteristicas:</t>
    </r>
    <r>
      <rPr>
        <sz val="11"/>
        <color rgb="FF000000"/>
        <rFont val="Garamond"/>
        <family val="1"/>
      </rPr>
      <t xml:space="preserve">
*(alta tensión), compatibles con redoblante de marcha. 
Material: madera dura o material compuesto, acabado liso sin astillas
Punta: oval, par balanceado.
Diámetro:  0.565 pulgadas (1.44 cm), 
Longitud: 16 pulgadas (40.6 cm). 
</t>
    </r>
    <r>
      <rPr>
        <sz val="11"/>
        <color rgb="FFEE0000"/>
        <rFont val="Garamond"/>
        <family val="1"/>
      </rPr>
      <t xml:space="preserve"> </t>
    </r>
    <r>
      <rPr>
        <sz val="11"/>
        <color rgb="FF000000"/>
        <rFont val="Garamond"/>
        <family val="1"/>
      </rPr>
      <t>Entrega: puesto en el lugar de entrega.</t>
    </r>
  </si>
  <si>
    <r>
      <t xml:space="preserve">Golpeadores para bombo tipo marching, 
</t>
    </r>
    <r>
      <rPr>
        <b/>
        <sz val="11"/>
        <rFont val="Garamond"/>
        <family val="1"/>
      </rPr>
      <t xml:space="preserve">Caracteristicas: 
</t>
    </r>
    <r>
      <rPr>
        <sz val="11"/>
        <rFont val="Garamond"/>
        <family val="1"/>
      </rPr>
      <t>Cabeza de felpa/fieltro de alta densidad, con mango en madera o fibra (o equivalente) y empuñadura antideslizante.
 Referencias/tamaños: B1  (o equivalentes), compatibles con bombos de marcha.
 La felpa debe estar firmemente adherida, sin desprendimiento.
 Entrega: puesto en el lugar de entrega.</t>
    </r>
  </si>
  <si>
    <r>
      <t xml:space="preserve">Golpeadores para bombo tipo marching,
</t>
    </r>
    <r>
      <rPr>
        <b/>
        <sz val="11"/>
        <rFont val="Garamond"/>
        <family val="1"/>
      </rPr>
      <t>Caracteristicas</t>
    </r>
    <r>
      <rPr>
        <sz val="11"/>
        <rFont val="Garamond"/>
        <family val="1"/>
      </rPr>
      <t>:
Cabeza de felpa/fieltro de alta densidad, con mango en madera o fibra (o equivalente) y empuñadura antideslizante. 
Referencias/tamaños: B2  (o equivalentes), compatibles con bombos de marcha.
La felpa debe estar firmemente adherida, sin desprendimiento.
 Entrega: puesto en el lugar de entrega.</t>
    </r>
  </si>
  <si>
    <r>
      <t xml:space="preserve">Golpeadores para bombo tipo marching
</t>
    </r>
    <r>
      <rPr>
        <b/>
        <sz val="11"/>
        <rFont val="Garamond"/>
        <family val="1"/>
      </rPr>
      <t xml:space="preserve">Caracteristicas:
</t>
    </r>
    <r>
      <rPr>
        <sz val="11"/>
        <rFont val="Garamond"/>
        <family val="1"/>
      </rPr>
      <t>*Cabeza de felpa/fieltro de alta densidad, con mango en madera o fibra (o equivalente) y empuñadura antideslizante
Referencias/tamaños: B3  (o equivalentes), compatibles con bombos de marcha. 
La felpa debe estar firmemente adherida, sin desprendimiento. Entrega: puesto en el lugar de entrega.</t>
    </r>
  </si>
  <si>
    <r>
      <t xml:space="preserve">Golpeadores para lira (glockenspiel) tipo marching. 
</t>
    </r>
    <r>
      <rPr>
        <b/>
        <sz val="11"/>
        <color rgb="FF000000"/>
        <rFont val="Garamond"/>
        <family val="1"/>
      </rPr>
      <t>Caracteristicas: 
*</t>
    </r>
    <r>
      <rPr>
        <sz val="11"/>
        <color rgb="FF000000"/>
        <rFont val="Garamond"/>
        <family val="1"/>
      </rPr>
      <t>Material del cabezal: acrílico/nylon o equivalente, dureza media, con mango en madera o fibra. 
+Par balanceado, sin rebabas ni fisuras. 
+Compatibles con liras de marcha estándar. 
+Longitud: 36 cm. 
+Diámetro de la punta (bola): entre 2.0 y 2.5 cm. 
+Diámetro del mango: aprox. 1.0 – 1.5 cm. 
Entrega: puesto en el lugar de entrega.</t>
    </r>
  </si>
  <si>
    <r>
      <t xml:space="preserve">Cañas de saxofon Vandoren Java 2/5 dureza No. 3,
</t>
    </r>
    <r>
      <rPr>
        <b/>
        <sz val="11"/>
        <color rgb="FF000000"/>
        <rFont val="Garamond"/>
        <family val="1"/>
      </rPr>
      <t>Caracteristica</t>
    </r>
    <r>
      <rPr>
        <sz val="11"/>
        <color rgb="FF000000"/>
        <rFont val="Garamond"/>
        <family val="1"/>
      </rPr>
      <t>s:
+Caña natural o sintética (o equivalente)
+ Presentación: caja cerrada y sellada, mínimo 10 unidades por caja (estándar comercial).
+Cañas compatibles con boquilla estándar para saxofón alto. 
Entrega: puesto en el lugar de entrega.</t>
    </r>
  </si>
  <si>
    <t>Cañas de saxofon Vandoren Java 2/5, dureza No. 3,
+Caña natural o sintética (o equivalente). 
+Presentación: caja cerrada y sellada, mínimo 10 unidades por caja (estándar comercial). 
+Cañas compatibles con boquilla estándar para saxofón tenor
. Entrega: puesto en el lugar de entrega.</t>
  </si>
  <si>
    <r>
      <t xml:space="preserve">Cañas de saxofon Vandoren Java 2/5, durezas No. 3 y  o No. 2 1/2. 
</t>
    </r>
    <r>
      <rPr>
        <b/>
        <sz val="11"/>
        <color rgb="FF000000"/>
        <rFont val="Garamond"/>
        <family val="1"/>
      </rPr>
      <t>Caracteristicas:</t>
    </r>
    <r>
      <rPr>
        <sz val="11"/>
        <color rgb="FF000000"/>
        <rFont val="Garamond"/>
        <family val="1"/>
      </rPr>
      <t xml:space="preserve"> 
+Caña natural o sintética (o equivalente)
+ Presentación: cajas selladas, mínimo 10 unidades por caja (estándar comercial), indicando dureza en empaque.
 Entrega: puesto en el lugar de entrega.</t>
    </r>
  </si>
  <si>
    <r>
      <t xml:space="preserve">Aceite/lubricante para vara de trombón, formulado para reducir fricción y desgaste.
</t>
    </r>
    <r>
      <rPr>
        <b/>
        <sz val="11"/>
        <color rgb="FF000000"/>
        <rFont val="Garamond"/>
        <family val="1"/>
      </rPr>
      <t xml:space="preserve">Caracteristicas: </t>
    </r>
    <r>
      <rPr>
        <sz val="11"/>
        <color rgb="FF000000"/>
        <rFont val="Garamond"/>
        <family val="1"/>
      </rPr>
      <t xml:space="preserve">
* Presentación: frasco con aplicador, contenido mínimo 30 ml
* Compatible con instrumentos de viento-metal.
+ Producto nuevo, sellado.
 Entrega: puesto en el lugar de entrega.</t>
    </r>
  </si>
  <si>
    <r>
      <t xml:space="preserve">Parche para redoblante de alta tensión,
</t>
    </r>
    <r>
      <rPr>
        <b/>
        <sz val="11"/>
        <color theme="1"/>
        <rFont val="Garamond"/>
        <family val="1"/>
      </rPr>
      <t>Caracteristicas:</t>
    </r>
    <r>
      <rPr>
        <sz val="11"/>
        <color theme="1"/>
        <rFont val="Garamond"/>
        <family val="1"/>
      </rPr>
      <t xml:space="preserve"> 
+Diámetro 14cm, tipo Kevlar híbrido o equivalente, para uso marching. + +Incluye: 1 parche superior (batidor) y 1 parche inferior (resonante), compatibles con aro estándar 14 cm. 
+Deben ser nuevos, sin deformaciones, con aro uniforme.
 Entrega: puesto en el lugar de entrega.</t>
    </r>
  </si>
  <si>
    <r>
      <t xml:space="preserve">Atril para partitura tipo bandeja,
</t>
    </r>
    <r>
      <rPr>
        <b/>
        <sz val="11"/>
        <color theme="1"/>
        <rFont val="Garamond"/>
        <family val="1"/>
      </rPr>
      <t>Caracteristicas:</t>
    </r>
    <r>
      <rPr>
        <sz val="11"/>
        <color theme="1"/>
        <rFont val="Garamond"/>
        <family val="1"/>
      </rPr>
      <t xml:space="preserve">
+ Etructura metálica (acero/aluminio), altura ajustable y base trípode antideslizante. 
+Bandeja con tope inferior para evitar caída de hojas y sistema de sujeción/clip (si aplica). 
+ Acabado anticorrosivo. Medida Mínima: 60 – 70 cm. 
Entrega: puesto en el lugar de entrega. </t>
    </r>
  </si>
  <si>
    <r>
      <t xml:space="preserve">Correa/arnés (cargador) para saxofón alto o tenor, 
</t>
    </r>
    <r>
      <rPr>
        <b/>
        <sz val="11"/>
        <color rgb="FF000000"/>
        <rFont val="Garamond"/>
        <family val="1"/>
      </rPr>
      <t>Caracteristicas:</t>
    </r>
    <r>
      <rPr>
        <sz val="11"/>
        <color rgb="FF000000"/>
        <rFont val="Garamond"/>
        <family val="1"/>
      </rPr>
      <t xml:space="preserve">
+Acolchado en cuello y ajuste de longitud
+Herrajes en metal resistente (gancho) con protección para evitar rayones y sistema de liberación segura. 
+Material: cuero sintético.
 Entrega: puesto en el lugar de entrega.</t>
    </r>
  </si>
  <si>
    <r>
      <t xml:space="preserve">Platillos de choque (par) para banda tipo marching, 
</t>
    </r>
    <r>
      <rPr>
        <b/>
        <sz val="11"/>
        <color rgb="FF000000"/>
        <rFont val="Garamond"/>
        <family val="1"/>
      </rPr>
      <t xml:space="preserve">Caracteristicas: 
</t>
    </r>
    <r>
      <rPr>
        <sz val="11"/>
        <color rgb="FF000000"/>
        <rFont val="Garamond"/>
        <family val="1"/>
      </rPr>
      <t>+ Diámetro 14. Aleación: bronce, con correas y almohadillas internas para sujeción. 
+ Acabado uniforme, sin fisuras ni deformaciones.
 Entrega: puesto en el lugar de entrega.</t>
    </r>
  </si>
  <si>
    <t xml:space="preserve">Flauta dulce </t>
  </si>
  <si>
    <t>Papel bond 75g oficio con la NTC 4436:1998 y la NTC 5397. Resmas de 500 hojas, caja x 10 resmas</t>
  </si>
  <si>
    <t>Papel Oficio</t>
  </si>
  <si>
    <t xml:space="preserve">Papel Carta </t>
  </si>
  <si>
    <t>Caja Referencia X200, con rotulo externo para su identificación. C Las más utilizadas en entidades públicas: Tipo X-200 (referencia común AGN): Alto: 25 cm Ancho: 31cm Fondo: 40 cm</t>
  </si>
  <si>
    <t xml:space="preserve">TAEWKONDO </t>
  </si>
  <si>
    <t>Multitenor tipo marching de 6 vasos. Cascos en madera (abedul/maple o equivalente) o aleación de aluminio/magnesio (o equivalente). Herrajes de alta resistencia para parches de alta presión (tipo Kevlar o equivalente), con sistema de afinación uniforme. Incluye arnés/soporte de marcha compatible (si aplica) o equivalente. Garantía mínima: 12 meses por defectos de fabricación. Entrega: puesto en el sitio de entrega.</t>
  </si>
  <si>
    <t>Micrófonos</t>
  </si>
  <si>
    <t>Diábolo de malabarismo tamaño grande (tipo profesional), con dos cazoletas en material plástico de alta resistencia Incluye: dos baquetas/palos en fibra de vidrio o equivalente y cuerda instalada o equivalente. Diámetro de las cazoletas: 12 cm a 15 cm
Ancho total (de extremo a extremo): 13 cm a 16 cm
Peso: 220 g a 300 g (óptimo para control y estabilidad)
Longitud de las baquetas: 30 cm a 35 cm
Longitud de la cuerda: 150 cm a 180 cm (ajustable) Entrega: puesto en el sitio de entrega.</t>
  </si>
  <si>
    <t>Vestidos/vestuario artístico para danza. Confección en telas aptas para movimiento (p. ej., poliéster u equivalentes) con costuras reforzadas. Debe incluir las piezas principales del vestuario definidas por la supervisión ( falda y blusa; y/o vestido y/o body y falda), con tallas surtidas. Acabados con cierres/ajustes seguros (o equivalentes). Color/diseño: a definir por la supervisión. Entrega: puesto en el sitio de entrega.</t>
  </si>
  <si>
    <t>Falda/pollera para danza (ensayo o presentación), amplia para técnicas de faldeo. Diseño: vuelo 360° (círculo completo) o equivalente. Material: lino o equivalente de gramaje medio. . Ajuste: pretina reforzada con amarre o elástico regulable (o equivalente). Tallas: según requerimiento. Color: unicolor a definir. Entrega: puesto en el sitio de entrega.</t>
  </si>
  <si>
    <t>Blusa para vestuario de danza, diseño hombros destapados (escote bandeja) con mangas abullonadas (o equivalente). Material: algodón mas elastan (o equivalente). Tallas: surtidas según requerimiento. Color: a definir. Entrega: puesto en el sitio de entrega.</t>
  </si>
  <si>
    <t>Traje para hombre (vestuario folclórico) compuesto por pantalón y camisa blanca (o equivalentes) y sombrero tradicional (p. ej., vueltiao o equivalente), según requerimiento. Telas: algodón  (o equivalente). Tallas: surtidas. Entrega: puesto en el sitio de entrega.</t>
  </si>
  <si>
    <t>Pañuelo/pañoleta para baile. Material: satín de alta densidad o equivalente. Medidas: 50 cm x 50 cm (o equivalente). Bordes: dobladillo o fileteado para evitar deshilachado. Colores: sólidos (blanco/negro/rojo o según requerimiento). Entrega: puesto en el sitio de entrega.</t>
  </si>
  <si>
    <t>Velas decorativas para uso escénico/ambientación (según requerimiento). Tipo: cilíndricas u otras formas equivalentes. Material: parafina (o equivalente) con mecha de algodón. Presentación: nuevas, sin deformaciones. Cantidad/tamaño: a definir por la supervisión. Entrega: puesto en el sitio de entrega.</t>
  </si>
  <si>
    <t>Alpargatas tradicionales (par) para vestuario. Material: lona con suela en fique (o equivalente). Tallas: surtidas según requerimiento. Color: a definir. Entrega: puesto en el sitio de entrega.</t>
  </si>
  <si>
    <t>Sombrero tradicional para hombre, en fibra natural, ala media según requerimiento. Talla: ajustable o surtida. Acabado: tejido uniforme, sin puntas expuestas. Color: natural o a definir. Entrega: puesto en el sitio de entrega.</t>
  </si>
  <si>
    <t>Ligas elásticas para el cabello, color negro. Presentación: paquete (mínimo 10 unidades o equivalente). Material: caucho/elastómero , resistentes y sin piezas metálicas (o equivalente). Entrega: puesto en el sitio de entrega.</t>
  </si>
  <si>
    <t>Vestuario escénico base para niños: trusas/maillots en color neutro (negro o piel) (o equivalentes). Material: mezcla poliéster-elastano (o equivalente), elasticidad 4 vías. Tallas: surtidas según requerimiento. Entrega: puesto en el sitio de entrega.</t>
  </si>
  <si>
    <t>Bandas elásticas de resistencia tipo gruesa para ejercicio/rehabilitación. Material: látex natural o elastómero equivalente. Niveles de resistencia: surtidos (kit de bandas:  ligera/media/fuerte) o alta. Presentación: unidad o set (según requerimiento), colores surtidos por resistencia. Deben ser lavables y sin fisuras. Entrega: puesto en el sitio de entrega.</t>
  </si>
  <si>
    <t>Tela o pañuelo grande para dinámica/expresión corporal. Medidas: 50 cm x 50 cm (o equivalente). Material: algodón o equivalente. Bordes con dobladillo o fileteado para evitar deshilachado. Colores: surtidos. Entrega: puesto en el sitio de entrega.</t>
  </si>
  <si>
    <t>Ropa de calentamiento (sudadera/conjunto) para actividad física. Color: negro (o según requerimiento). Material: algodón, gramaje medio (o equivalente). Incluye marcación con logo según lineamientos del taller (técnica de estampado o bordado definida por la supervisión). Tallas: surtidas. Entrega: puesto en el sitio de entrega.</t>
  </si>
  <si>
    <t>Toalla pequeña para uso deportivo. Dimensión aproximada: 30 cm x 30 cm (o equivalente). Material: algodón 100% (o equivalente). Colores: oscuros o surtidos según requerimiento. Entrega: puesto en el sitio de entrega.</t>
  </si>
  <si>
    <t>Camiseta suelta para danza contemporánea. Material: jersey de algodón con viscosa o equivalente, gramaje medio  Diseño: cuello redondo reforzado, costuras dobles o reforzadas (o equivalente) para evitar deformación. Tallas: surtidas (S, M, L, XL) según requerimiento. Colores: sólidos (gris, negro, blanco o según requerimiento). Entrega: puesto en el sitio de entrega.</t>
  </si>
  <si>
    <t xml:space="preserve">Bandas elásticas para el cabello </t>
  </si>
  <si>
    <t>Gorro protector de alta resistencia para cuidado capilar: Gorro diseñado para la protección y cuidado del cabello, con ajuste cómodo y materiales resistentes, adecuado para diferentes tipos y volúmenes de cabello, incluyendo trenzas largas.
Materiales: Satin (raso) de alta densidad, que ayuda a reducir el frizz y protege la fibra capilar.
Malla elástica de nylon (spandex) de alta transpirabilidad.
Sistema de ajuste: Banda elástica perimetral reforzada, de ajuste suave y no opresivo, adaptable a distintos tamaños de cabeza.
Talla: Talla única adaptable.
Durabilidad: Costuras reforzadas, resistentes al uso continuo y al lavado frecuente.
Colores disponibles: Negro, café y azul oscuro (tonos neutros).
Puesta en sitio de entrega.</t>
  </si>
  <si>
    <t xml:space="preserve">Descripción General: Traje folclórico tradicional para danza y música campesina (Carranga).
Vestuario para Mujer:
Blusa: De tela ligera y cómoda en algodon.  Debe incluir adornos tradicionales como encajes o boleros discretos en el cuello y las mangas.
Falda: Negra, de corte amplio (circular o de medio vuelo) para permitir el movimiento del baile. Suele llevar una cinta o adorno sencillo en el borde inferior.
Tallas: Especificar un surtido de tallas (ej. S, M, L, XL).
</t>
  </si>
  <si>
    <t>Chaqueta deportiva rompevientos con capucha  y bolsillos laterales para los docentes.
Material tela sintetica inpermeable, tipo naylon,, con cuello redondo, manga larga.
 cierre de cremallera hasta el cuelloencauchetada .
 Fabricación nacional, Unisex. Diseño según manual de imagen institucional. 
Nota: las tallas seran definidas al tener toda la base de datos de los docentes contratados para dar la capacitacion en las diferentes artes (diferentes tallas).
Puesta en sitio de entrega.</t>
  </si>
  <si>
    <t>Descripción General: Traje folclórico tradicional para danza y música campesina (Carranga).
Vestuario para Hombre:
Camisa: Blanca, de manga larga, de tela fresca en dacrón.
Pantalón: Negro, de corte clásico y cómodo en tela drill.
Ruana: De lana, en colores tradicionales (gris, café o negro), con buen peso y caída.
Tallas: Especificar un surtido de tallas (ej. S, M, L, XL).
Puesta en sitio de entrega.</t>
  </si>
  <si>
    <t>Uniformes (hombre) en tallas surtidas, según requerimiento. Confección en tela resistente para uso escénico/actividad física (algodón o equivalente), con costuras reforzadas. El conjunto debe incluir como mínimo las prendas definidas por la supervisión (camisa y pantalón) y permitir ajuste de tallaje. Colores/diseño: según indicaciones del proceso (sin marca). Entrega: puesto en el sitio de entrega.</t>
  </si>
  <si>
    <t>Uniformes (mujer) en tallas surtidas, según requerimiento. Confección en tela resistente para uso escénico/actividad física (algodón o equivalente), con costuras reforzadas. El conjunto debe incluir como mínimo las prendas definidas por la supervisión (camisa y falda) y permitir ajuste de tallaje. Colores/diseño: según indicaciones del proceso (sin marca). Entrega: puesto en el sitio de entrega.</t>
  </si>
  <si>
    <t>Tajalápiz con depósito. Material: plástico resistente o metal (o equivalente). Para lápiz estándar. Cuchilla en acero (o equivalente) con tornillo de seguridad. Entrega: puesto en el sitio de entrega.</t>
  </si>
  <si>
    <t>Bitácora pequeña individual. Contenido: 100 hojas blancas sin líneas ni cuadrícula (o equivalente). Tamaño: a definir (p. ej., 1/2 carta o equivalente). Encuadernación: pasta blanda o equivalente. Entrega: puesto en el sitio de entrega.</t>
  </si>
  <si>
    <t>Bisturí de precisión para manualidades/dibujo técnico. Mango en aluminio o equivalente con zona antideslizante. Cuchilla tipo No. 11 (punta de lanza) en acero al carbono o equivalente. Incluye tapa protectora y repuestos: mínimo 5 cuchillas. Entrega: puesto en el sitio de entrega.</t>
  </si>
  <si>
    <t>Set Mousse (Espuma fijadora).
Presentación: Frasco con dispensador de espuma (pump). Contenido Neto: 251 ml (8.5 fl oz).
Puesta en sitio de entrega.</t>
  </si>
  <si>
    <t>Espuma fijadora</t>
  </si>
  <si>
    <t xml:space="preserve">DEPORTES REGOL
NIT. </t>
  </si>
  <si>
    <t>SE TOMA LA MEDIANA COMO MEDIDA DE TENDENCIA CENTRAL. ESTE VALOR COMPRENDE TODOS LOS GASTOS DIRECTOS E INDIRECTOS, TALES COMO LA ADMINISTRACION DEL RECURSO, IMPUESTOS, TASAS Y Y RETRIBUCIONES. ASI COMO UN VALOR ADICIONAL POR  EL ESTAMPADO DEL PETO.</t>
  </si>
  <si>
    <t xml:space="preserve">tatami </t>
  </si>
  <si>
    <t>Dimensiones	
laminas de 1 Mtro de ancho x 1 Mtro largo x 2.5 cm de espesor
Espuma de alta densidad que absorbe altos impactos Alta resistencia al desgaste No se deforma No se descompone Evita la proliferación de gérmenes Antiestático Antideslizante Antifatiga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</si>
</sst>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44" formatCode="_-&quot;$&quot;\ * #,##0.00_-;\-&quot;$&quot;\ * #,##0.00_-;_-&quot;$&quot;\ * &quot;-&quot;??_-;_-@_-"/>
    <numFmt numFmtId="164" formatCode="_-&quot;$&quot;\ * #,##0_-;\-&quot;$&quot;\ * #,##0_-;_-&quot;$&quot;\ * &quot;-&quot;??_-;_-@_-"/>
    <numFmt numFmtId="165" formatCode="&quot;$&quot;\ #,##0"/>
    <numFmt numFmtId="166" formatCode="_-&quot;$&quot;* #,##0_-;\-&quot;$&quot;* #,##0_-;_-&quot;$&quot;* &quot;-&quot;_-;_-@_-"/>
    <numFmt numFmtId="167" formatCode="\$\ #,##0"/>
    <numFmt numFmtId="168" formatCode="\$\ 0"/>
    <numFmt numFmtId="169" formatCode="&quot;$&quot;\ #,##0.00"/>
    <numFmt numFmtId="170" formatCode="_-* #,##0.00000_-;\-* #,##0.00000_-;_-* &quot;-&quot;??_-;_-@"/>
    <numFmt numFmtId="171" formatCode="&quot;$&quot;\ #,##0.00000000;[Red]\-&quot;$&quot;\ #,##0.00000000"/>
  </numFmts>
  <fonts count="32" x14ac:knownFonts="1">
    <font>
      <sz val="11"/>
      <color theme="1"/>
      <name val="Calibri"/>
      <family val="2"/>
      <scheme val="minor"/>
    </font>
    <font>
      <sz val="11"/>
      <color theme="1"/>
      <name val="Calibri"/>
      <family val="2"/>
      <scheme val="minor"/>
    </font>
    <font>
      <sz val="12"/>
      <color theme="1"/>
      <name val="Calibri"/>
      <family val="2"/>
      <scheme val="minor"/>
    </font>
    <font>
      <sz val="11"/>
      <color theme="1"/>
      <name val="Garamond"/>
      <family val="1"/>
    </font>
    <font>
      <b/>
      <sz val="11"/>
      <color theme="1"/>
      <name val="Garamond"/>
      <family val="1"/>
    </font>
    <font>
      <sz val="10"/>
      <color rgb="FF000000"/>
      <name val="Garamond"/>
      <family val="1"/>
    </font>
    <font>
      <sz val="10"/>
      <name val="Garamond"/>
      <family val="1"/>
    </font>
    <font>
      <sz val="11"/>
      <name val="Garamond"/>
      <family val="1"/>
    </font>
    <font>
      <b/>
      <sz val="11"/>
      <color theme="1"/>
      <name val="Century"/>
      <family val="1"/>
    </font>
    <font>
      <b/>
      <sz val="12"/>
      <color theme="1"/>
      <name val="Garamond"/>
      <family val="1"/>
    </font>
    <font>
      <u/>
      <sz val="11"/>
      <color theme="10"/>
      <name val="Calibri"/>
      <family val="2"/>
      <scheme val="minor"/>
    </font>
    <font>
      <sz val="12"/>
      <color theme="1"/>
      <name val="Garamond"/>
      <family val="1"/>
    </font>
    <font>
      <sz val="11"/>
      <color rgb="FF000000"/>
      <name val="Garamond"/>
      <family val="1"/>
    </font>
    <font>
      <sz val="12"/>
      <color rgb="FF000000"/>
      <name val="Garamond"/>
      <family val="1"/>
    </font>
    <font>
      <b/>
      <sz val="12"/>
      <name val="Garamond"/>
      <family val="1"/>
    </font>
    <font>
      <b/>
      <sz val="12"/>
      <color rgb="FF000000"/>
      <name val="Garamond"/>
      <family val="1"/>
    </font>
    <font>
      <b/>
      <sz val="11"/>
      <color rgb="FF000000"/>
      <name val="Garamond"/>
      <family val="1"/>
    </font>
    <font>
      <b/>
      <sz val="11"/>
      <name val="Garamond"/>
      <family val="1"/>
    </font>
    <font>
      <sz val="11"/>
      <color rgb="FF040C28"/>
      <name val="Garamond"/>
      <family val="1"/>
    </font>
    <font>
      <sz val="11"/>
      <color rgb="FF1F1F1F"/>
      <name val="Garamond"/>
      <family val="1"/>
    </font>
    <font>
      <b/>
      <sz val="26"/>
      <name val="Century Gothic"/>
      <family val="2"/>
    </font>
    <font>
      <b/>
      <sz val="14"/>
      <name val="Century Gothic"/>
      <family val="2"/>
    </font>
    <font>
      <b/>
      <sz val="10"/>
      <name val="Garamond"/>
      <family val="1"/>
    </font>
    <font>
      <sz val="10"/>
      <color theme="1"/>
      <name val="Calibri"/>
      <family val="2"/>
      <scheme val="minor"/>
    </font>
    <font>
      <sz val="10"/>
      <color theme="1"/>
      <name val="Garamond"/>
      <family val="1"/>
    </font>
    <font>
      <sz val="10"/>
      <color indexed="8"/>
      <name val="Times New Roman"/>
      <family val="1"/>
    </font>
    <font>
      <b/>
      <sz val="12"/>
      <color theme="1"/>
      <name val="Century Gothic"/>
      <family val="2"/>
    </font>
    <font>
      <b/>
      <sz val="10"/>
      <color theme="1"/>
      <name val="Calibri"/>
      <family val="2"/>
      <scheme val="minor"/>
    </font>
    <font>
      <sz val="11"/>
      <color rgb="FFEE0000"/>
      <name val="Garamond"/>
      <family val="1"/>
    </font>
    <font>
      <sz val="11"/>
      <color rgb="FF000000"/>
      <name val="Times New Roman"/>
      <family val="2"/>
    </font>
    <font>
      <u/>
      <sz val="11"/>
      <color rgb="FF000000"/>
      <name val="Garamond"/>
      <family val="1"/>
    </font>
    <font>
      <sz val="11"/>
      <color theme="1"/>
      <name val="Times New Roman"/>
      <family val="1"/>
    </font>
  </fonts>
  <fills count="39">
    <fill>
      <patternFill patternType="none"/>
    </fill>
    <fill>
      <patternFill patternType="gray125"/>
    </fill>
    <fill>
      <patternFill patternType="solid">
        <fgColor theme="0" tint="-0.14999847407452621"/>
        <bgColor indexed="64"/>
      </patternFill>
    </fill>
    <fill>
      <patternFill patternType="solid">
        <fgColor theme="0" tint="-0.14999847407452621"/>
        <bgColor rgb="FF00FFFF"/>
      </patternFill>
    </fill>
    <fill>
      <patternFill patternType="solid">
        <fgColor theme="0"/>
        <bgColor indexed="64"/>
      </patternFill>
    </fill>
    <fill>
      <patternFill patternType="solid">
        <fgColor theme="2"/>
        <bgColor indexed="64"/>
      </patternFill>
    </fill>
    <fill>
      <patternFill patternType="solid">
        <fgColor theme="0" tint="-0.149967955565050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2" tint="-9.9978637043366805E-2"/>
        <bgColor rgb="FF00FFFF"/>
      </patternFill>
    </fill>
    <fill>
      <patternFill patternType="solid">
        <fgColor theme="7"/>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rgb="FFFFFFFF"/>
        <bgColor indexed="64"/>
      </patternFill>
    </fill>
    <fill>
      <patternFill patternType="solid">
        <fgColor theme="3" tint="0.59999389629810485"/>
        <bgColor rgb="FF00FFFF"/>
      </patternFill>
    </fill>
    <fill>
      <patternFill patternType="solid">
        <fgColor rgb="FFFF66FF"/>
        <bgColor rgb="FF000000"/>
      </patternFill>
    </fill>
    <fill>
      <patternFill patternType="solid">
        <fgColor rgb="FFD8D8D8"/>
        <bgColor rgb="FFD8D8D8"/>
      </patternFill>
    </fill>
    <fill>
      <patternFill patternType="solid">
        <fgColor rgb="FFFFD5FF"/>
        <bgColor rgb="FF000000"/>
      </patternFill>
    </fill>
    <fill>
      <patternFill patternType="solid">
        <fgColor rgb="FFFFFFFF"/>
        <bgColor rgb="FF000000"/>
      </patternFill>
    </fill>
    <fill>
      <patternFill patternType="solid">
        <fgColor rgb="FFD9D9D9"/>
        <bgColor rgb="FF00FFFF"/>
      </patternFill>
    </fill>
    <fill>
      <patternFill patternType="solid">
        <fgColor rgb="FF70A8E0"/>
        <bgColor rgb="FF00FFFF"/>
      </patternFill>
    </fill>
    <fill>
      <patternFill patternType="solid">
        <fgColor theme="8" tint="0.79998168889431442"/>
        <bgColor rgb="FF000000"/>
      </patternFill>
    </fill>
    <fill>
      <patternFill patternType="solid">
        <fgColor theme="8" tint="0.39997558519241921"/>
        <bgColor rgb="FFD8D8D8"/>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rgb="FF000000"/>
      </patternFill>
    </fill>
    <fill>
      <patternFill patternType="solid">
        <fgColor rgb="FFD8D8D8"/>
        <bgColor indexed="64"/>
      </patternFill>
    </fill>
    <fill>
      <patternFill patternType="solid">
        <fgColor theme="2"/>
        <bgColor rgb="FF00FFFF"/>
      </patternFill>
    </fill>
    <fill>
      <patternFill patternType="solid">
        <fgColor theme="6" tint="0.79998168889431442"/>
        <bgColor indexed="64"/>
      </patternFill>
    </fill>
    <fill>
      <patternFill patternType="solid">
        <fgColor theme="3" tint="0.39997558519241921"/>
        <bgColor indexed="64"/>
      </patternFill>
    </fill>
    <fill>
      <patternFill patternType="solid">
        <fgColor theme="3" tint="0.39997558519241921"/>
        <bgColor rgb="FF000000"/>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medium">
        <color indexed="64"/>
      </left>
      <right/>
      <top/>
      <bottom/>
      <diagonal/>
    </border>
    <border>
      <left/>
      <right style="thin">
        <color auto="1"/>
      </right>
      <top/>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rgb="FF000000"/>
      </right>
      <top/>
      <bottom style="thin">
        <color indexed="64"/>
      </bottom>
      <diagonal/>
    </border>
    <border>
      <left style="thin">
        <color rgb="FF000000"/>
      </left>
      <right/>
      <top style="thin">
        <color rgb="FF000000"/>
      </top>
      <bottom style="thin">
        <color rgb="FF000000"/>
      </bottom>
      <diagonal/>
    </border>
    <border>
      <left/>
      <right/>
      <top style="medium">
        <color indexed="64"/>
      </top>
      <bottom/>
      <diagonal/>
    </border>
    <border>
      <left style="thin">
        <color rgb="FF000000"/>
      </left>
      <right/>
      <top/>
      <bottom style="thin">
        <color rgb="FF000000"/>
      </bottom>
      <diagonal/>
    </border>
    <border>
      <left style="medium">
        <color indexed="64"/>
      </left>
      <right/>
      <top/>
      <bottom style="thin">
        <color indexed="64"/>
      </bottom>
      <diagonal/>
    </border>
    <border>
      <left style="thin">
        <color indexed="64"/>
      </left>
      <right/>
      <top style="thin">
        <color rgb="FF000000"/>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rgb="FF000000"/>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style="thin">
        <color rgb="FF000000"/>
      </right>
      <top/>
      <bottom style="thin">
        <color indexed="64"/>
      </bottom>
      <diagonal/>
    </border>
    <border>
      <left/>
      <right/>
      <top style="thin">
        <color indexed="64"/>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s>
  <cellStyleXfs count="20">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10"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577">
    <xf numFmtId="0" fontId="0" fillId="0" borderId="0" xfId="0"/>
    <xf numFmtId="0" fontId="3" fillId="0" borderId="0" xfId="0" applyFont="1"/>
    <xf numFmtId="0" fontId="3" fillId="0" borderId="7" xfId="0" applyFont="1" applyBorder="1"/>
    <xf numFmtId="0" fontId="3" fillId="4" borderId="0" xfId="0" applyFont="1" applyFill="1"/>
    <xf numFmtId="0" fontId="3" fillId="9" borderId="7" xfId="0" applyFont="1" applyFill="1" applyBorder="1"/>
    <xf numFmtId="0" fontId="3" fillId="0" borderId="0" xfId="0" applyFont="1" applyAlignment="1">
      <alignment horizontal="center"/>
    </xf>
    <xf numFmtId="0" fontId="3" fillId="0" borderId="0" xfId="0" applyFont="1" applyAlignment="1">
      <alignment vertical="center"/>
    </xf>
    <xf numFmtId="3" fontId="3" fillId="9" borderId="7" xfId="0" applyNumberFormat="1" applyFont="1" applyFill="1" applyBorder="1" applyAlignment="1">
      <alignment vertical="center"/>
    </xf>
    <xf numFmtId="164" fontId="3" fillId="4" borderId="7" xfId="1" applyNumberFormat="1" applyFont="1" applyFill="1" applyBorder="1" applyAlignment="1">
      <alignment horizontal="center" vertical="center"/>
    </xf>
    <xf numFmtId="164" fontId="3" fillId="4" borderId="0" xfId="1" applyNumberFormat="1" applyFont="1" applyFill="1" applyAlignment="1">
      <alignment horizontal="center" vertical="center"/>
    </xf>
    <xf numFmtId="164" fontId="3" fillId="0" borderId="7" xfId="1" applyNumberFormat="1" applyFont="1" applyBorder="1" applyAlignment="1">
      <alignment horizontal="center" vertical="center"/>
    </xf>
    <xf numFmtId="164" fontId="0" fillId="4" borderId="7" xfId="1" applyNumberFormat="1" applyFont="1" applyFill="1" applyBorder="1" applyAlignment="1">
      <alignment horizontal="center" vertical="center"/>
    </xf>
    <xf numFmtId="164" fontId="3" fillId="4" borderId="13" xfId="1" applyNumberFormat="1" applyFont="1" applyFill="1" applyBorder="1" applyAlignment="1">
      <alignment horizontal="center" vertical="center"/>
    </xf>
    <xf numFmtId="164" fontId="3" fillId="0" borderId="13" xfId="1" applyNumberFormat="1" applyFont="1" applyBorder="1" applyAlignment="1">
      <alignment horizontal="center" vertical="center"/>
    </xf>
    <xf numFmtId="165" fontId="3" fillId="0" borderId="7" xfId="1" applyNumberFormat="1" applyFont="1" applyBorder="1" applyAlignment="1">
      <alignment horizontal="center" vertical="center"/>
    </xf>
    <xf numFmtId="165" fontId="3" fillId="4" borderId="7" xfId="1" applyNumberFormat="1" applyFont="1" applyFill="1" applyBorder="1" applyAlignment="1">
      <alignment horizontal="center" vertical="center"/>
    </xf>
    <xf numFmtId="165" fontId="4" fillId="9" borderId="12" xfId="1" applyNumberFormat="1" applyFont="1" applyFill="1" applyBorder="1" applyAlignment="1">
      <alignment horizontal="center" vertical="center"/>
    </xf>
    <xf numFmtId="165" fontId="3" fillId="0" borderId="0" xfId="1" applyNumberFormat="1" applyFont="1" applyAlignment="1">
      <alignment horizontal="center" vertical="center"/>
    </xf>
    <xf numFmtId="165" fontId="3" fillId="0" borderId="7" xfId="0" applyNumberFormat="1" applyFont="1" applyBorder="1" applyAlignment="1">
      <alignment horizontal="center"/>
    </xf>
    <xf numFmtId="165" fontId="3" fillId="4" borderId="7" xfId="0" applyNumberFormat="1" applyFont="1" applyFill="1" applyBorder="1" applyAlignment="1">
      <alignment horizontal="center"/>
    </xf>
    <xf numFmtId="165" fontId="4" fillId="9" borderId="4" xfId="0" applyNumberFormat="1" applyFont="1" applyFill="1" applyBorder="1" applyAlignment="1">
      <alignment horizontal="center" vertical="center"/>
    </xf>
    <xf numFmtId="165" fontId="3" fillId="0" borderId="0" xfId="0" applyNumberFormat="1" applyFont="1" applyAlignment="1">
      <alignment horizontal="center"/>
    </xf>
    <xf numFmtId="165" fontId="4" fillId="9" borderId="0" xfId="0" applyNumberFormat="1" applyFont="1" applyFill="1" applyAlignment="1">
      <alignment horizontal="center" vertical="center"/>
    </xf>
    <xf numFmtId="165" fontId="3" fillId="0" borderId="7" xfId="0" applyNumberFormat="1" applyFont="1" applyBorder="1" applyAlignment="1">
      <alignment horizontal="center" vertical="center"/>
    </xf>
    <xf numFmtId="165" fontId="3" fillId="4" borderId="7" xfId="0" applyNumberFormat="1" applyFont="1" applyFill="1" applyBorder="1" applyAlignment="1">
      <alignment horizontal="center" vertical="center"/>
    </xf>
    <xf numFmtId="165" fontId="3" fillId="9" borderId="7" xfId="0" applyNumberFormat="1" applyFont="1" applyFill="1" applyBorder="1" applyAlignment="1">
      <alignment horizontal="center" vertical="center"/>
    </xf>
    <xf numFmtId="165" fontId="3" fillId="0" borderId="0" xfId="0" applyNumberFormat="1" applyFont="1" applyAlignment="1">
      <alignment horizontal="center" vertical="center"/>
    </xf>
    <xf numFmtId="0" fontId="3" fillId="0" borderId="0" xfId="0" applyFont="1" applyAlignment="1">
      <alignment horizontal="center" vertical="center"/>
    </xf>
    <xf numFmtId="44" fontId="3" fillId="0" borderId="0" xfId="1" applyFont="1" applyAlignment="1">
      <alignment horizontal="center" vertical="center"/>
    </xf>
    <xf numFmtId="0" fontId="7" fillId="4" borderId="0" xfId="0" applyFont="1" applyFill="1"/>
    <xf numFmtId="164" fontId="3" fillId="0" borderId="7" xfId="1" applyNumberFormat="1" applyFont="1" applyBorder="1" applyAlignment="1">
      <alignment vertical="center"/>
    </xf>
    <xf numFmtId="164" fontId="3" fillId="4" borderId="7" xfId="1" applyNumberFormat="1" applyFont="1" applyFill="1" applyBorder="1" applyAlignment="1">
      <alignment vertical="center"/>
    </xf>
    <xf numFmtId="165" fontId="3" fillId="4" borderId="13" xfId="1" applyNumberFormat="1" applyFont="1" applyFill="1" applyBorder="1" applyAlignment="1">
      <alignment horizontal="center" vertical="center"/>
    </xf>
    <xf numFmtId="165" fontId="3" fillId="4" borderId="13" xfId="0" applyNumberFormat="1" applyFont="1" applyFill="1" applyBorder="1" applyAlignment="1">
      <alignment horizontal="center"/>
    </xf>
    <xf numFmtId="165" fontId="3" fillId="4" borderId="13" xfId="0" applyNumberFormat="1" applyFont="1" applyFill="1" applyBorder="1" applyAlignment="1">
      <alignment horizontal="center" vertical="center"/>
    </xf>
    <xf numFmtId="6" fontId="3" fillId="9" borderId="7" xfId="0" applyNumberFormat="1" applyFont="1" applyFill="1" applyBorder="1"/>
    <xf numFmtId="0" fontId="3" fillId="4" borderId="7" xfId="0" applyFont="1" applyFill="1" applyBorder="1" applyAlignment="1">
      <alignment horizontal="center" vertical="center" wrapText="1"/>
    </xf>
    <xf numFmtId="0" fontId="3" fillId="4" borderId="7" xfId="0" applyFont="1" applyFill="1" applyBorder="1" applyAlignment="1">
      <alignment horizontal="center" vertical="center"/>
    </xf>
    <xf numFmtId="0" fontId="12" fillId="4" borderId="7" xfId="0" applyFont="1" applyFill="1" applyBorder="1" applyAlignment="1">
      <alignment horizontal="center" vertical="center" wrapText="1"/>
    </xf>
    <xf numFmtId="0" fontId="3" fillId="0" borderId="8" xfId="0" applyFont="1" applyBorder="1"/>
    <xf numFmtId="0" fontId="3" fillId="4" borderId="0" xfId="0" applyFont="1" applyFill="1" applyAlignment="1">
      <alignment horizontal="center" vertical="center"/>
    </xf>
    <xf numFmtId="164" fontId="3" fillId="0" borderId="7" xfId="1" applyNumberFormat="1" applyFont="1" applyBorder="1"/>
    <xf numFmtId="164" fontId="3" fillId="4" borderId="8" xfId="1" applyNumberFormat="1" applyFont="1" applyFill="1" applyBorder="1"/>
    <xf numFmtId="6" fontId="3" fillId="0" borderId="0" xfId="0" applyNumberFormat="1" applyFont="1"/>
    <xf numFmtId="165" fontId="7" fillId="4" borderId="7" xfId="1" applyNumberFormat="1" applyFont="1" applyFill="1" applyBorder="1" applyAlignment="1">
      <alignment horizontal="center" vertical="center"/>
    </xf>
    <xf numFmtId="165" fontId="3" fillId="4" borderId="8" xfId="1" applyNumberFormat="1" applyFont="1" applyFill="1" applyBorder="1" applyAlignment="1">
      <alignment horizontal="center" vertical="center"/>
    </xf>
    <xf numFmtId="0" fontId="3" fillId="0" borderId="7" xfId="0" applyFont="1" applyBorder="1" applyAlignment="1">
      <alignment horizontal="center" vertical="center" wrapText="1"/>
    </xf>
    <xf numFmtId="0" fontId="3" fillId="4" borderId="7" xfId="0" applyFont="1" applyFill="1" applyBorder="1" applyAlignment="1">
      <alignment horizontal="left" vertical="center" wrapText="1"/>
    </xf>
    <xf numFmtId="165" fontId="3" fillId="4" borderId="0" xfId="0" applyNumberFormat="1" applyFont="1" applyFill="1" applyAlignment="1">
      <alignment horizontal="center" vertical="center"/>
    </xf>
    <xf numFmtId="3" fontId="3" fillId="0" borderId="0" xfId="0" applyNumberFormat="1" applyFont="1"/>
    <xf numFmtId="0" fontId="3" fillId="4" borderId="7" xfId="0" applyFont="1" applyFill="1" applyBorder="1" applyAlignment="1">
      <alignment horizontal="center" wrapText="1"/>
    </xf>
    <xf numFmtId="0" fontId="3" fillId="4" borderId="7" xfId="0" applyFont="1" applyFill="1" applyBorder="1" applyAlignment="1">
      <alignment wrapText="1"/>
    </xf>
    <xf numFmtId="165" fontId="4" fillId="9" borderId="4" xfId="1" applyNumberFormat="1" applyFont="1" applyFill="1" applyBorder="1" applyAlignment="1">
      <alignment horizontal="center" vertical="center"/>
    </xf>
    <xf numFmtId="164" fontId="3" fillId="4" borderId="8" xfId="1" applyNumberFormat="1" applyFont="1" applyFill="1" applyBorder="1" applyAlignment="1">
      <alignment horizontal="center" vertical="center"/>
    </xf>
    <xf numFmtId="164" fontId="3" fillId="0" borderId="0" xfId="1" applyNumberFormat="1" applyFont="1" applyAlignment="1">
      <alignment horizontal="center" vertical="center"/>
    </xf>
    <xf numFmtId="0" fontId="11" fillId="0" borderId="7" xfId="0" applyFont="1" applyBorder="1" applyAlignment="1">
      <alignment horizontal="center" vertical="center"/>
    </xf>
    <xf numFmtId="44" fontId="3" fillId="4" borderId="7" xfId="1" applyFont="1" applyFill="1" applyBorder="1" applyAlignment="1">
      <alignment horizontal="center" vertical="center"/>
    </xf>
    <xf numFmtId="0" fontId="3" fillId="4" borderId="7" xfId="0" applyFont="1" applyFill="1" applyBorder="1"/>
    <xf numFmtId="165" fontId="12" fillId="4" borderId="7" xfId="1" applyNumberFormat="1" applyFont="1" applyFill="1" applyBorder="1" applyAlignment="1">
      <alignment horizontal="center" vertical="center" wrapText="1"/>
    </xf>
    <xf numFmtId="164" fontId="3" fillId="4" borderId="13" xfId="0" applyNumberFormat="1" applyFont="1" applyFill="1" applyBorder="1" applyAlignment="1">
      <alignment horizontal="center" vertical="center"/>
    </xf>
    <xf numFmtId="164" fontId="3" fillId="4" borderId="13" xfId="1" applyNumberFormat="1" applyFont="1" applyFill="1" applyBorder="1" applyAlignment="1">
      <alignment horizontal="center" vertical="center" wrapText="1"/>
    </xf>
    <xf numFmtId="9" fontId="3" fillId="4" borderId="13" xfId="4" applyFont="1" applyFill="1" applyBorder="1" applyAlignment="1">
      <alignment horizontal="center" vertical="center"/>
    </xf>
    <xf numFmtId="9" fontId="3" fillId="4" borderId="7" xfId="4" applyFont="1" applyFill="1" applyBorder="1" applyAlignment="1">
      <alignment horizontal="center" vertical="center"/>
    </xf>
    <xf numFmtId="164" fontId="3" fillId="4" borderId="7" xfId="0" applyNumberFormat="1" applyFont="1" applyFill="1" applyBorder="1" applyAlignment="1">
      <alignment horizontal="center" vertical="center"/>
    </xf>
    <xf numFmtId="164" fontId="3" fillId="4" borderId="7" xfId="1" applyNumberFormat="1" applyFont="1" applyFill="1" applyBorder="1" applyAlignment="1">
      <alignment horizontal="center" vertical="center" wrapText="1"/>
    </xf>
    <xf numFmtId="9" fontId="3" fillId="4" borderId="8" xfId="4" applyFont="1" applyFill="1" applyBorder="1" applyAlignment="1">
      <alignment horizontal="center" vertical="center"/>
    </xf>
    <xf numFmtId="165" fontId="7" fillId="4" borderId="7" xfId="1" applyNumberFormat="1" applyFont="1" applyFill="1" applyBorder="1" applyAlignment="1">
      <alignment horizontal="center" vertical="center" wrapText="1"/>
    </xf>
    <xf numFmtId="165" fontId="3" fillId="4" borderId="7" xfId="5" applyNumberFormat="1" applyFont="1" applyFill="1" applyBorder="1" applyAlignment="1">
      <alignment horizontal="center" vertical="center"/>
    </xf>
    <xf numFmtId="165" fontId="3" fillId="4" borderId="7" xfId="1" applyNumberFormat="1" applyFont="1" applyFill="1" applyBorder="1" applyAlignment="1">
      <alignment horizontal="center" vertical="center" wrapText="1"/>
    </xf>
    <xf numFmtId="164" fontId="3" fillId="4" borderId="8" xfId="0" applyNumberFormat="1" applyFont="1" applyFill="1" applyBorder="1" applyAlignment="1">
      <alignment horizontal="center" vertical="center"/>
    </xf>
    <xf numFmtId="164" fontId="3" fillId="4" borderId="8" xfId="1" applyNumberFormat="1" applyFont="1" applyFill="1" applyBorder="1" applyAlignment="1">
      <alignment horizontal="center" vertical="center" wrapText="1"/>
    </xf>
    <xf numFmtId="0" fontId="7" fillId="4" borderId="0" xfId="0" applyFont="1" applyFill="1" applyAlignment="1">
      <alignment horizontal="center" vertical="center"/>
    </xf>
    <xf numFmtId="6" fontId="7" fillId="7" borderId="8" xfId="0" applyNumberFormat="1" applyFont="1" applyFill="1" applyBorder="1" applyAlignment="1">
      <alignment horizontal="center" vertical="center"/>
    </xf>
    <xf numFmtId="164" fontId="3" fillId="0" borderId="9" xfId="1" applyNumberFormat="1" applyFont="1" applyBorder="1" applyAlignment="1">
      <alignment horizontal="center" vertical="center"/>
    </xf>
    <xf numFmtId="6" fontId="7" fillId="7" borderId="7" xfId="0" applyNumberFormat="1" applyFont="1" applyFill="1" applyBorder="1" applyAlignment="1">
      <alignment horizontal="center" vertical="center"/>
    </xf>
    <xf numFmtId="6" fontId="7" fillId="7" borderId="11" xfId="0" applyNumberFormat="1" applyFont="1" applyFill="1" applyBorder="1" applyAlignment="1">
      <alignment horizontal="center" vertical="center"/>
    </xf>
    <xf numFmtId="164" fontId="3" fillId="4" borderId="11" xfId="1" applyNumberFormat="1" applyFont="1" applyFill="1" applyBorder="1" applyAlignment="1">
      <alignment horizontal="center" vertical="center" wrapText="1"/>
    </xf>
    <xf numFmtId="0" fontId="16" fillId="2" borderId="8" xfId="0" applyFont="1" applyFill="1" applyBorder="1" applyAlignment="1">
      <alignment horizontal="center" vertical="center" wrapText="1"/>
    </xf>
    <xf numFmtId="164" fontId="17" fillId="3" borderId="12" xfId="1" applyNumberFormat="1" applyFont="1" applyFill="1" applyBorder="1" applyAlignment="1">
      <alignment horizontal="center" vertical="center" wrapText="1"/>
    </xf>
    <xf numFmtId="165" fontId="17" fillId="22" borderId="3" xfId="1" applyNumberFormat="1" applyFont="1" applyFill="1" applyBorder="1" applyAlignment="1">
      <alignment horizontal="center" vertical="center" wrapText="1"/>
    </xf>
    <xf numFmtId="164" fontId="17" fillId="3" borderId="23" xfId="1" applyNumberFormat="1" applyFont="1" applyFill="1" applyBorder="1" applyAlignment="1">
      <alignment horizontal="center" vertical="center" wrapText="1"/>
    </xf>
    <xf numFmtId="165" fontId="17" fillId="22" borderId="6" xfId="1" applyNumberFormat="1"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7" xfId="0" applyFont="1" applyFill="1" applyBorder="1" applyAlignment="1">
      <alignment horizontal="center" vertical="center" wrapText="1"/>
    </xf>
    <xf numFmtId="9" fontId="4" fillId="2" borderId="7" xfId="4" applyFont="1" applyFill="1" applyBorder="1" applyAlignment="1">
      <alignment horizontal="center" vertical="center" wrapText="1"/>
    </xf>
    <xf numFmtId="164" fontId="4" fillId="5" borderId="8" xfId="1" applyNumberFormat="1" applyFont="1" applyFill="1" applyBorder="1" applyAlignment="1">
      <alignment horizontal="center" vertical="center" wrapText="1"/>
    </xf>
    <xf numFmtId="44" fontId="4" fillId="2" borderId="7" xfId="3" applyFont="1" applyFill="1" applyBorder="1" applyAlignment="1">
      <alignment horizontal="center" vertical="center" wrapText="1"/>
    </xf>
    <xf numFmtId="0" fontId="12" fillId="0" borderId="7" xfId="0" applyFont="1" applyBorder="1" applyAlignment="1">
      <alignment horizontal="center" vertical="center" wrapText="1"/>
    </xf>
    <xf numFmtId="6" fontId="7" fillId="19" borderId="11" xfId="0" applyNumberFormat="1" applyFont="1" applyFill="1" applyBorder="1" applyAlignment="1">
      <alignment horizontal="center" vertical="center"/>
    </xf>
    <xf numFmtId="0" fontId="12" fillId="4" borderId="7" xfId="0" applyFont="1" applyFill="1" applyBorder="1" applyAlignment="1">
      <alignment horizontal="left" vertical="center" wrapText="1"/>
    </xf>
    <xf numFmtId="164" fontId="12" fillId="0" borderId="27" xfId="1" applyNumberFormat="1" applyFont="1" applyBorder="1" applyAlignment="1">
      <alignment horizontal="center" vertical="center"/>
    </xf>
    <xf numFmtId="0" fontId="12" fillId="21" borderId="7" xfId="0" applyFont="1" applyFill="1" applyBorder="1" applyAlignment="1">
      <alignment horizontal="center" vertical="center" wrapText="1"/>
    </xf>
    <xf numFmtId="0" fontId="12" fillId="0" borderId="7" xfId="0" applyFont="1" applyBorder="1" applyAlignment="1">
      <alignment vertical="center" wrapText="1"/>
    </xf>
    <xf numFmtId="0" fontId="12" fillId="4" borderId="7" xfId="0" applyFont="1" applyFill="1" applyBorder="1" applyAlignment="1">
      <alignment vertical="center" wrapText="1"/>
    </xf>
    <xf numFmtId="0" fontId="18" fillId="4" borderId="7" xfId="0" applyFont="1" applyFill="1" applyBorder="1" applyAlignment="1">
      <alignment horizontal="left" wrapText="1"/>
    </xf>
    <xf numFmtId="0" fontId="3" fillId="0" borderId="7" xfId="0" applyFont="1" applyBorder="1" applyAlignment="1">
      <alignment wrapText="1"/>
    </xf>
    <xf numFmtId="0" fontId="3" fillId="4" borderId="7" xfId="0" applyFont="1" applyFill="1" applyBorder="1" applyAlignment="1">
      <alignment vertical="center" wrapText="1"/>
    </xf>
    <xf numFmtId="6" fontId="7" fillId="7" borderId="19" xfId="0" applyNumberFormat="1" applyFont="1" applyFill="1" applyBorder="1" applyAlignment="1">
      <alignment horizontal="center" vertical="center"/>
    </xf>
    <xf numFmtId="0" fontId="7" fillId="4" borderId="27" xfId="0" applyFont="1" applyFill="1" applyBorder="1" applyAlignment="1">
      <alignment horizontal="center" vertical="center" wrapText="1"/>
    </xf>
    <xf numFmtId="165" fontId="17" fillId="22" borderId="5" xfId="1" applyNumberFormat="1" applyFont="1" applyFill="1" applyBorder="1" applyAlignment="1">
      <alignment horizontal="center" vertical="center" wrapText="1"/>
    </xf>
    <xf numFmtId="164" fontId="17" fillId="3" borderId="7" xfId="1" applyNumberFormat="1" applyFont="1" applyFill="1" applyBorder="1" applyAlignment="1">
      <alignment horizontal="center" vertical="center" wrapText="1"/>
    </xf>
    <xf numFmtId="164" fontId="12" fillId="0" borderId="7" xfId="1" applyNumberFormat="1" applyFont="1" applyBorder="1" applyAlignment="1">
      <alignment horizontal="center" vertical="center"/>
    </xf>
    <xf numFmtId="164" fontId="12" fillId="0" borderId="0" xfId="1" applyNumberFormat="1" applyFont="1" applyBorder="1" applyAlignment="1">
      <alignment horizontal="center" vertical="center"/>
    </xf>
    <xf numFmtId="164" fontId="3" fillId="4" borderId="9" xfId="1" applyNumberFormat="1" applyFont="1" applyFill="1" applyBorder="1" applyAlignment="1">
      <alignment horizontal="center" vertical="center"/>
    </xf>
    <xf numFmtId="164" fontId="12" fillId="0" borderId="33" xfId="1" applyNumberFormat="1" applyFont="1" applyBorder="1" applyAlignment="1">
      <alignment horizontal="center" vertical="center"/>
    </xf>
    <xf numFmtId="164" fontId="3" fillId="4" borderId="18" xfId="1" applyNumberFormat="1" applyFont="1" applyFill="1" applyBorder="1" applyAlignment="1">
      <alignment horizontal="center" vertical="center"/>
    </xf>
    <xf numFmtId="164" fontId="12" fillId="0" borderId="13" xfId="1" applyNumberFormat="1" applyFont="1" applyBorder="1" applyAlignment="1">
      <alignment horizontal="center" vertical="center"/>
    </xf>
    <xf numFmtId="164" fontId="3" fillId="4" borderId="24" xfId="1" applyNumberFormat="1" applyFont="1" applyFill="1" applyBorder="1" applyAlignment="1">
      <alignment horizontal="center" vertical="center"/>
    </xf>
    <xf numFmtId="164" fontId="3" fillId="0" borderId="0" xfId="1" applyNumberFormat="1" applyFont="1" applyBorder="1" applyAlignment="1">
      <alignment horizontal="center" vertical="center"/>
    </xf>
    <xf numFmtId="0" fontId="3" fillId="4" borderId="9" xfId="0" applyFont="1" applyFill="1" applyBorder="1" applyAlignment="1">
      <alignment horizontal="center" vertical="center"/>
    </xf>
    <xf numFmtId="164" fontId="7" fillId="4" borderId="9" xfId="1" applyNumberFormat="1" applyFont="1" applyFill="1" applyBorder="1" applyAlignment="1">
      <alignment horizontal="center" vertical="center"/>
    </xf>
    <xf numFmtId="164" fontId="7" fillId="4" borderId="27" xfId="1" applyNumberFormat="1" applyFont="1" applyFill="1" applyBorder="1" applyAlignment="1">
      <alignment horizontal="center" vertical="center"/>
    </xf>
    <xf numFmtId="0" fontId="3" fillId="9" borderId="0" xfId="0" applyFont="1" applyFill="1" applyAlignment="1">
      <alignment horizontal="center" vertical="center"/>
    </xf>
    <xf numFmtId="0" fontId="16" fillId="2" borderId="18" xfId="0" applyFont="1" applyFill="1" applyBorder="1" applyAlignment="1">
      <alignment vertical="center" wrapText="1"/>
    </xf>
    <xf numFmtId="3" fontId="3" fillId="9" borderId="7" xfId="0" applyNumberFormat="1" applyFont="1" applyFill="1" applyBorder="1" applyAlignment="1">
      <alignment horizontal="left" vertical="center" indent="5"/>
    </xf>
    <xf numFmtId="0" fontId="12" fillId="0" borderId="13" xfId="0" applyFont="1" applyBorder="1" applyAlignment="1">
      <alignment horizontal="center" vertical="center" wrapText="1"/>
    </xf>
    <xf numFmtId="0" fontId="16" fillId="0" borderId="0" xfId="0" applyFont="1" applyAlignment="1">
      <alignment horizontal="center" vertical="center" wrapText="1"/>
    </xf>
    <xf numFmtId="0" fontId="12" fillId="26" borderId="13" xfId="0" applyFont="1" applyFill="1" applyBorder="1" applyAlignment="1">
      <alignment horizontal="center" vertical="center" wrapText="1"/>
    </xf>
    <xf numFmtId="0" fontId="12" fillId="26" borderId="7" xfId="0" applyFont="1" applyFill="1" applyBorder="1" applyAlignment="1">
      <alignment horizontal="center" vertical="center" wrapText="1"/>
    </xf>
    <xf numFmtId="164" fontId="3" fillId="0" borderId="0" xfId="0" applyNumberFormat="1" applyFont="1"/>
    <xf numFmtId="0" fontId="11" fillId="0" borderId="0" xfId="0" applyFont="1" applyAlignment="1">
      <alignment vertical="center"/>
    </xf>
    <xf numFmtId="0" fontId="11" fillId="0" borderId="0" xfId="0" applyFont="1" applyAlignment="1">
      <alignment horizontal="center" vertical="center"/>
    </xf>
    <xf numFmtId="164" fontId="15" fillId="2" borderId="8" xfId="1" applyNumberFormat="1" applyFont="1" applyFill="1" applyBorder="1" applyAlignment="1">
      <alignment horizontal="center" vertical="center" wrapText="1"/>
    </xf>
    <xf numFmtId="164" fontId="15" fillId="2" borderId="7" xfId="1" applyNumberFormat="1" applyFont="1" applyFill="1" applyBorder="1" applyAlignment="1">
      <alignment horizontal="center" vertical="center" wrapText="1"/>
    </xf>
    <xf numFmtId="0" fontId="3" fillId="0" borderId="7" xfId="7" applyFont="1" applyBorder="1" applyAlignment="1">
      <alignment horizontal="left" vertical="center" wrapText="1"/>
    </xf>
    <xf numFmtId="0" fontId="3" fillId="0" borderId="7" xfId="7" applyFont="1" applyBorder="1" applyAlignment="1">
      <alignment horizontal="center" vertical="center" wrapText="1"/>
    </xf>
    <xf numFmtId="0" fontId="11" fillId="0" borderId="7" xfId="0" applyFont="1" applyBorder="1" applyAlignment="1">
      <alignment vertical="center"/>
    </xf>
    <xf numFmtId="0" fontId="11" fillId="0" borderId="7" xfId="0" applyFont="1" applyBorder="1" applyAlignment="1">
      <alignment vertical="center" wrapText="1"/>
    </xf>
    <xf numFmtId="0" fontId="15" fillId="2" borderId="7" xfId="0" applyFont="1" applyFill="1" applyBorder="1" applyAlignment="1">
      <alignment horizontal="center" vertical="center" wrapText="1"/>
    </xf>
    <xf numFmtId="165" fontId="11" fillId="0" borderId="0" xfId="0" applyNumberFormat="1" applyFont="1" applyAlignment="1">
      <alignment vertical="center"/>
    </xf>
    <xf numFmtId="165" fontId="11" fillId="0" borderId="0" xfId="0" applyNumberFormat="1" applyFont="1" applyAlignment="1">
      <alignment horizontal="right" vertical="center"/>
    </xf>
    <xf numFmtId="0" fontId="11" fillId="0" borderId="0" xfId="0" applyFont="1" applyAlignment="1">
      <alignment horizontal="left" vertical="center" wrapText="1"/>
    </xf>
    <xf numFmtId="0" fontId="14" fillId="2" borderId="0" xfId="0" applyFont="1" applyFill="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wrapText="1"/>
    </xf>
    <xf numFmtId="0" fontId="15" fillId="10" borderId="7" xfId="0" applyFont="1" applyFill="1" applyBorder="1" applyAlignment="1">
      <alignment horizontal="center" vertical="center" wrapText="1"/>
    </xf>
    <xf numFmtId="0" fontId="15" fillId="12" borderId="9" xfId="0" applyFont="1" applyFill="1" applyBorder="1" applyAlignment="1">
      <alignment horizontal="center" vertical="center" wrapText="1"/>
    </xf>
    <xf numFmtId="0" fontId="15" fillId="12" borderId="11" xfId="0" applyFont="1" applyFill="1" applyBorder="1" applyAlignment="1">
      <alignment horizontal="center" vertical="center" wrapText="1"/>
    </xf>
    <xf numFmtId="0" fontId="6" fillId="0" borderId="7" xfId="0" applyFont="1" applyBorder="1" applyAlignment="1">
      <alignment horizontal="center" vertical="center"/>
    </xf>
    <xf numFmtId="0" fontId="6" fillId="0" borderId="7" xfId="0" applyFont="1" applyBorder="1" applyAlignment="1">
      <alignment vertical="center" wrapText="1"/>
    </xf>
    <xf numFmtId="0" fontId="6" fillId="0" borderId="7" xfId="0" applyFont="1" applyBorder="1" applyAlignment="1">
      <alignment horizontal="justify" vertical="center" wrapText="1"/>
    </xf>
    <xf numFmtId="0" fontId="6" fillId="0" borderId="7" xfId="0" applyFont="1" applyBorder="1" applyAlignment="1">
      <alignment horizontal="center" vertical="center" wrapText="1"/>
    </xf>
    <xf numFmtId="165" fontId="3" fillId="4" borderId="7" xfId="1" applyNumberFormat="1" applyFont="1" applyFill="1" applyBorder="1" applyAlignment="1">
      <alignment horizontal="right" vertical="center"/>
    </xf>
    <xf numFmtId="169" fontId="3" fillId="4" borderId="7" xfId="1" applyNumberFormat="1" applyFont="1" applyFill="1" applyBorder="1" applyAlignment="1">
      <alignment horizontal="right" vertical="center"/>
    </xf>
    <xf numFmtId="165" fontId="7" fillId="4" borderId="7" xfId="0" applyNumberFormat="1" applyFont="1" applyFill="1" applyBorder="1" applyAlignment="1">
      <alignment horizontal="right" vertical="center"/>
    </xf>
    <xf numFmtId="0" fontId="0" fillId="4" borderId="0" xfId="0" applyFill="1"/>
    <xf numFmtId="0" fontId="2" fillId="16" borderId="7" xfId="0" applyFont="1" applyFill="1" applyBorder="1" applyAlignment="1">
      <alignment horizontal="center" vertical="center"/>
    </xf>
    <xf numFmtId="0" fontId="9" fillId="16" borderId="9" xfId="0" applyFont="1" applyFill="1" applyBorder="1" applyAlignment="1">
      <alignment vertical="center"/>
    </xf>
    <xf numFmtId="0" fontId="9" fillId="16" borderId="10" xfId="0" applyFont="1" applyFill="1" applyBorder="1" applyAlignment="1">
      <alignment vertical="center"/>
    </xf>
    <xf numFmtId="0" fontId="9" fillId="16" borderId="11" xfId="0" applyFont="1" applyFill="1" applyBorder="1" applyAlignment="1">
      <alignment vertical="center"/>
    </xf>
    <xf numFmtId="165" fontId="3" fillId="16" borderId="7" xfId="0" applyNumberFormat="1" applyFont="1" applyFill="1" applyBorder="1" applyAlignment="1">
      <alignment horizontal="center"/>
    </xf>
    <xf numFmtId="165" fontId="3" fillId="16" borderId="7" xfId="1" applyNumberFormat="1" applyFont="1" applyFill="1" applyBorder="1" applyAlignment="1">
      <alignment horizontal="right" vertical="center"/>
    </xf>
    <xf numFmtId="169" fontId="3" fillId="16" borderId="7" xfId="1" applyNumberFormat="1" applyFont="1" applyFill="1" applyBorder="1" applyAlignment="1">
      <alignment horizontal="right" vertical="center"/>
    </xf>
    <xf numFmtId="9" fontId="3" fillId="16" borderId="7" xfId="4" applyFont="1" applyFill="1" applyBorder="1" applyAlignment="1">
      <alignment horizontal="center" vertical="center"/>
    </xf>
    <xf numFmtId="165" fontId="7" fillId="16" borderId="7" xfId="0" applyNumberFormat="1" applyFont="1" applyFill="1" applyBorder="1" applyAlignment="1">
      <alignment horizontal="right" vertical="center"/>
    </xf>
    <xf numFmtId="164" fontId="3" fillId="16" borderId="7" xfId="1" applyNumberFormat="1" applyFont="1" applyFill="1" applyBorder="1" applyAlignment="1">
      <alignment vertical="center"/>
    </xf>
    <xf numFmtId="0" fontId="3" fillId="16" borderId="7" xfId="0" applyFont="1" applyFill="1" applyBorder="1" applyAlignment="1">
      <alignment horizontal="left" vertical="center" wrapText="1"/>
    </xf>
    <xf numFmtId="0" fontId="22" fillId="0" borderId="7" xfId="0" applyFont="1" applyBorder="1" applyAlignment="1">
      <alignment vertical="center" wrapText="1"/>
    </xf>
    <xf numFmtId="0" fontId="22" fillId="0" borderId="7" xfId="0" applyFont="1" applyBorder="1" applyAlignment="1">
      <alignment horizontal="center" vertical="center" wrapText="1"/>
    </xf>
    <xf numFmtId="0" fontId="0" fillId="4" borderId="7" xfId="0" applyFill="1" applyBorder="1"/>
    <xf numFmtId="0" fontId="9" fillId="16" borderId="7" xfId="0" applyFont="1" applyFill="1" applyBorder="1" applyAlignment="1">
      <alignment vertical="center"/>
    </xf>
    <xf numFmtId="0" fontId="0" fillId="16" borderId="7" xfId="0" applyFill="1" applyBorder="1"/>
    <xf numFmtId="165" fontId="11" fillId="0" borderId="7" xfId="0" applyNumberFormat="1" applyFont="1" applyBorder="1" applyAlignment="1">
      <alignment horizontal="center" vertical="center"/>
    </xf>
    <xf numFmtId="165" fontId="11" fillId="0" borderId="7" xfId="0" applyNumberFormat="1" applyFont="1" applyBorder="1" applyAlignment="1">
      <alignment vertical="center"/>
    </xf>
    <xf numFmtId="165" fontId="11" fillId="0" borderId="7" xfId="0" applyNumberFormat="1" applyFont="1" applyBorder="1" applyAlignment="1">
      <alignment horizontal="right" vertical="center"/>
    </xf>
    <xf numFmtId="164" fontId="4" fillId="16" borderId="7" xfId="1" applyNumberFormat="1" applyFont="1" applyFill="1" applyBorder="1" applyAlignment="1">
      <alignment vertical="center"/>
    </xf>
    <xf numFmtId="0" fontId="11" fillId="0" borderId="7" xfId="0" applyFont="1" applyBorder="1" applyAlignment="1">
      <alignment horizontal="left" vertical="center" wrapText="1"/>
    </xf>
    <xf numFmtId="0" fontId="11" fillId="0" borderId="0" xfId="0" applyFont="1" applyAlignment="1">
      <alignment horizontal="left" vertical="center"/>
    </xf>
    <xf numFmtId="5" fontId="9" fillId="24" borderId="27" xfId="0" applyNumberFormat="1" applyFont="1" applyFill="1" applyBorder="1" applyAlignment="1">
      <alignment horizontal="center" vertical="center" wrapText="1" readingOrder="1"/>
    </xf>
    <xf numFmtId="5" fontId="15" fillId="24" borderId="27" xfId="0" applyNumberFormat="1" applyFont="1" applyFill="1" applyBorder="1" applyAlignment="1">
      <alignment horizontal="center" vertical="center" wrapText="1"/>
    </xf>
    <xf numFmtId="0" fontId="23" fillId="4" borderId="7" xfId="0" applyFont="1" applyFill="1" applyBorder="1" applyAlignment="1">
      <alignment horizontal="center" vertical="center"/>
    </xf>
    <xf numFmtId="0" fontId="24" fillId="4" borderId="7" xfId="0" applyFont="1" applyFill="1" applyBorder="1" applyAlignment="1">
      <alignment horizontal="center" vertical="center" wrapText="1"/>
    </xf>
    <xf numFmtId="0" fontId="24" fillId="4" borderId="7" xfId="0" applyFont="1" applyFill="1" applyBorder="1" applyAlignment="1">
      <alignment horizontal="justify" vertical="center" wrapText="1"/>
    </xf>
    <xf numFmtId="6" fontId="3" fillId="4" borderId="7" xfId="0" applyNumberFormat="1" applyFont="1" applyFill="1" applyBorder="1"/>
    <xf numFmtId="0" fontId="24" fillId="4" borderId="7" xfId="0" applyFont="1" applyFill="1" applyBorder="1" applyAlignment="1">
      <alignment horizontal="left" vertical="center" wrapText="1"/>
    </xf>
    <xf numFmtId="0" fontId="24" fillId="0" borderId="7" xfId="0" applyFont="1" applyBorder="1" applyAlignment="1">
      <alignment horizontal="center" vertical="center" wrapText="1"/>
    </xf>
    <xf numFmtId="165" fontId="11" fillId="0" borderId="27" xfId="0" applyNumberFormat="1" applyFont="1" applyBorder="1" applyAlignment="1">
      <alignment horizontal="center" vertical="center"/>
    </xf>
    <xf numFmtId="165" fontId="13" fillId="0" borderId="27" xfId="0" applyNumberFormat="1" applyFont="1" applyBorder="1" applyAlignment="1">
      <alignment horizontal="center" vertical="center" readingOrder="1"/>
    </xf>
    <xf numFmtId="165" fontId="11" fillId="0" borderId="33" xfId="0" applyNumberFormat="1" applyFont="1" applyBorder="1" applyAlignment="1">
      <alignment horizontal="center" vertical="center"/>
    </xf>
    <xf numFmtId="0" fontId="23" fillId="4" borderId="7" xfId="0" applyFont="1" applyFill="1" applyBorder="1"/>
    <xf numFmtId="165" fontId="11" fillId="0" borderId="0" xfId="0" applyNumberFormat="1" applyFont="1" applyAlignment="1">
      <alignment horizontal="center" vertical="center"/>
    </xf>
    <xf numFmtId="0" fontId="24" fillId="0" borderId="7" xfId="0" applyFont="1" applyBorder="1" applyAlignment="1">
      <alignment horizontal="justify" vertical="center" wrapText="1"/>
    </xf>
    <xf numFmtId="0" fontId="24" fillId="0" borderId="7" xfId="0" applyFont="1" applyBorder="1" applyAlignment="1">
      <alignment horizontal="left" vertical="center" wrapText="1"/>
    </xf>
    <xf numFmtId="0" fontId="23" fillId="0" borderId="7" xfId="0" applyFont="1" applyBorder="1"/>
    <xf numFmtId="6" fontId="3" fillId="0" borderId="7" xfId="0" applyNumberFormat="1" applyFont="1" applyBorder="1"/>
    <xf numFmtId="165" fontId="3" fillId="0" borderId="7" xfId="1" applyNumberFormat="1" applyFont="1" applyFill="1" applyBorder="1" applyAlignment="1">
      <alignment horizontal="right" vertical="center"/>
    </xf>
    <xf numFmtId="169" fontId="3" fillId="0" borderId="7" xfId="1" applyNumberFormat="1" applyFont="1" applyFill="1" applyBorder="1" applyAlignment="1">
      <alignment horizontal="right" vertical="center"/>
    </xf>
    <xf numFmtId="9" fontId="3" fillId="0" borderId="7" xfId="4" applyFont="1" applyFill="1" applyBorder="1" applyAlignment="1">
      <alignment horizontal="center" vertical="center"/>
    </xf>
    <xf numFmtId="165" fontId="7" fillId="0" borderId="7" xfId="0" applyNumberFormat="1" applyFont="1" applyBorder="1" applyAlignment="1">
      <alignment horizontal="right" vertical="center"/>
    </xf>
    <xf numFmtId="164" fontId="3" fillId="0" borderId="7" xfId="1" applyNumberFormat="1" applyFont="1" applyFill="1" applyBorder="1" applyAlignment="1">
      <alignment vertical="center"/>
    </xf>
    <xf numFmtId="0" fontId="5" fillId="4" borderId="7"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7" xfId="0" applyFont="1" applyFill="1" applyBorder="1" applyAlignment="1">
      <alignment horizontal="left" vertical="center"/>
    </xf>
    <xf numFmtId="0" fontId="5" fillId="4" borderId="8" xfId="0" applyFont="1" applyFill="1" applyBorder="1" applyAlignment="1">
      <alignment horizontal="center" vertical="center"/>
    </xf>
    <xf numFmtId="0" fontId="5" fillId="4" borderId="8" xfId="0" applyFont="1" applyFill="1" applyBorder="1" applyAlignment="1">
      <alignment horizontal="left" vertical="center" wrapText="1"/>
    </xf>
    <xf numFmtId="0" fontId="24" fillId="4" borderId="8" xfId="0" applyFont="1" applyFill="1" applyBorder="1" applyAlignment="1">
      <alignment horizontal="center" vertical="center" wrapText="1"/>
    </xf>
    <xf numFmtId="0" fontId="5" fillId="4" borderId="7" xfId="0" applyFont="1" applyFill="1" applyBorder="1" applyAlignment="1">
      <alignment horizontal="left" vertical="center" wrapText="1"/>
    </xf>
    <xf numFmtId="0" fontId="3" fillId="0" borderId="7" xfId="19" applyFont="1" applyBorder="1" applyAlignment="1">
      <alignment horizontal="left" vertical="center" wrapText="1"/>
    </xf>
    <xf numFmtId="165" fontId="9" fillId="13" borderId="7" xfId="0" applyNumberFormat="1" applyFont="1" applyFill="1" applyBorder="1" applyAlignment="1">
      <alignment horizontal="right" vertical="center"/>
    </xf>
    <xf numFmtId="3" fontId="26" fillId="0" borderId="0" xfId="0" applyNumberFormat="1" applyFont="1"/>
    <xf numFmtId="0" fontId="23" fillId="0" borderId="7" xfId="0" applyFont="1" applyBorder="1" applyAlignment="1">
      <alignment horizontal="right" vertical="center"/>
    </xf>
    <xf numFmtId="0" fontId="23" fillId="0" borderId="7" xfId="0" applyFont="1" applyBorder="1" applyAlignment="1">
      <alignment horizontal="right"/>
    </xf>
    <xf numFmtId="0" fontId="23" fillId="0" borderId="7" xfId="0" applyFont="1" applyBorder="1" applyAlignment="1">
      <alignment vertical="center"/>
    </xf>
    <xf numFmtId="0" fontId="27" fillId="0" borderId="7" xfId="0" applyFont="1" applyBorder="1"/>
    <xf numFmtId="0" fontId="24" fillId="0" borderId="7" xfId="0" applyFont="1" applyBorder="1"/>
    <xf numFmtId="0" fontId="24" fillId="0" borderId="8" xfId="0" applyFont="1" applyBorder="1"/>
    <xf numFmtId="6" fontId="3" fillId="9" borderId="0" xfId="0" applyNumberFormat="1" applyFont="1" applyFill="1" applyAlignment="1">
      <alignment horizontal="center" vertical="center"/>
    </xf>
    <xf numFmtId="0" fontId="3" fillId="32" borderId="0" xfId="0" applyFont="1" applyFill="1"/>
    <xf numFmtId="0" fontId="12" fillId="33" borderId="13" xfId="0" applyFont="1" applyFill="1" applyBorder="1" applyAlignment="1">
      <alignment horizontal="center" vertical="center" wrapText="1"/>
    </xf>
    <xf numFmtId="164" fontId="0" fillId="4" borderId="27" xfId="1" applyNumberFormat="1" applyFont="1" applyFill="1" applyBorder="1" applyAlignment="1">
      <alignment horizontal="center" vertical="center"/>
    </xf>
    <xf numFmtId="0" fontId="7" fillId="4" borderId="7" xfId="0" applyFont="1" applyFill="1" applyBorder="1" applyAlignment="1">
      <alignment horizontal="center" vertical="center" wrapText="1"/>
    </xf>
    <xf numFmtId="0" fontId="7" fillId="33" borderId="13" xfId="0" applyFont="1" applyFill="1" applyBorder="1" applyAlignment="1">
      <alignment horizontal="center" vertical="center" wrapText="1"/>
    </xf>
    <xf numFmtId="165" fontId="7" fillId="4" borderId="13" xfId="1" applyNumberFormat="1" applyFont="1" applyFill="1" applyBorder="1" applyAlignment="1">
      <alignment horizontal="center" vertical="center"/>
    </xf>
    <xf numFmtId="165" fontId="7" fillId="4" borderId="7" xfId="0" applyNumberFormat="1" applyFont="1" applyFill="1" applyBorder="1" applyAlignment="1">
      <alignment horizontal="center" vertical="center"/>
    </xf>
    <xf numFmtId="165" fontId="7" fillId="4" borderId="7" xfId="0" applyNumberFormat="1" applyFont="1" applyFill="1" applyBorder="1" applyAlignment="1">
      <alignment horizontal="center"/>
    </xf>
    <xf numFmtId="165" fontId="7" fillId="4" borderId="13" xfId="0" applyNumberFormat="1" applyFont="1" applyFill="1" applyBorder="1" applyAlignment="1">
      <alignment horizontal="center" vertical="center"/>
    </xf>
    <xf numFmtId="0" fontId="12" fillId="0" borderId="7" xfId="0" applyFont="1" applyBorder="1" applyAlignment="1">
      <alignment horizontal="center" vertical="center"/>
    </xf>
    <xf numFmtId="165" fontId="12" fillId="4" borderId="9" xfId="1" applyNumberFormat="1" applyFont="1" applyFill="1" applyBorder="1" applyAlignment="1">
      <alignment horizontal="center" vertical="center" wrapText="1"/>
    </xf>
    <xf numFmtId="165" fontId="12" fillId="4" borderId="20" xfId="1" applyNumberFormat="1" applyFont="1" applyFill="1" applyBorder="1" applyAlignment="1">
      <alignment horizontal="center" vertical="center" wrapText="1"/>
    </xf>
    <xf numFmtId="0" fontId="7" fillId="4" borderId="7" xfId="0" applyFont="1" applyFill="1" applyBorder="1" applyAlignment="1">
      <alignment horizontal="center" vertical="center"/>
    </xf>
    <xf numFmtId="0" fontId="12" fillId="4" borderId="13" xfId="0" applyFont="1" applyFill="1" applyBorder="1" applyAlignment="1">
      <alignment horizontal="center" vertical="center"/>
    </xf>
    <xf numFmtId="167" fontId="29" fillId="4" borderId="33" xfId="0" applyNumberFormat="1" applyFont="1" applyFill="1" applyBorder="1" applyAlignment="1">
      <alignment horizontal="center" vertical="center" shrinkToFit="1"/>
    </xf>
    <xf numFmtId="164" fontId="12" fillId="4" borderId="7" xfId="1" applyNumberFormat="1" applyFont="1" applyFill="1" applyBorder="1" applyAlignment="1">
      <alignment horizontal="center" vertical="center" wrapText="1"/>
    </xf>
    <xf numFmtId="164" fontId="12" fillId="4" borderId="27" xfId="1" applyNumberFormat="1" applyFont="1" applyFill="1" applyBorder="1" applyAlignment="1">
      <alignment horizontal="center" vertical="center" wrapText="1"/>
    </xf>
    <xf numFmtId="165" fontId="12" fillId="4" borderId="11" xfId="1" applyNumberFormat="1" applyFont="1" applyFill="1" applyBorder="1" applyAlignment="1">
      <alignment horizontal="center" vertical="center" wrapText="1"/>
    </xf>
    <xf numFmtId="165" fontId="12" fillId="4" borderId="19" xfId="1" applyNumberFormat="1" applyFont="1" applyFill="1" applyBorder="1" applyAlignment="1">
      <alignment horizontal="center" vertical="center" wrapText="1"/>
    </xf>
    <xf numFmtId="164" fontId="12" fillId="4" borderId="11" xfId="1" applyNumberFormat="1" applyFont="1" applyFill="1" applyBorder="1" applyAlignment="1">
      <alignment horizontal="center" vertical="center" wrapText="1"/>
    </xf>
    <xf numFmtId="164" fontId="12" fillId="4" borderId="13" xfId="1" applyNumberFormat="1" applyFont="1" applyFill="1" applyBorder="1" applyAlignment="1">
      <alignment horizontal="center" vertical="center" wrapText="1"/>
    </xf>
    <xf numFmtId="165" fontId="12" fillId="4" borderId="13" xfId="1" applyNumberFormat="1" applyFont="1" applyFill="1" applyBorder="1" applyAlignment="1">
      <alignment horizontal="center" vertical="center" wrapText="1"/>
    </xf>
    <xf numFmtId="165" fontId="12" fillId="4" borderId="22" xfId="1" applyNumberFormat="1" applyFont="1" applyFill="1" applyBorder="1" applyAlignment="1">
      <alignment horizontal="center" vertical="center" wrapText="1"/>
    </xf>
    <xf numFmtId="165" fontId="12" fillId="4" borderId="8" xfId="1" applyNumberFormat="1" applyFont="1" applyFill="1" applyBorder="1" applyAlignment="1">
      <alignment horizontal="center" vertical="center" wrapText="1"/>
    </xf>
    <xf numFmtId="165" fontId="12" fillId="4" borderId="18" xfId="1" applyNumberFormat="1" applyFont="1" applyFill="1" applyBorder="1" applyAlignment="1">
      <alignment horizontal="center" vertical="center" wrapText="1"/>
    </xf>
    <xf numFmtId="0" fontId="12" fillId="4" borderId="11" xfId="0" applyFont="1" applyFill="1" applyBorder="1" applyAlignment="1">
      <alignment horizontal="center" vertical="center" wrapText="1"/>
    </xf>
    <xf numFmtId="0" fontId="30" fillId="4" borderId="13" xfId="0" applyFont="1" applyFill="1" applyBorder="1" applyAlignment="1">
      <alignment horizontal="center" vertical="center"/>
    </xf>
    <xf numFmtId="44" fontId="3" fillId="4" borderId="9" xfId="1" applyFont="1" applyFill="1" applyBorder="1" applyAlignment="1">
      <alignment horizontal="center" vertical="center"/>
    </xf>
    <xf numFmtId="44" fontId="3" fillId="4" borderId="0" xfId="1" applyFont="1" applyFill="1" applyAlignment="1">
      <alignment horizontal="center" vertical="center"/>
    </xf>
    <xf numFmtId="164" fontId="3" fillId="4" borderId="27" xfId="1" applyNumberFormat="1" applyFont="1" applyFill="1" applyBorder="1" applyAlignment="1">
      <alignment horizontal="center" vertical="center"/>
    </xf>
    <xf numFmtId="0" fontId="12" fillId="33" borderId="13" xfId="0" applyFont="1" applyFill="1" applyBorder="1" applyAlignment="1">
      <alignment horizontal="center" vertical="center"/>
    </xf>
    <xf numFmtId="164" fontId="12" fillId="4" borderId="8" xfId="1" applyNumberFormat="1" applyFont="1" applyFill="1" applyBorder="1" applyAlignment="1">
      <alignment horizontal="center" vertical="center" wrapText="1"/>
    </xf>
    <xf numFmtId="0" fontId="3" fillId="4" borderId="18" xfId="0" applyFont="1" applyFill="1" applyBorder="1" applyAlignment="1">
      <alignment horizontal="center" vertical="center"/>
    </xf>
    <xf numFmtId="164" fontId="12" fillId="4" borderId="29" xfId="1" applyNumberFormat="1" applyFont="1" applyFill="1" applyBorder="1" applyAlignment="1">
      <alignment horizontal="center" vertical="center" wrapText="1"/>
    </xf>
    <xf numFmtId="165" fontId="12" fillId="4" borderId="16" xfId="1" applyNumberFormat="1" applyFont="1" applyFill="1" applyBorder="1" applyAlignment="1">
      <alignment horizontal="center" vertical="center" wrapText="1"/>
    </xf>
    <xf numFmtId="164" fontId="12" fillId="4" borderId="33" xfId="1" applyNumberFormat="1" applyFont="1" applyFill="1" applyBorder="1" applyAlignment="1">
      <alignment horizontal="center" vertical="center" wrapText="1"/>
    </xf>
    <xf numFmtId="164" fontId="3" fillId="4" borderId="33" xfId="1" applyNumberFormat="1" applyFont="1" applyFill="1" applyBorder="1" applyAlignment="1">
      <alignment horizontal="center" vertical="center"/>
    </xf>
    <xf numFmtId="44" fontId="3" fillId="4" borderId="8" xfId="1" applyFont="1" applyFill="1" applyBorder="1" applyAlignment="1">
      <alignment horizontal="center" vertical="center"/>
    </xf>
    <xf numFmtId="165" fontId="12" fillId="4" borderId="24" xfId="1" applyNumberFormat="1" applyFont="1" applyFill="1" applyBorder="1" applyAlignment="1">
      <alignment horizontal="center" vertical="center" wrapText="1"/>
    </xf>
    <xf numFmtId="0" fontId="12" fillId="33" borderId="20" xfId="0" applyFont="1" applyFill="1" applyBorder="1" applyAlignment="1">
      <alignment horizontal="center" vertical="center" wrapText="1"/>
    </xf>
    <xf numFmtId="0" fontId="12" fillId="33" borderId="11" xfId="0" applyFont="1" applyFill="1" applyBorder="1" applyAlignment="1">
      <alignment horizontal="center" vertical="center" wrapText="1"/>
    </xf>
    <xf numFmtId="0" fontId="3" fillId="4" borderId="27" xfId="0" applyFont="1" applyFill="1" applyBorder="1" applyAlignment="1">
      <alignment horizontal="center" vertical="center"/>
    </xf>
    <xf numFmtId="0" fontId="3" fillId="4" borderId="11" xfId="0" applyFont="1" applyFill="1" applyBorder="1" applyAlignment="1">
      <alignment horizontal="center" vertical="center"/>
    </xf>
    <xf numFmtId="0" fontId="12" fillId="33" borderId="20" xfId="0" applyFont="1" applyFill="1" applyBorder="1" applyAlignment="1">
      <alignment horizontal="center" vertical="center"/>
    </xf>
    <xf numFmtId="0" fontId="12" fillId="33" borderId="7" xfId="0" applyFont="1" applyFill="1" applyBorder="1" applyAlignment="1">
      <alignment horizontal="center" vertical="center" wrapText="1"/>
    </xf>
    <xf numFmtId="0" fontId="12" fillId="4" borderId="7" xfId="0" applyFont="1" applyFill="1" applyBorder="1" applyAlignment="1">
      <alignment horizontal="center" vertical="center"/>
    </xf>
    <xf numFmtId="0" fontId="12" fillId="33" borderId="22" xfId="0" applyFont="1" applyFill="1" applyBorder="1" applyAlignment="1">
      <alignment horizontal="center" vertical="center" wrapText="1"/>
    </xf>
    <xf numFmtId="0" fontId="12" fillId="33" borderId="24" xfId="0" applyFont="1" applyFill="1" applyBorder="1" applyAlignment="1">
      <alignment horizontal="center" vertical="center" wrapText="1"/>
    </xf>
    <xf numFmtId="0" fontId="12" fillId="33" borderId="8" xfId="0" applyFont="1" applyFill="1" applyBorder="1" applyAlignment="1">
      <alignment horizontal="center" vertical="center" wrapText="1"/>
    </xf>
    <xf numFmtId="0" fontId="12" fillId="33" borderId="19" xfId="0" applyFont="1" applyFill="1" applyBorder="1" applyAlignment="1">
      <alignment horizontal="center" vertical="center" wrapText="1"/>
    </xf>
    <xf numFmtId="44" fontId="3" fillId="4" borderId="13" xfId="1" applyFont="1" applyFill="1" applyBorder="1" applyAlignment="1">
      <alignment horizontal="center" vertical="center"/>
    </xf>
    <xf numFmtId="165" fontId="12" fillId="4" borderId="15" xfId="1" applyNumberFormat="1" applyFont="1" applyFill="1" applyBorder="1" applyAlignment="1">
      <alignment horizontal="center" vertical="center" wrapText="1"/>
    </xf>
    <xf numFmtId="165" fontId="3" fillId="9" borderId="0" xfId="1" applyNumberFormat="1" applyFont="1" applyFill="1" applyAlignment="1">
      <alignment horizontal="center" vertical="center"/>
    </xf>
    <xf numFmtId="6" fontId="7" fillId="7" borderId="13" xfId="0" applyNumberFormat="1" applyFont="1" applyFill="1" applyBorder="1" applyAlignment="1">
      <alignment horizontal="center" vertical="center"/>
    </xf>
    <xf numFmtId="0" fontId="3" fillId="0" borderId="11" xfId="0" applyFont="1" applyBorder="1" applyAlignment="1">
      <alignment horizontal="center" vertical="center"/>
    </xf>
    <xf numFmtId="0" fontId="7" fillId="4" borderId="20" xfId="0" applyFont="1" applyFill="1" applyBorder="1" applyAlignment="1">
      <alignment horizontal="center" vertical="center"/>
    </xf>
    <xf numFmtId="44" fontId="3" fillId="0" borderId="7" xfId="1" applyFont="1" applyBorder="1" applyAlignment="1">
      <alignment horizontal="center" vertical="center"/>
    </xf>
    <xf numFmtId="164" fontId="3" fillId="4" borderId="11" xfId="0" applyNumberFormat="1" applyFont="1" applyFill="1" applyBorder="1" applyAlignment="1">
      <alignment horizontal="center" vertical="center"/>
    </xf>
    <xf numFmtId="0" fontId="4" fillId="2" borderId="14" xfId="0" applyFont="1" applyFill="1" applyBorder="1" applyAlignment="1">
      <alignment horizontal="center" vertical="center"/>
    </xf>
    <xf numFmtId="0" fontId="4" fillId="2" borderId="17" xfId="0" applyFont="1" applyFill="1" applyBorder="1" applyAlignment="1">
      <alignment horizontal="center" vertical="center"/>
    </xf>
    <xf numFmtId="0" fontId="12" fillId="26" borderId="13" xfId="0" applyFont="1" applyFill="1" applyBorder="1" applyAlignment="1">
      <alignment horizontal="center" vertical="center"/>
    </xf>
    <xf numFmtId="165" fontId="17" fillId="3" borderId="7" xfId="1" applyNumberFormat="1" applyFont="1" applyFill="1" applyBorder="1" applyAlignment="1">
      <alignment horizontal="center" vertical="center" wrapText="1"/>
    </xf>
    <xf numFmtId="165" fontId="17" fillId="35" borderId="7" xfId="1" applyNumberFormat="1" applyFont="1" applyFill="1" applyBorder="1" applyAlignment="1">
      <alignment horizontal="center" vertical="center" wrapText="1"/>
    </xf>
    <xf numFmtId="44" fontId="17" fillId="17" borderId="7" xfId="1" applyFont="1" applyFill="1" applyBorder="1" applyAlignment="1">
      <alignment horizontal="center" vertical="center" wrapText="1"/>
    </xf>
    <xf numFmtId="164" fontId="17" fillId="17" borderId="7" xfId="1" applyNumberFormat="1" applyFont="1" applyFill="1" applyBorder="1" applyAlignment="1">
      <alignment horizontal="center" vertical="center" wrapText="1"/>
    </xf>
    <xf numFmtId="165" fontId="17" fillId="22" borderId="7" xfId="1" applyNumberFormat="1" applyFont="1" applyFill="1" applyBorder="1" applyAlignment="1">
      <alignment horizontal="center" vertical="center" wrapText="1"/>
    </xf>
    <xf numFmtId="0" fontId="17" fillId="27" borderId="7" xfId="0" applyFont="1" applyFill="1" applyBorder="1" applyAlignment="1">
      <alignment horizontal="center" vertical="center" wrapText="1"/>
    </xf>
    <xf numFmtId="0" fontId="17" fillId="28" borderId="7" xfId="0" applyFont="1" applyFill="1" applyBorder="1" applyAlignment="1">
      <alignment horizontal="center" vertical="center" wrapText="1"/>
    </xf>
    <xf numFmtId="164" fontId="7" fillId="4" borderId="7" xfId="1" applyNumberFormat="1" applyFont="1" applyFill="1" applyBorder="1" applyAlignment="1">
      <alignment horizontal="center" vertical="center" wrapText="1"/>
    </xf>
    <xf numFmtId="0" fontId="4" fillId="34" borderId="7" xfId="0" applyFont="1" applyFill="1" applyBorder="1" applyAlignment="1">
      <alignment horizontal="center" vertical="center" wrapText="1"/>
    </xf>
    <xf numFmtId="0" fontId="4" fillId="8" borderId="0" xfId="0" applyFont="1" applyFill="1" applyAlignment="1">
      <alignment horizontal="center" vertical="center" wrapText="1"/>
    </xf>
    <xf numFmtId="44" fontId="4" fillId="2" borderId="7" xfId="3" applyFont="1" applyFill="1" applyBorder="1" applyAlignment="1">
      <alignment vertical="center" wrapText="1"/>
    </xf>
    <xf numFmtId="164" fontId="7" fillId="4" borderId="7" xfId="0" applyNumberFormat="1" applyFont="1" applyFill="1" applyBorder="1" applyAlignment="1">
      <alignment horizontal="center" vertical="center"/>
    </xf>
    <xf numFmtId="9" fontId="7" fillId="4" borderId="8" xfId="4" applyFont="1" applyFill="1" applyBorder="1" applyAlignment="1">
      <alignment horizontal="center" vertical="center"/>
    </xf>
    <xf numFmtId="164" fontId="7" fillId="4" borderId="11" xfId="1" applyNumberFormat="1" applyFont="1" applyFill="1" applyBorder="1" applyAlignment="1">
      <alignment horizontal="center" vertical="center" wrapText="1"/>
    </xf>
    <xf numFmtId="164" fontId="3" fillId="9" borderId="7" xfId="0" applyNumberFormat="1" applyFont="1" applyFill="1" applyBorder="1" applyAlignment="1">
      <alignment horizontal="center" vertical="center"/>
    </xf>
    <xf numFmtId="164" fontId="3" fillId="18" borderId="11" xfId="1" applyNumberFormat="1" applyFont="1" applyFill="1" applyBorder="1" applyAlignment="1">
      <alignment horizontal="center" vertical="center" wrapText="1"/>
    </xf>
    <xf numFmtId="3" fontId="4" fillId="0" borderId="0" xfId="0" applyNumberFormat="1" applyFont="1"/>
    <xf numFmtId="6" fontId="3" fillId="7" borderId="7" xfId="0" applyNumberFormat="1" applyFont="1" applyFill="1" applyBorder="1" applyAlignment="1">
      <alignment horizontal="center" vertical="center"/>
    </xf>
    <xf numFmtId="6" fontId="3" fillId="7" borderId="11" xfId="0" applyNumberFormat="1" applyFont="1" applyFill="1" applyBorder="1" applyAlignment="1">
      <alignment horizontal="center" vertical="center"/>
    </xf>
    <xf numFmtId="6" fontId="7" fillId="36" borderId="11" xfId="0" applyNumberFormat="1" applyFont="1" applyFill="1" applyBorder="1" applyAlignment="1">
      <alignment horizontal="center" vertical="center"/>
    </xf>
    <xf numFmtId="6" fontId="7" fillId="19" borderId="7" xfId="0" applyNumberFormat="1" applyFont="1" applyFill="1" applyBorder="1" applyAlignment="1">
      <alignment horizontal="center" vertical="center"/>
    </xf>
    <xf numFmtId="0" fontId="0" fillId="14" borderId="7" xfId="0"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7" xfId="0" applyFont="1" applyFill="1" applyBorder="1" applyAlignment="1">
      <alignment horizontal="left" vertical="center" wrapText="1"/>
    </xf>
    <xf numFmtId="164" fontId="0" fillId="4" borderId="0" xfId="1" applyNumberFormat="1" applyFont="1" applyFill="1" applyBorder="1" applyAlignment="1">
      <alignment horizontal="center" vertical="center"/>
    </xf>
    <xf numFmtId="3" fontId="3" fillId="0" borderId="0" xfId="0" applyNumberFormat="1" applyFont="1" applyAlignment="1">
      <alignment vertical="center"/>
    </xf>
    <xf numFmtId="3" fontId="31" fillId="0" borderId="0" xfId="0" applyNumberFormat="1" applyFont="1"/>
    <xf numFmtId="0" fontId="16" fillId="2" borderId="18" xfId="0" applyFont="1" applyFill="1" applyBorder="1" applyAlignment="1">
      <alignment horizontal="center" vertical="center" wrapText="1"/>
    </xf>
    <xf numFmtId="0" fontId="3" fillId="0" borderId="0" xfId="0" applyFont="1" applyAlignment="1">
      <alignment horizontal="center" vertical="center" wrapText="1"/>
    </xf>
    <xf numFmtId="0" fontId="16" fillId="0" borderId="7" xfId="0" applyFont="1" applyBorder="1" applyAlignment="1">
      <alignment horizontal="center" vertical="center" wrapText="1"/>
    </xf>
    <xf numFmtId="0" fontId="16" fillId="4" borderId="7" xfId="0" applyFont="1" applyFill="1" applyBorder="1" applyAlignment="1">
      <alignment horizontal="center" vertical="center" wrapText="1"/>
    </xf>
    <xf numFmtId="0" fontId="4" fillId="0" borderId="0" xfId="0" applyFont="1"/>
    <xf numFmtId="0" fontId="4" fillId="4" borderId="7" xfId="0" applyFont="1" applyFill="1" applyBorder="1" applyAlignment="1">
      <alignment horizontal="center" vertical="center" wrapText="1"/>
    </xf>
    <xf numFmtId="164" fontId="16" fillId="2" borderId="8" xfId="1" applyNumberFormat="1" applyFont="1" applyFill="1" applyBorder="1" applyAlignment="1">
      <alignment horizontal="center" vertical="center" wrapText="1"/>
    </xf>
    <xf numFmtId="164" fontId="12" fillId="0" borderId="7" xfId="1" applyNumberFormat="1" applyFont="1" applyFill="1" applyBorder="1" applyAlignment="1">
      <alignment horizontal="center" vertical="center"/>
    </xf>
    <xf numFmtId="164" fontId="12" fillId="4" borderId="11" xfId="1" applyNumberFormat="1" applyFont="1" applyFill="1" applyBorder="1" applyAlignment="1">
      <alignment horizontal="center" vertical="center"/>
    </xf>
    <xf numFmtId="0" fontId="16" fillId="5" borderId="8"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4" fillId="11" borderId="11" xfId="0" applyFont="1" applyFill="1" applyBorder="1" applyAlignment="1">
      <alignment horizontal="center" vertical="center" wrapText="1"/>
    </xf>
    <xf numFmtId="0" fontId="4" fillId="11" borderId="7" xfId="0" applyFont="1" applyFill="1" applyBorder="1" applyAlignment="1">
      <alignment horizontal="center" vertical="center" wrapText="1"/>
    </xf>
    <xf numFmtId="9" fontId="4" fillId="11" borderId="7" xfId="4" applyFont="1" applyFill="1" applyBorder="1" applyAlignment="1">
      <alignment horizontal="center" vertical="center" wrapText="1"/>
    </xf>
    <xf numFmtId="44" fontId="4" fillId="11" borderId="7" xfId="3" applyFont="1" applyFill="1" applyBorder="1" applyAlignment="1">
      <alignment horizontal="center" vertical="center" wrapText="1"/>
    </xf>
    <xf numFmtId="167" fontId="12" fillId="0" borderId="35" xfId="0" applyNumberFormat="1" applyFont="1" applyBorder="1" applyAlignment="1">
      <alignment horizontal="center" vertical="center" shrinkToFit="1"/>
    </xf>
    <xf numFmtId="164" fontId="3" fillId="0" borderId="31" xfId="1" applyNumberFormat="1" applyFont="1" applyBorder="1" applyAlignment="1">
      <alignment horizontal="center" vertical="center"/>
    </xf>
    <xf numFmtId="167" fontId="12" fillId="4" borderId="33" xfId="0" applyNumberFormat="1" applyFont="1" applyFill="1" applyBorder="1" applyAlignment="1">
      <alignment horizontal="center" vertical="center" shrinkToFit="1"/>
    </xf>
    <xf numFmtId="3" fontId="3" fillId="4" borderId="0" xfId="0" applyNumberFormat="1" applyFont="1" applyFill="1" applyAlignment="1">
      <alignment horizontal="center" vertical="center"/>
    </xf>
    <xf numFmtId="164" fontId="12" fillId="4" borderId="9" xfId="1" applyNumberFormat="1" applyFont="1" applyFill="1" applyBorder="1" applyAlignment="1">
      <alignment horizontal="center" vertical="center" wrapText="1"/>
    </xf>
    <xf numFmtId="167" fontId="12" fillId="4" borderId="42" xfId="0" applyNumberFormat="1" applyFont="1" applyFill="1" applyBorder="1" applyAlignment="1">
      <alignment horizontal="center" vertical="center" shrinkToFit="1"/>
    </xf>
    <xf numFmtId="164" fontId="12" fillId="4" borderId="7" xfId="1" applyNumberFormat="1" applyFont="1" applyFill="1" applyBorder="1" applyAlignment="1">
      <alignment horizontal="center" vertical="center" shrinkToFit="1"/>
    </xf>
    <xf numFmtId="164" fontId="3" fillId="4" borderId="16" xfId="1" applyNumberFormat="1" applyFont="1" applyFill="1" applyBorder="1" applyAlignment="1">
      <alignment horizontal="center" vertical="center"/>
    </xf>
    <xf numFmtId="164" fontId="3" fillId="4" borderId="31" xfId="1" applyNumberFormat="1" applyFont="1" applyFill="1" applyBorder="1" applyAlignment="1">
      <alignment horizontal="center" vertical="center"/>
    </xf>
    <xf numFmtId="167" fontId="12" fillId="4" borderId="43" xfId="0" applyNumberFormat="1" applyFont="1" applyFill="1" applyBorder="1" applyAlignment="1">
      <alignment horizontal="center" vertical="center" shrinkToFit="1"/>
    </xf>
    <xf numFmtId="167" fontId="12" fillId="4" borderId="9" xfId="0" applyNumberFormat="1" applyFont="1" applyFill="1" applyBorder="1" applyAlignment="1">
      <alignment horizontal="center" vertical="center" shrinkToFit="1"/>
    </xf>
    <xf numFmtId="3" fontId="3" fillId="4" borderId="33" xfId="0" applyNumberFormat="1" applyFont="1" applyFill="1" applyBorder="1" applyAlignment="1">
      <alignment horizontal="center" vertical="center"/>
    </xf>
    <xf numFmtId="168" fontId="12" fillId="4" borderId="35" xfId="0" applyNumberFormat="1" applyFont="1" applyFill="1" applyBorder="1" applyAlignment="1">
      <alignment horizontal="center" vertical="center" shrinkToFit="1"/>
    </xf>
    <xf numFmtId="164" fontId="3" fillId="4" borderId="29" xfId="1" applyNumberFormat="1" applyFont="1" applyFill="1" applyBorder="1" applyAlignment="1">
      <alignment horizontal="center" vertical="center"/>
    </xf>
    <xf numFmtId="167" fontId="12" fillId="4" borderId="7" xfId="0" applyNumberFormat="1" applyFont="1" applyFill="1" applyBorder="1" applyAlignment="1">
      <alignment horizontal="center" vertical="center" shrinkToFit="1"/>
    </xf>
    <xf numFmtId="167" fontId="12" fillId="4" borderId="35" xfId="0" applyNumberFormat="1" applyFont="1" applyFill="1" applyBorder="1" applyAlignment="1">
      <alignment horizontal="center" vertical="center" shrinkToFit="1"/>
    </xf>
    <xf numFmtId="0" fontId="12" fillId="4" borderId="11" xfId="0" applyFont="1" applyFill="1" applyBorder="1" applyAlignment="1">
      <alignment horizontal="center" vertical="center"/>
    </xf>
    <xf numFmtId="0" fontId="16" fillId="2" borderId="7" xfId="0" applyFont="1" applyFill="1" applyBorder="1" applyAlignment="1">
      <alignment horizontal="center" vertical="center" wrapText="1"/>
    </xf>
    <xf numFmtId="165" fontId="16" fillId="2" borderId="24" xfId="1" applyNumberFormat="1" applyFont="1" applyFill="1" applyBorder="1" applyAlignment="1">
      <alignment horizontal="center" vertical="center" wrapText="1"/>
    </xf>
    <xf numFmtId="164" fontId="16" fillId="2" borderId="24" xfId="1" applyNumberFormat="1" applyFont="1" applyFill="1" applyBorder="1" applyAlignment="1">
      <alignment horizontal="center" vertical="center" wrapText="1"/>
    </xf>
    <xf numFmtId="165" fontId="16" fillId="2" borderId="8" xfId="1" applyNumberFormat="1" applyFont="1" applyFill="1" applyBorder="1" applyAlignment="1">
      <alignment horizontal="center" vertical="center" wrapText="1"/>
    </xf>
    <xf numFmtId="165" fontId="3" fillId="0" borderId="7" xfId="1" applyNumberFormat="1" applyFont="1" applyFill="1" applyBorder="1" applyAlignment="1">
      <alignment vertical="center"/>
    </xf>
    <xf numFmtId="165" fontId="12" fillId="0" borderId="7" xfId="1" applyNumberFormat="1" applyFont="1" applyFill="1" applyBorder="1" applyAlignment="1">
      <alignment horizontal="center" vertical="center"/>
    </xf>
    <xf numFmtId="0" fontId="12" fillId="26" borderId="22" xfId="0" applyFont="1" applyFill="1" applyBorder="1" applyAlignment="1">
      <alignment horizontal="center" vertical="center" wrapText="1"/>
    </xf>
    <xf numFmtId="0" fontId="12" fillId="26" borderId="19" xfId="0" applyFont="1" applyFill="1" applyBorder="1" applyAlignment="1">
      <alignment horizontal="center" vertical="center" wrapText="1"/>
    </xf>
    <xf numFmtId="0" fontId="7" fillId="26" borderId="33" xfId="0" applyFont="1" applyFill="1" applyBorder="1" applyAlignment="1">
      <alignment horizontal="center" vertical="center" wrapText="1"/>
    </xf>
    <xf numFmtId="0" fontId="7" fillId="26" borderId="35" xfId="0" applyFont="1" applyFill="1" applyBorder="1" applyAlignment="1">
      <alignment horizontal="center" vertical="center" wrapText="1"/>
    </xf>
    <xf numFmtId="165" fontId="3" fillId="0" borderId="8" xfId="1" applyNumberFormat="1" applyFont="1" applyFill="1" applyBorder="1" applyAlignment="1">
      <alignment vertical="center"/>
    </xf>
    <xf numFmtId="0" fontId="16" fillId="0" borderId="0" xfId="0" applyFont="1" applyAlignment="1">
      <alignment vertical="center" wrapText="1"/>
    </xf>
    <xf numFmtId="164" fontId="12" fillId="4" borderId="54" xfId="1" applyNumberFormat="1" applyFont="1" applyFill="1" applyBorder="1" applyAlignment="1">
      <alignment horizontal="center" vertical="center" wrapText="1"/>
    </xf>
    <xf numFmtId="164" fontId="12" fillId="4" borderId="55" xfId="1" applyNumberFormat="1" applyFont="1" applyFill="1" applyBorder="1" applyAlignment="1">
      <alignment horizontal="center" vertical="center" wrapText="1"/>
    </xf>
    <xf numFmtId="0" fontId="16" fillId="5" borderId="18" xfId="0" applyFont="1" applyFill="1" applyBorder="1" applyAlignment="1">
      <alignment horizontal="center" vertical="center" wrapText="1"/>
    </xf>
    <xf numFmtId="6" fontId="7" fillId="4" borderId="0" xfId="0" applyNumberFormat="1" applyFont="1" applyFill="1" applyAlignment="1">
      <alignment horizontal="center" vertical="center"/>
    </xf>
    <xf numFmtId="6" fontId="3" fillId="4" borderId="0" xfId="0" applyNumberFormat="1" applyFont="1" applyFill="1" applyAlignment="1">
      <alignment horizontal="center" vertical="center"/>
    </xf>
    <xf numFmtId="0" fontId="12" fillId="26" borderId="20"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2" fillId="0" borderId="11" xfId="0" applyFont="1" applyBorder="1" applyAlignment="1">
      <alignment horizontal="center" vertical="center"/>
    </xf>
    <xf numFmtId="0" fontId="12" fillId="26" borderId="11" xfId="0" applyFont="1" applyFill="1" applyBorder="1" applyAlignment="1">
      <alignment horizontal="center" vertical="center" wrapText="1"/>
    </xf>
    <xf numFmtId="164" fontId="12" fillId="26" borderId="11" xfId="1" applyNumberFormat="1" applyFont="1" applyFill="1" applyBorder="1" applyAlignment="1">
      <alignment horizontal="center" vertical="center" wrapText="1"/>
    </xf>
    <xf numFmtId="164" fontId="12" fillId="26" borderId="20" xfId="1" applyNumberFormat="1" applyFont="1" applyFill="1" applyBorder="1" applyAlignment="1">
      <alignment horizontal="center" vertical="center" wrapText="1"/>
    </xf>
    <xf numFmtId="0" fontId="12" fillId="4" borderId="0" xfId="0" applyFont="1" applyFill="1" applyAlignment="1">
      <alignment horizontal="center" vertical="center"/>
    </xf>
    <xf numFmtId="6" fontId="3" fillId="0" borderId="0" xfId="0" applyNumberFormat="1" applyFont="1" applyAlignment="1">
      <alignment horizontal="center" vertical="center"/>
    </xf>
    <xf numFmtId="164" fontId="3" fillId="4" borderId="30" xfId="1" applyNumberFormat="1" applyFont="1" applyFill="1" applyBorder="1" applyAlignment="1">
      <alignment horizontal="center" vertical="center"/>
    </xf>
    <xf numFmtId="167" fontId="12" fillId="0" borderId="7" xfId="0" applyNumberFormat="1" applyFont="1" applyBorder="1" applyAlignment="1">
      <alignment horizontal="center" vertical="center" shrinkToFit="1"/>
    </xf>
    <xf numFmtId="3" fontId="16" fillId="0" borderId="0" xfId="0" applyNumberFormat="1" applyFont="1" applyAlignment="1">
      <alignment vertical="center" wrapText="1"/>
    </xf>
    <xf numFmtId="0" fontId="11" fillId="0" borderId="0" xfId="0" applyFont="1" applyAlignment="1">
      <alignment horizontal="center" vertical="center" wrapText="1"/>
    </xf>
    <xf numFmtId="6" fontId="31" fillId="0" borderId="0" xfId="0" applyNumberFormat="1" applyFont="1"/>
    <xf numFmtId="6" fontId="11" fillId="0" borderId="0" xfId="0" applyNumberFormat="1" applyFont="1" applyAlignment="1">
      <alignment vertical="center"/>
    </xf>
    <xf numFmtId="171" fontId="3" fillId="0" borderId="0" xfId="0" applyNumberFormat="1" applyFont="1" applyAlignment="1">
      <alignment horizontal="center" vertical="center"/>
    </xf>
    <xf numFmtId="0" fontId="16" fillId="0" borderId="8" xfId="0" applyFont="1" applyBorder="1" applyAlignment="1">
      <alignment horizontal="center" vertical="center" wrapText="1"/>
    </xf>
    <xf numFmtId="0" fontId="3" fillId="0" borderId="7" xfId="19" applyFont="1" applyBorder="1" applyAlignment="1">
      <alignment horizontal="center" vertical="center" wrapText="1"/>
    </xf>
    <xf numFmtId="0" fontId="7" fillId="0" borderId="29" xfId="0" applyFont="1" applyBorder="1" applyAlignment="1">
      <alignment horizontal="center" vertical="center" wrapText="1"/>
    </xf>
    <xf numFmtId="0" fontId="12" fillId="0" borderId="8" xfId="0" applyFont="1" applyBorder="1" applyAlignment="1">
      <alignment horizontal="center" vertical="center" wrapText="1"/>
    </xf>
    <xf numFmtId="0" fontId="7" fillId="0" borderId="43" xfId="0" applyFont="1" applyBorder="1" applyAlignment="1">
      <alignment horizontal="center" vertical="center" wrapText="1"/>
    </xf>
    <xf numFmtId="164" fontId="3" fillId="0" borderId="7" xfId="1" applyNumberFormat="1" applyFont="1" applyFill="1" applyBorder="1"/>
    <xf numFmtId="164" fontId="3" fillId="0" borderId="8" xfId="1" applyNumberFormat="1" applyFont="1" applyFill="1" applyBorder="1"/>
    <xf numFmtId="164" fontId="3" fillId="0" borderId="7" xfId="1" applyNumberFormat="1" applyFont="1" applyFill="1" applyBorder="1" applyAlignment="1">
      <alignment horizontal="center" vertical="center"/>
    </xf>
    <xf numFmtId="164" fontId="3" fillId="0" borderId="8" xfId="1" applyNumberFormat="1" applyFont="1" applyFill="1" applyBorder="1" applyAlignment="1">
      <alignment horizontal="center" vertical="center"/>
    </xf>
    <xf numFmtId="164" fontId="3" fillId="0" borderId="8" xfId="0" applyNumberFormat="1" applyFont="1" applyBorder="1" applyAlignment="1">
      <alignment horizontal="center" vertical="center"/>
    </xf>
    <xf numFmtId="164" fontId="3" fillId="0" borderId="8" xfId="1" applyNumberFormat="1" applyFont="1" applyFill="1" applyBorder="1" applyAlignment="1">
      <alignment horizontal="center" vertical="center" wrapText="1"/>
    </xf>
    <xf numFmtId="9" fontId="3" fillId="0" borderId="8" xfId="4" applyFont="1" applyFill="1" applyBorder="1" applyAlignment="1">
      <alignment horizontal="center" vertical="center"/>
    </xf>
    <xf numFmtId="164" fontId="3" fillId="0" borderId="11" xfId="1" applyNumberFormat="1" applyFont="1" applyFill="1" applyBorder="1" applyAlignment="1">
      <alignment horizontal="center" vertical="center" wrapText="1"/>
    </xf>
    <xf numFmtId="164" fontId="3" fillId="0" borderId="24" xfId="1" applyNumberFormat="1" applyFont="1" applyBorder="1" applyAlignment="1">
      <alignment horizontal="center" vertical="center"/>
    </xf>
    <xf numFmtId="164" fontId="3" fillId="0" borderId="8" xfId="1" applyNumberFormat="1" applyFont="1" applyBorder="1" applyAlignment="1">
      <alignment horizontal="center" vertical="center"/>
    </xf>
    <xf numFmtId="164" fontId="12" fillId="0" borderId="9" xfId="1" applyNumberFormat="1" applyFont="1" applyBorder="1" applyAlignment="1">
      <alignment horizontal="center" vertical="center"/>
    </xf>
    <xf numFmtId="0" fontId="3" fillId="4" borderId="10" xfId="0" applyFont="1" applyFill="1" applyBorder="1" applyAlignment="1">
      <alignment horizontal="center" vertical="center"/>
    </xf>
    <xf numFmtId="165" fontId="26" fillId="0" borderId="0" xfId="0" applyNumberFormat="1" applyFont="1"/>
    <xf numFmtId="0" fontId="15" fillId="12" borderId="9" xfId="0" applyFont="1" applyFill="1" applyBorder="1" applyAlignment="1">
      <alignment horizontal="center" vertical="center" wrapText="1"/>
    </xf>
    <xf numFmtId="0" fontId="15" fillId="12" borderId="10" xfId="0" applyFont="1" applyFill="1" applyBorder="1" applyAlignment="1">
      <alignment horizontal="center" vertical="center" wrapText="1"/>
    </xf>
    <xf numFmtId="0" fontId="15" fillId="12" borderId="50" xfId="0" applyFont="1" applyFill="1" applyBorder="1" applyAlignment="1">
      <alignment horizontal="center" vertical="center" wrapText="1"/>
    </xf>
    <xf numFmtId="0" fontId="15" fillId="12" borderId="53" xfId="0" applyFont="1" applyFill="1" applyBorder="1" applyAlignment="1">
      <alignment horizontal="center" vertical="center" wrapText="1"/>
    </xf>
    <xf numFmtId="0" fontId="15" fillId="10" borderId="9" xfId="0" applyFont="1" applyFill="1" applyBorder="1" applyAlignment="1">
      <alignment horizontal="center" vertical="center" wrapText="1"/>
    </xf>
    <xf numFmtId="0" fontId="15" fillId="10" borderId="10" xfId="0" applyFont="1" applyFill="1" applyBorder="1" applyAlignment="1">
      <alignment horizontal="center" vertical="center" wrapText="1"/>
    </xf>
    <xf numFmtId="0" fontId="15" fillId="10" borderId="11" xfId="0" applyFont="1" applyFill="1" applyBorder="1" applyAlignment="1">
      <alignment horizontal="center" vertical="center" wrapText="1"/>
    </xf>
    <xf numFmtId="0" fontId="15" fillId="10" borderId="50" xfId="0" applyFont="1" applyFill="1" applyBorder="1" applyAlignment="1">
      <alignment horizontal="center" vertical="center" wrapText="1"/>
    </xf>
    <xf numFmtId="0" fontId="15" fillId="10" borderId="53" xfId="0" applyFont="1" applyFill="1" applyBorder="1" applyAlignment="1">
      <alignment horizontal="center" vertical="center" wrapText="1"/>
    </xf>
    <xf numFmtId="0" fontId="15" fillId="10" borderId="51" xfId="0" applyFont="1" applyFill="1" applyBorder="1" applyAlignment="1">
      <alignment horizontal="center" vertical="center" wrapText="1"/>
    </xf>
    <xf numFmtId="0" fontId="15" fillId="10" borderId="37" xfId="0" applyFont="1" applyFill="1" applyBorder="1" applyAlignment="1">
      <alignment horizontal="center" vertical="center" wrapText="1"/>
    </xf>
    <xf numFmtId="0" fontId="15" fillId="10" borderId="49" xfId="0" applyFont="1" applyFill="1" applyBorder="1" applyAlignment="1">
      <alignment horizontal="center" vertical="center" wrapText="1"/>
    </xf>
    <xf numFmtId="165" fontId="21" fillId="25" borderId="7" xfId="0" applyNumberFormat="1" applyFont="1" applyFill="1" applyBorder="1" applyAlignment="1">
      <alignment horizontal="center" vertical="center" wrapText="1"/>
    </xf>
    <xf numFmtId="0" fontId="4" fillId="31" borderId="9" xfId="0" applyFont="1" applyFill="1" applyBorder="1" applyAlignment="1">
      <alignment horizontal="center" vertical="center"/>
    </xf>
    <xf numFmtId="0" fontId="4" fillId="31" borderId="10" xfId="0" applyFont="1" applyFill="1" applyBorder="1" applyAlignment="1">
      <alignment horizontal="center" vertical="center"/>
    </xf>
    <xf numFmtId="0" fontId="4" fillId="31" borderId="11" xfId="0" applyFont="1" applyFill="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15" fillId="12" borderId="51" xfId="0" applyFont="1" applyFill="1" applyBorder="1" applyAlignment="1">
      <alignment horizontal="center" vertical="center" wrapText="1"/>
    </xf>
    <xf numFmtId="44" fontId="8" fillId="14" borderId="7" xfId="1" applyFont="1" applyFill="1" applyBorder="1" applyAlignment="1">
      <alignment horizontal="center" vertical="center" wrapText="1"/>
    </xf>
    <xf numFmtId="44" fontId="8" fillId="20" borderId="7" xfId="1" applyFont="1" applyFill="1" applyBorder="1" applyAlignment="1">
      <alignment horizontal="center" vertical="center" wrapText="1"/>
    </xf>
    <xf numFmtId="0" fontId="8" fillId="19" borderId="7"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15" fillId="12" borderId="11" xfId="0" applyFont="1" applyFill="1" applyBorder="1" applyAlignment="1">
      <alignment horizontal="center" vertical="center" wrapText="1"/>
    </xf>
    <xf numFmtId="0" fontId="21" fillId="29" borderId="7" xfId="0" applyFont="1" applyFill="1" applyBorder="1" applyAlignment="1">
      <alignment horizontal="left" vertical="center" wrapText="1"/>
    </xf>
    <xf numFmtId="0" fontId="20" fillId="23" borderId="7" xfId="0" applyFont="1" applyFill="1" applyBorder="1" applyAlignment="1">
      <alignment horizontal="center" vertical="center"/>
    </xf>
    <xf numFmtId="165" fontId="9" fillId="30" borderId="38" xfId="0" applyNumberFormat="1" applyFont="1" applyFill="1" applyBorder="1" applyAlignment="1">
      <alignment horizontal="center" vertical="center" wrapText="1"/>
    </xf>
    <xf numFmtId="165" fontId="9" fillId="30" borderId="28" xfId="0" applyNumberFormat="1" applyFont="1" applyFill="1" applyBorder="1" applyAlignment="1">
      <alignment horizontal="center" vertical="center" wrapText="1"/>
    </xf>
    <xf numFmtId="165" fontId="9" fillId="30" borderId="32" xfId="0" applyNumberFormat="1" applyFont="1" applyFill="1" applyBorder="1" applyAlignment="1">
      <alignment horizontal="center" vertical="center" wrapText="1"/>
    </xf>
    <xf numFmtId="170" fontId="9" fillId="24" borderId="29" xfId="0" applyNumberFormat="1" applyFont="1" applyFill="1" applyBorder="1" applyAlignment="1">
      <alignment horizontal="center" vertical="center" wrapText="1"/>
    </xf>
    <xf numFmtId="170" fontId="9" fillId="24" borderId="30" xfId="0" applyNumberFormat="1" applyFont="1" applyFill="1" applyBorder="1" applyAlignment="1">
      <alignment horizontal="center" vertical="center" wrapText="1"/>
    </xf>
    <xf numFmtId="170" fontId="9" fillId="24" borderId="52" xfId="0" applyNumberFormat="1" applyFont="1" applyFill="1" applyBorder="1" applyAlignment="1">
      <alignment horizontal="center" vertical="center" wrapText="1"/>
    </xf>
    <xf numFmtId="170" fontId="9" fillId="24" borderId="39" xfId="0" applyNumberFormat="1" applyFont="1" applyFill="1" applyBorder="1" applyAlignment="1">
      <alignment horizontal="center" vertical="center" wrapText="1"/>
    </xf>
    <xf numFmtId="170" fontId="9" fillId="24" borderId="40" xfId="0" applyNumberFormat="1" applyFont="1" applyFill="1" applyBorder="1" applyAlignment="1">
      <alignment horizontal="center" vertical="center" wrapText="1"/>
    </xf>
    <xf numFmtId="170" fontId="9" fillId="24" borderId="44" xfId="0" applyNumberFormat="1" applyFont="1" applyFill="1" applyBorder="1" applyAlignment="1">
      <alignment horizontal="center" vertical="center" wrapText="1"/>
    </xf>
    <xf numFmtId="0" fontId="21" fillId="25" borderId="7" xfId="0" applyFont="1" applyFill="1" applyBorder="1" applyAlignment="1">
      <alignment horizontal="center" vertical="center" wrapText="1"/>
    </xf>
    <xf numFmtId="0" fontId="11" fillId="0" borderId="15"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4" fillId="2" borderId="21"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0" xfId="0" applyFont="1" applyFill="1" applyAlignment="1">
      <alignment horizontal="left" vertical="center" wrapText="1"/>
    </xf>
    <xf numFmtId="0" fontId="9" fillId="0" borderId="21"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36" xfId="0" applyFont="1" applyBorder="1" applyAlignment="1">
      <alignment horizontal="left" vertical="center" wrapText="1"/>
    </xf>
    <xf numFmtId="0" fontId="9" fillId="0" borderId="17" xfId="0" applyFont="1" applyBorder="1" applyAlignment="1">
      <alignment horizontal="left" vertical="center" wrapText="1"/>
    </xf>
    <xf numFmtId="0" fontId="9" fillId="0" borderId="17" xfId="0" applyFont="1" applyBorder="1" applyAlignment="1">
      <alignment horizontal="center" vertical="center" wrapText="1"/>
    </xf>
    <xf numFmtId="0" fontId="15" fillId="2" borderId="7" xfId="0" applyFont="1" applyFill="1" applyBorder="1" applyAlignment="1">
      <alignment horizontal="center" vertical="center" wrapText="1"/>
    </xf>
    <xf numFmtId="0" fontId="15" fillId="2" borderId="7" xfId="0" applyFont="1" applyFill="1" applyBorder="1" applyAlignment="1">
      <alignment horizontal="left" vertical="center" wrapText="1"/>
    </xf>
    <xf numFmtId="0" fontId="15" fillId="0" borderId="7" xfId="0" applyFont="1" applyBorder="1" applyAlignment="1">
      <alignment horizontal="center" vertical="center" wrapText="1"/>
    </xf>
    <xf numFmtId="0" fontId="15" fillId="10" borderId="18" xfId="0" applyFont="1" applyFill="1" applyBorder="1" applyAlignment="1">
      <alignment horizontal="center" vertical="center" wrapText="1"/>
    </xf>
    <xf numFmtId="0" fontId="15" fillId="10" borderId="14" xfId="0" applyFont="1" applyFill="1" applyBorder="1" applyAlignment="1">
      <alignment horizontal="center" vertical="center" wrapText="1"/>
    </xf>
    <xf numFmtId="0" fontId="15" fillId="10" borderId="19"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4" fillId="9" borderId="45" xfId="0" applyFont="1" applyFill="1" applyBorder="1" applyAlignment="1">
      <alignment horizontal="center" vertical="center"/>
    </xf>
    <xf numFmtId="0" fontId="4" fillId="9" borderId="46" xfId="0" applyFont="1" applyFill="1" applyBorder="1" applyAlignment="1">
      <alignment horizontal="center" vertical="center"/>
    </xf>
    <xf numFmtId="0" fontId="4" fillId="9" borderId="47" xfId="0" applyFont="1" applyFill="1" applyBorder="1" applyAlignment="1">
      <alignment horizontal="center" vertical="center"/>
    </xf>
    <xf numFmtId="165" fontId="4" fillId="15" borderId="7" xfId="1" applyNumberFormat="1" applyFont="1" applyFill="1" applyBorder="1" applyAlignment="1">
      <alignment horizontal="center" vertical="center" wrapText="1"/>
    </xf>
    <xf numFmtId="165" fontId="4" fillId="37" borderId="7" xfId="0" applyNumberFormat="1" applyFont="1" applyFill="1" applyBorder="1" applyAlignment="1">
      <alignment horizontal="center" vertical="center" wrapText="1"/>
    </xf>
    <xf numFmtId="165" fontId="4" fillId="15" borderId="7" xfId="0" applyNumberFormat="1" applyFont="1" applyFill="1" applyBorder="1" applyAlignment="1">
      <alignment horizontal="center" vertical="center" wrapText="1"/>
    </xf>
    <xf numFmtId="0" fontId="17" fillId="15" borderId="7" xfId="0" applyFont="1" applyFill="1" applyBorder="1" applyAlignment="1">
      <alignment horizontal="center" vertical="center" wrapText="1"/>
    </xf>
    <xf numFmtId="0" fontId="17" fillId="37" borderId="7" xfId="0" applyFont="1" applyFill="1" applyBorder="1" applyAlignment="1">
      <alignment horizontal="center" vertical="center" wrapText="1"/>
    </xf>
    <xf numFmtId="0" fontId="3" fillId="15" borderId="7" xfId="0" applyFont="1" applyFill="1" applyBorder="1" applyAlignment="1">
      <alignment horizontal="center" vertical="center" wrapText="1"/>
    </xf>
    <xf numFmtId="0" fontId="4" fillId="37" borderId="7" xfId="0" applyFont="1" applyFill="1" applyBorder="1" applyAlignment="1">
      <alignment horizontal="center" vertical="center" wrapText="1"/>
    </xf>
    <xf numFmtId="0" fontId="4" fillId="15" borderId="7" xfId="0" applyFont="1" applyFill="1" applyBorder="1" applyAlignment="1">
      <alignment horizontal="center" vertical="center" wrapText="1"/>
    </xf>
    <xf numFmtId="0" fontId="3" fillId="37" borderId="7" xfId="0" applyFont="1" applyFill="1" applyBorder="1" applyAlignment="1">
      <alignment horizontal="center" vertical="center"/>
    </xf>
    <xf numFmtId="0" fontId="3" fillId="0" borderId="21" xfId="0" applyFont="1" applyBorder="1" applyAlignment="1">
      <alignment horizontal="center" vertical="center"/>
    </xf>
    <xf numFmtId="0" fontId="3" fillId="0" borderId="0" xfId="0" applyFont="1" applyAlignment="1">
      <alignment horizontal="center" vertical="center"/>
    </xf>
    <xf numFmtId="0" fontId="17" fillId="6" borderId="15" xfId="0" applyFont="1" applyFill="1" applyBorder="1" applyAlignment="1">
      <alignment horizontal="center" vertical="center" wrapText="1"/>
    </xf>
    <xf numFmtId="0" fontId="17" fillId="6" borderId="0" xfId="0" applyFont="1" applyFill="1" applyAlignment="1">
      <alignment horizontal="center" vertical="center" wrapText="1"/>
    </xf>
    <xf numFmtId="0" fontId="17" fillId="6" borderId="16" xfId="0" applyFont="1" applyFill="1" applyBorder="1" applyAlignment="1">
      <alignment horizontal="center" vertical="center" wrapText="1"/>
    </xf>
    <xf numFmtId="0" fontId="17" fillId="6" borderId="17" xfId="0" applyFont="1" applyFill="1" applyBorder="1" applyAlignment="1">
      <alignment horizontal="center" vertical="center" wrapText="1"/>
    </xf>
    <xf numFmtId="0" fontId="4" fillId="0" borderId="18" xfId="0" applyFont="1" applyBorder="1" applyAlignment="1">
      <alignment vertical="center" wrapText="1"/>
    </xf>
    <xf numFmtId="0" fontId="4" fillId="0" borderId="14" xfId="0" applyFont="1" applyBorder="1" applyAlignment="1">
      <alignment vertical="center" wrapText="1"/>
    </xf>
    <xf numFmtId="0" fontId="4" fillId="0" borderId="16" xfId="0" applyFont="1" applyBorder="1" applyAlignment="1">
      <alignment vertical="center" wrapText="1"/>
    </xf>
    <xf numFmtId="0" fontId="4" fillId="0" borderId="17" xfId="0" applyFont="1" applyBorder="1" applyAlignment="1">
      <alignment vertical="center" wrapText="1"/>
    </xf>
    <xf numFmtId="0" fontId="4" fillId="2" borderId="18"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20" xfId="0" applyFont="1" applyFill="1" applyBorder="1" applyAlignment="1">
      <alignment horizontal="center" vertical="center" wrapText="1"/>
    </xf>
    <xf numFmtId="165" fontId="4" fillId="37" borderId="7" xfId="1" applyNumberFormat="1" applyFont="1" applyFill="1" applyBorder="1" applyAlignment="1">
      <alignment horizontal="center" vertical="center" wrapText="1" readingOrder="1"/>
    </xf>
    <xf numFmtId="165" fontId="4" fillId="15" borderId="7" xfId="1" applyNumberFormat="1" applyFont="1" applyFill="1" applyBorder="1" applyAlignment="1">
      <alignment horizontal="center" vertical="center" wrapText="1" readingOrder="1"/>
    </xf>
    <xf numFmtId="0" fontId="7" fillId="15" borderId="7" xfId="0" applyFont="1" applyFill="1" applyBorder="1" applyAlignment="1">
      <alignment horizontal="center" vertical="center" wrapText="1"/>
    </xf>
    <xf numFmtId="0" fontId="4" fillId="2" borderId="14"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20" xfId="0" applyFont="1" applyFill="1" applyBorder="1" applyAlignment="1">
      <alignment horizontal="center" vertical="center"/>
    </xf>
    <xf numFmtId="165" fontId="3" fillId="37" borderId="7" xfId="1" applyNumberFormat="1" applyFont="1" applyFill="1" applyBorder="1" applyAlignment="1">
      <alignment horizontal="center" vertical="center" wrapText="1" readingOrder="1"/>
    </xf>
    <xf numFmtId="0" fontId="7" fillId="37" borderId="7" xfId="0" applyFont="1" applyFill="1" applyBorder="1" applyAlignment="1">
      <alignment horizontal="center" vertical="center" wrapText="1"/>
    </xf>
    <xf numFmtId="0" fontId="17" fillId="37" borderId="7" xfId="0" applyFont="1" applyFill="1" applyBorder="1" applyAlignment="1">
      <alignment horizontal="center" vertical="center"/>
    </xf>
    <xf numFmtId="0" fontId="7" fillId="13" borderId="8" xfId="0" applyFont="1" applyFill="1" applyBorder="1" applyAlignment="1">
      <alignment horizontal="center" vertical="center" wrapText="1"/>
    </xf>
    <xf numFmtId="0" fontId="7" fillId="13" borderId="13" xfId="0" applyFont="1" applyFill="1" applyBorder="1" applyAlignment="1">
      <alignment horizontal="center" vertical="center" wrapText="1"/>
    </xf>
    <xf numFmtId="164" fontId="17" fillId="37" borderId="14" xfId="1" applyNumberFormat="1" applyFont="1" applyFill="1" applyBorder="1" applyAlignment="1">
      <alignment horizontal="center" vertical="center" wrapText="1"/>
    </xf>
    <xf numFmtId="164" fontId="17" fillId="37" borderId="17" xfId="1" applyNumberFormat="1" applyFont="1" applyFill="1" applyBorder="1" applyAlignment="1">
      <alignment horizontal="center" vertical="center" wrapText="1"/>
    </xf>
    <xf numFmtId="164" fontId="17" fillId="15" borderId="7" xfId="1" applyNumberFormat="1" applyFont="1" applyFill="1" applyBorder="1" applyAlignment="1">
      <alignment horizontal="center" vertical="center" wrapText="1"/>
    </xf>
    <xf numFmtId="0" fontId="4" fillId="15" borderId="15" xfId="0" applyFont="1" applyFill="1" applyBorder="1" applyAlignment="1">
      <alignment horizontal="center" vertical="center" wrapText="1"/>
    </xf>
    <xf numFmtId="0" fontId="4" fillId="15" borderId="16" xfId="0" applyFont="1" applyFill="1" applyBorder="1" applyAlignment="1">
      <alignment horizontal="center" vertical="center" wrapText="1"/>
    </xf>
    <xf numFmtId="0" fontId="4" fillId="38" borderId="7" xfId="0" applyFont="1" applyFill="1" applyBorder="1" applyAlignment="1">
      <alignment horizontal="center" vertical="center" wrapText="1" readingOrder="1"/>
    </xf>
    <xf numFmtId="0" fontId="3" fillId="37" borderId="7" xfId="0" applyFont="1" applyFill="1" applyBorder="1" applyAlignment="1">
      <alignment horizontal="center" vertical="center" wrapText="1"/>
    </xf>
    <xf numFmtId="0" fontId="4" fillId="20" borderId="7" xfId="0" applyFont="1" applyFill="1" applyBorder="1" applyAlignment="1">
      <alignment horizontal="center" vertical="center" wrapText="1"/>
    </xf>
    <xf numFmtId="0" fontId="16" fillId="15" borderId="7" xfId="0" applyFont="1" applyFill="1" applyBorder="1" applyAlignment="1">
      <alignment horizontal="center" vertical="center" wrapText="1"/>
    </xf>
    <xf numFmtId="165" fontId="4" fillId="15" borderId="19" xfId="1" applyNumberFormat="1" applyFont="1" applyFill="1" applyBorder="1" applyAlignment="1">
      <alignment horizontal="center" vertical="center" wrapText="1" readingOrder="1"/>
    </xf>
    <xf numFmtId="165" fontId="4" fillId="15" borderId="16" xfId="1" applyNumberFormat="1" applyFont="1" applyFill="1" applyBorder="1" applyAlignment="1">
      <alignment horizontal="center" vertical="center" wrapText="1" readingOrder="1"/>
    </xf>
    <xf numFmtId="165" fontId="4" fillId="15" borderId="20" xfId="1" applyNumberFormat="1" applyFont="1" applyFill="1" applyBorder="1" applyAlignment="1">
      <alignment horizontal="center" vertical="center" wrapText="1" readingOrder="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4" fillId="19" borderId="7"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18"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0" xfId="0" applyFont="1" applyBorder="1" applyAlignment="1">
      <alignment horizontal="center" vertical="center" wrapText="1"/>
    </xf>
    <xf numFmtId="44" fontId="4" fillId="15" borderId="7" xfId="1" applyFont="1" applyFill="1" applyBorder="1" applyAlignment="1">
      <alignment horizontal="center" vertical="center" wrapText="1"/>
    </xf>
    <xf numFmtId="44" fontId="4" fillId="37" borderId="7" xfId="1" applyFont="1" applyFill="1" applyBorder="1" applyAlignment="1">
      <alignment horizontal="center" vertical="center" wrapText="1"/>
    </xf>
    <xf numFmtId="44" fontId="4" fillId="19" borderId="7" xfId="1" applyFont="1" applyFill="1" applyBorder="1" applyAlignment="1">
      <alignment horizontal="center" vertical="center" wrapText="1"/>
    </xf>
    <xf numFmtId="44" fontId="4" fillId="19" borderId="7" xfId="1" applyFont="1" applyFill="1" applyBorder="1" applyAlignment="1">
      <alignment horizontal="center" vertical="center"/>
    </xf>
    <xf numFmtId="0" fontId="4" fillId="37" borderId="7" xfId="0" applyFont="1" applyFill="1" applyBorder="1" applyAlignment="1">
      <alignment horizontal="center" vertical="center"/>
    </xf>
    <xf numFmtId="0" fontId="16" fillId="37" borderId="7" xfId="0" applyFont="1" applyFill="1" applyBorder="1" applyAlignment="1">
      <alignment horizontal="center" vertical="center" wrapText="1"/>
    </xf>
    <xf numFmtId="164" fontId="4" fillId="37" borderId="7" xfId="1" applyNumberFormat="1" applyFont="1" applyFill="1" applyBorder="1" applyAlignment="1">
      <alignment horizontal="center" vertical="center" wrapText="1"/>
    </xf>
    <xf numFmtId="164" fontId="4" fillId="37" borderId="7" xfId="1" applyNumberFormat="1" applyFont="1" applyFill="1" applyBorder="1" applyAlignment="1">
      <alignment horizontal="center" vertical="center"/>
    </xf>
    <xf numFmtId="0" fontId="3" fillId="9" borderId="14" xfId="0" applyFont="1" applyFill="1" applyBorder="1" applyAlignment="1">
      <alignment horizontal="center" vertical="center"/>
    </xf>
    <xf numFmtId="165" fontId="4" fillId="19" borderId="7" xfId="1" applyNumberFormat="1" applyFont="1" applyFill="1" applyBorder="1" applyAlignment="1">
      <alignment horizontal="center" vertical="center" wrapText="1" readingOrder="1"/>
    </xf>
    <xf numFmtId="0" fontId="16" fillId="15" borderId="8" xfId="0" applyFont="1" applyFill="1" applyBorder="1" applyAlignment="1">
      <alignment horizontal="center" vertical="center" wrapText="1"/>
    </xf>
    <xf numFmtId="0" fontId="16" fillId="15" borderId="13" xfId="0" applyFont="1" applyFill="1" applyBorder="1" applyAlignment="1">
      <alignment horizontal="center" vertical="center" wrapText="1"/>
    </xf>
    <xf numFmtId="0" fontId="16" fillId="37" borderId="8" xfId="0" applyFont="1" applyFill="1" applyBorder="1" applyAlignment="1">
      <alignment horizontal="center" vertical="center" wrapText="1"/>
    </xf>
    <xf numFmtId="0" fontId="16" fillId="37" borderId="13" xfId="0" applyFont="1" applyFill="1" applyBorder="1" applyAlignment="1">
      <alignment horizontal="center" vertical="center" wrapText="1"/>
    </xf>
    <xf numFmtId="0" fontId="4" fillId="12" borderId="7" xfId="0" applyFont="1" applyFill="1" applyBorder="1" applyAlignment="1">
      <alignment horizontal="center" vertical="center" wrapText="1"/>
    </xf>
    <xf numFmtId="0" fontId="4" fillId="37" borderId="15" xfId="0" applyFont="1" applyFill="1" applyBorder="1" applyAlignment="1">
      <alignment horizontal="center" vertical="center" wrapText="1"/>
    </xf>
    <xf numFmtId="0" fontId="4" fillId="37" borderId="0" xfId="0" applyFont="1" applyFill="1" applyAlignment="1">
      <alignment horizontal="center" vertical="center" wrapText="1"/>
    </xf>
    <xf numFmtId="0" fontId="4" fillId="37" borderId="16" xfId="0" applyFont="1" applyFill="1" applyBorder="1" applyAlignment="1">
      <alignment horizontal="center" vertical="center" wrapText="1"/>
    </xf>
    <xf numFmtId="0" fontId="4" fillId="37" borderId="17" xfId="0" applyFont="1" applyFill="1" applyBorder="1" applyAlignment="1">
      <alignment horizontal="center" vertical="center" wrapText="1"/>
    </xf>
    <xf numFmtId="164" fontId="17" fillId="37" borderId="22" xfId="1" applyNumberFormat="1" applyFont="1" applyFill="1" applyBorder="1" applyAlignment="1">
      <alignment horizontal="center" vertical="center" wrapText="1"/>
    </xf>
    <xf numFmtId="164" fontId="17" fillId="37" borderId="20" xfId="1" applyNumberFormat="1" applyFont="1" applyFill="1" applyBorder="1" applyAlignment="1">
      <alignment horizontal="center" vertical="center" wrapText="1"/>
    </xf>
    <xf numFmtId="0" fontId="16" fillId="0" borderId="7" xfId="0" applyFont="1" applyBorder="1" applyAlignment="1">
      <alignment horizontal="center" vertical="center" wrapText="1"/>
    </xf>
    <xf numFmtId="0" fontId="4" fillId="15" borderId="7" xfId="0" applyFont="1" applyFill="1" applyBorder="1" applyAlignment="1">
      <alignment horizontal="center" vertical="center"/>
    </xf>
    <xf numFmtId="0" fontId="4" fillId="15" borderId="25" xfId="0" applyFont="1" applyFill="1" applyBorder="1" applyAlignment="1">
      <alignment horizontal="center" vertical="center" wrapText="1"/>
    </xf>
    <xf numFmtId="0" fontId="4" fillId="15" borderId="26" xfId="0" applyFont="1" applyFill="1" applyBorder="1" applyAlignment="1">
      <alignment horizontal="center" vertical="center" wrapText="1"/>
    </xf>
    <xf numFmtId="0" fontId="4" fillId="15" borderId="4" xfId="0" applyFont="1" applyFill="1" applyBorder="1" applyAlignment="1">
      <alignment horizontal="center" vertical="center" wrapText="1"/>
    </xf>
    <xf numFmtId="0" fontId="4" fillId="15" borderId="6" xfId="0" applyFont="1" applyFill="1" applyBorder="1" applyAlignment="1">
      <alignment horizontal="center" vertical="center" wrapText="1"/>
    </xf>
    <xf numFmtId="0" fontId="3" fillId="9" borderId="7" xfId="0" applyFont="1" applyFill="1" applyBorder="1" applyAlignment="1">
      <alignment horizontal="center"/>
    </xf>
    <xf numFmtId="0" fontId="4" fillId="0" borderId="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13"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13" xfId="0" applyFont="1" applyBorder="1" applyAlignment="1">
      <alignment horizontal="center" vertical="center" wrapText="1"/>
    </xf>
    <xf numFmtId="0" fontId="4" fillId="4" borderId="8"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6" fillId="4" borderId="28"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wrapText="1"/>
    </xf>
    <xf numFmtId="0" fontId="7" fillId="4" borderId="41" xfId="0" applyFont="1" applyFill="1" applyBorder="1" applyAlignment="1">
      <alignment wrapText="1"/>
    </xf>
    <xf numFmtId="164" fontId="4" fillId="15" borderId="7" xfId="1" applyNumberFormat="1" applyFont="1" applyFill="1" applyBorder="1" applyAlignment="1">
      <alignment horizontal="center" vertical="center" wrapText="1"/>
    </xf>
    <xf numFmtId="164" fontId="4" fillId="15" borderId="7" xfId="1" applyNumberFormat="1" applyFont="1" applyFill="1" applyBorder="1" applyAlignment="1">
      <alignment horizontal="center" vertical="center"/>
    </xf>
    <xf numFmtId="0" fontId="4" fillId="37" borderId="34" xfId="0" applyFont="1" applyFill="1" applyBorder="1" applyAlignment="1">
      <alignment horizontal="center" vertical="center" wrapText="1"/>
    </xf>
    <xf numFmtId="0" fontId="4" fillId="37" borderId="26" xfId="0" applyFont="1" applyFill="1" applyBorder="1" applyAlignment="1">
      <alignment horizontal="center" vertical="center" wrapText="1"/>
    </xf>
    <xf numFmtId="0" fontId="4" fillId="37" borderId="5" xfId="0" applyFont="1" applyFill="1" applyBorder="1" applyAlignment="1">
      <alignment horizontal="center" vertical="center" wrapText="1"/>
    </xf>
    <xf numFmtId="0" fontId="4" fillId="37" borderId="6" xfId="0" applyFont="1" applyFill="1" applyBorder="1" applyAlignment="1">
      <alignment horizontal="center" vertical="center" wrapText="1"/>
    </xf>
    <xf numFmtId="0" fontId="4" fillId="15" borderId="34" xfId="0" applyFont="1" applyFill="1" applyBorder="1" applyAlignment="1">
      <alignment horizontal="center" vertical="center" wrapText="1"/>
    </xf>
    <xf numFmtId="0" fontId="4" fillId="15" borderId="5" xfId="0" applyFont="1" applyFill="1" applyBorder="1" applyAlignment="1">
      <alignment horizontal="center" vertical="center" wrapText="1"/>
    </xf>
    <xf numFmtId="0" fontId="4" fillId="37" borderId="25" xfId="0" applyFont="1" applyFill="1" applyBorder="1" applyAlignment="1">
      <alignment horizontal="center" vertical="center" wrapText="1"/>
    </xf>
    <xf numFmtId="0" fontId="4" fillId="37" borderId="4" xfId="0" applyFont="1" applyFill="1" applyBorder="1" applyAlignment="1">
      <alignment horizontal="center" vertical="center" wrapText="1"/>
    </xf>
    <xf numFmtId="165" fontId="4" fillId="12" borderId="0" xfId="0" applyNumberFormat="1" applyFont="1" applyFill="1" applyAlignment="1">
      <alignment horizontal="center" vertical="center" wrapText="1"/>
    </xf>
    <xf numFmtId="165" fontId="4" fillId="12" borderId="5" xfId="0" applyNumberFormat="1" applyFont="1" applyFill="1" applyBorder="1" applyAlignment="1">
      <alignment horizontal="center" vertical="center" wrapText="1"/>
    </xf>
    <xf numFmtId="164" fontId="17" fillId="37" borderId="48" xfId="1" applyNumberFormat="1" applyFont="1" applyFill="1" applyBorder="1" applyAlignment="1">
      <alignment horizontal="center" vertical="center" wrapText="1"/>
    </xf>
    <xf numFmtId="164" fontId="17" fillId="37" borderId="36" xfId="1" applyNumberFormat="1" applyFont="1" applyFill="1" applyBorder="1" applyAlignment="1">
      <alignment horizontal="center" vertical="center" wrapText="1"/>
    </xf>
    <xf numFmtId="0" fontId="4" fillId="12" borderId="0" xfId="0" applyFont="1" applyFill="1" applyAlignment="1">
      <alignment horizontal="center" vertical="center" wrapText="1"/>
    </xf>
    <xf numFmtId="0" fontId="4" fillId="12" borderId="17" xfId="0" applyFont="1" applyFill="1" applyBorder="1" applyAlignment="1">
      <alignment horizontal="center" vertical="center" wrapText="1"/>
    </xf>
    <xf numFmtId="165" fontId="4" fillId="15" borderId="0" xfId="0" applyNumberFormat="1" applyFont="1" applyFill="1" applyAlignment="1">
      <alignment horizontal="center" vertical="center" wrapText="1"/>
    </xf>
    <xf numFmtId="165" fontId="4" fillId="15" borderId="17" xfId="0" applyNumberFormat="1" applyFont="1" applyFill="1" applyBorder="1" applyAlignment="1">
      <alignment horizontal="center" vertical="center" wrapText="1"/>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4" fillId="0" borderId="18" xfId="0" applyFont="1" applyBorder="1" applyAlignment="1">
      <alignment horizontal="left" vertical="center" wrapText="1"/>
    </xf>
    <xf numFmtId="0" fontId="4" fillId="0" borderId="14" xfId="0" applyFont="1" applyBorder="1" applyAlignment="1">
      <alignment horizontal="left" vertical="center" wrapText="1"/>
    </xf>
    <xf numFmtId="0" fontId="4" fillId="0" borderId="19"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20" xfId="0" applyFont="1" applyBorder="1" applyAlignment="1">
      <alignment horizontal="left" vertical="center" wrapText="1"/>
    </xf>
    <xf numFmtId="0" fontId="16" fillId="38" borderId="7" xfId="0" applyFont="1" applyFill="1" applyBorder="1" applyAlignment="1">
      <alignment horizontal="center" vertical="center" wrapText="1" readingOrder="1"/>
    </xf>
    <xf numFmtId="165" fontId="4" fillId="37" borderId="0" xfId="0" applyNumberFormat="1" applyFont="1" applyFill="1" applyAlignment="1">
      <alignment horizontal="center" vertical="center" wrapText="1"/>
    </xf>
    <xf numFmtId="164" fontId="17" fillId="15" borderId="0" xfId="1" applyNumberFormat="1" applyFont="1" applyFill="1" applyBorder="1" applyAlignment="1">
      <alignment horizontal="center" vertical="center" wrapText="1"/>
    </xf>
    <xf numFmtId="164" fontId="17" fillId="15" borderId="17" xfId="1" applyNumberFormat="1" applyFont="1" applyFill="1" applyBorder="1" applyAlignment="1">
      <alignment horizontal="center" vertical="center" wrapText="1"/>
    </xf>
    <xf numFmtId="0" fontId="9" fillId="0" borderId="7" xfId="0" applyFont="1" applyBorder="1" applyAlignment="1">
      <alignment horizontal="center" vertical="center"/>
    </xf>
    <xf numFmtId="165" fontId="21" fillId="29" borderId="7" xfId="1" applyNumberFormat="1" applyFont="1" applyFill="1" applyBorder="1" applyAlignment="1">
      <alignment horizontal="center" vertical="center" wrapText="1"/>
    </xf>
    <xf numFmtId="164" fontId="21" fillId="29" borderId="7" xfId="1" applyNumberFormat="1" applyFont="1" applyFill="1" applyBorder="1" applyAlignment="1">
      <alignment horizontal="center" vertical="center" wrapText="1"/>
    </xf>
    <xf numFmtId="0" fontId="21" fillId="29" borderId="7" xfId="0" applyFont="1" applyFill="1" applyBorder="1" applyAlignment="1">
      <alignment horizontal="center" vertical="center" wrapText="1"/>
    </xf>
  </cellXfs>
  <cellStyles count="20">
    <cellStyle name="Hyperlink" xfId="14" xr:uid="{3498E203-4A1A-4044-8FBB-71F0A0869B1C}"/>
    <cellStyle name="Moneda" xfId="1" builtinId="4"/>
    <cellStyle name="Moneda [0] 2" xfId="12" xr:uid="{547DC79F-D1D1-44D1-8395-7D6BC5C5C980}"/>
    <cellStyle name="Moneda 14" xfId="18" xr:uid="{880CB397-8273-492C-8F5A-899691BF9A6B}"/>
    <cellStyle name="Moneda 2" xfId="2" xr:uid="{00000000-0005-0000-0000-000001000000}"/>
    <cellStyle name="Moneda 2 2" xfId="8" xr:uid="{91843676-950D-4BD6-9E85-3270F6128779}"/>
    <cellStyle name="Moneda 3" xfId="3" xr:uid="{00000000-0005-0000-0000-000002000000}"/>
    <cellStyle name="Moneda 3 2" xfId="9" xr:uid="{616A6896-313B-46B6-A5A8-EC26C25462FB}"/>
    <cellStyle name="Moneda 3 3" xfId="16" xr:uid="{B7406191-951E-4AB9-B391-A279093C3315}"/>
    <cellStyle name="Moneda 3 4" xfId="6" xr:uid="{DEE60551-CCB7-4AEA-88EF-864840F6879E}"/>
    <cellStyle name="Moneda 4" xfId="10" xr:uid="{C633F77F-E7E6-4FC3-8F75-1A94B3E0084C}"/>
    <cellStyle name="Moneda 5" xfId="11" xr:uid="{0A0FB925-D9BA-4875-8DA6-3A7FEF0216FE}"/>
    <cellStyle name="Moneda 6" xfId="15" xr:uid="{218799D5-19EC-40D7-AC57-8AB149D738E4}"/>
    <cellStyle name="Moneda 7" xfId="17" xr:uid="{FF71F557-8A4A-49CE-A86E-6FC90A7367E5}"/>
    <cellStyle name="Moneda 8" xfId="5" xr:uid="{768F7356-8E1D-4B27-A077-BB89838F6F22}"/>
    <cellStyle name="Normal" xfId="0" builtinId="0"/>
    <cellStyle name="Normal 2" xfId="7" xr:uid="{266363D1-2009-41D0-B6D5-32BDE05ED1BA}"/>
    <cellStyle name="Normal 2 2" xfId="19" xr:uid="{3C04D830-B4CA-4FD6-ACE7-609BAD65BEEF}"/>
    <cellStyle name="Porcentaje" xfId="4" builtinId="5"/>
    <cellStyle name="Porcentaje 2" xfId="13" xr:uid="{00635B71-ABF9-489F-B421-2B5842E0FA7B}"/>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51</xdr:col>
      <xdr:colOff>491413</xdr:colOff>
      <xdr:row>1</xdr:row>
      <xdr:rowOff>97415</xdr:rowOff>
    </xdr:from>
    <xdr:to>
      <xdr:col>51</xdr:col>
      <xdr:colOff>1105450</xdr:colOff>
      <xdr:row>2</xdr:row>
      <xdr:rowOff>395727</xdr:rowOff>
    </xdr:to>
    <xdr:pic>
      <xdr:nvPicPr>
        <xdr:cNvPr id="2" name="Imagen 1">
          <a:extLst>
            <a:ext uri="{FF2B5EF4-FFF2-40B4-BE49-F238E27FC236}">
              <a16:creationId xmlns:a16="http://schemas.microsoft.com/office/drawing/2014/main" id="{3ECF0A86-42DA-4AB3-BE04-3A008DAE0210}"/>
            </a:ext>
          </a:extLst>
        </xdr:cNvPr>
        <xdr:cNvPicPr>
          <a:picLocks noChangeAspect="1"/>
        </xdr:cNvPicPr>
      </xdr:nvPicPr>
      <xdr:blipFill>
        <a:blip xmlns:r="http://schemas.openxmlformats.org/officeDocument/2006/relationships" r:embed="rId1"/>
        <a:stretch>
          <a:fillRect/>
        </a:stretch>
      </xdr:blipFill>
      <xdr:spPr>
        <a:xfrm>
          <a:off x="47163913" y="162358"/>
          <a:ext cx="614037" cy="4931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60</xdr:col>
      <xdr:colOff>952498</xdr:colOff>
      <xdr:row>1</xdr:row>
      <xdr:rowOff>60476</xdr:rowOff>
    </xdr:from>
    <xdr:to>
      <xdr:col>61</xdr:col>
      <xdr:colOff>399974</xdr:colOff>
      <xdr:row>3</xdr:row>
      <xdr:rowOff>197159</xdr:rowOff>
    </xdr:to>
    <xdr:pic>
      <xdr:nvPicPr>
        <xdr:cNvPr id="3" name="Imagen 2">
          <a:extLst>
            <a:ext uri="{FF2B5EF4-FFF2-40B4-BE49-F238E27FC236}">
              <a16:creationId xmlns:a16="http://schemas.microsoft.com/office/drawing/2014/main" id="{A1887D13-96CF-4082-BCAB-0835DE7271CD}"/>
            </a:ext>
          </a:extLst>
        </xdr:cNvPr>
        <xdr:cNvPicPr>
          <a:picLocks noChangeAspect="1"/>
        </xdr:cNvPicPr>
      </xdr:nvPicPr>
      <xdr:blipFill>
        <a:blip xmlns:r="http://schemas.openxmlformats.org/officeDocument/2006/relationships" r:embed="rId1"/>
        <a:stretch>
          <a:fillRect/>
        </a:stretch>
      </xdr:blipFill>
      <xdr:spPr>
        <a:xfrm>
          <a:off x="77953808" y="332619"/>
          <a:ext cx="610957" cy="4944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1</xdr:row>
      <xdr:rowOff>80605</xdr:rowOff>
    </xdr:from>
    <xdr:to>
      <xdr:col>18</xdr:col>
      <xdr:colOff>666361</xdr:colOff>
      <xdr:row>2</xdr:row>
      <xdr:rowOff>249477</xdr:rowOff>
    </xdr:to>
    <xdr:pic>
      <xdr:nvPicPr>
        <xdr:cNvPr id="3" name="Imagen 2">
          <a:extLst>
            <a:ext uri="{FF2B5EF4-FFF2-40B4-BE49-F238E27FC236}">
              <a16:creationId xmlns:a16="http://schemas.microsoft.com/office/drawing/2014/main" id="{84F845E8-737D-4B45-B22F-6D4DBBDA29DA}"/>
            </a:ext>
          </a:extLst>
        </xdr:cNvPr>
        <xdr:cNvPicPr>
          <a:picLocks noChangeAspect="1"/>
        </xdr:cNvPicPr>
      </xdr:nvPicPr>
      <xdr:blipFill>
        <a:blip xmlns:r="http://schemas.openxmlformats.org/officeDocument/2006/relationships" r:embed="rId1"/>
        <a:stretch>
          <a:fillRect/>
        </a:stretch>
      </xdr:blipFill>
      <xdr:spPr>
        <a:xfrm>
          <a:off x="30596049" y="284712"/>
          <a:ext cx="666361" cy="526060"/>
        </a:xfrm>
        <a:prstGeom prst="rect">
          <a:avLst/>
        </a:prstGeom>
      </xdr:spPr>
    </xdr:pic>
    <xdr:clientData/>
  </xdr:twoCellAnchor>
  <xdr:twoCellAnchor editAs="oneCell">
    <xdr:from>
      <xdr:col>18</xdr:col>
      <xdr:colOff>0</xdr:colOff>
      <xdr:row>1</xdr:row>
      <xdr:rowOff>80605</xdr:rowOff>
    </xdr:from>
    <xdr:to>
      <xdr:col>18</xdr:col>
      <xdr:colOff>666361</xdr:colOff>
      <xdr:row>4</xdr:row>
      <xdr:rowOff>46277</xdr:rowOff>
    </xdr:to>
    <xdr:pic>
      <xdr:nvPicPr>
        <xdr:cNvPr id="2" name="Imagen 1">
          <a:extLst>
            <a:ext uri="{FF2B5EF4-FFF2-40B4-BE49-F238E27FC236}">
              <a16:creationId xmlns:a16="http://schemas.microsoft.com/office/drawing/2014/main" id="{F8CE77F2-D14F-4298-B5D5-E100983D468A}"/>
            </a:ext>
          </a:extLst>
        </xdr:cNvPr>
        <xdr:cNvPicPr>
          <a:picLocks noChangeAspect="1"/>
        </xdr:cNvPicPr>
      </xdr:nvPicPr>
      <xdr:blipFill>
        <a:blip xmlns:r="http://schemas.openxmlformats.org/officeDocument/2006/relationships" r:embed="rId1"/>
        <a:stretch>
          <a:fillRect/>
        </a:stretch>
      </xdr:blipFill>
      <xdr:spPr>
        <a:xfrm>
          <a:off x="38100000" y="271105"/>
          <a:ext cx="666361" cy="12420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ppData/Local/Packages/5319275A.WhatsAppDesktop_cv1g1gvanyjgm/LocalState/sessions/247B8988C3064659568B8FE4E9C488E3DC65F666/transfers/2026-09/COTIZACIONES/Color%20Print%20Agencia%20publicitaria.xls" TargetMode="External"/><Relationship Id="rId1" Type="http://schemas.openxmlformats.org/officeDocument/2006/relationships/externalLinkPath" Target="/Users/SOPORTE/AppData/Local/Packages/5319275A.WhatsAppDesktop_cv1g1gvanyjgm/LocalState/sessions/247B8988C3064659568B8FE4E9C488E3DC65F666/transfers/2026-09/COTIZACIONES/Color%20Print%20Agencia%20publicitari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AppData/Local/Packages/5319275A.WhatsAppDesktop_cv1g1gvanyjgm/LocalState/sessions/247B8988C3064659568B8FE4E9C488E3DC65F666/transfers/2026-09/COTIZACIONES/COMERCIALIZADORA%20LA%20EXITOSA%20JR%20SAS%20.xls" TargetMode="External"/><Relationship Id="rId1" Type="http://schemas.openxmlformats.org/officeDocument/2006/relationships/externalLinkPath" Target="/Users/SOPORTE/AppData/Local/Packages/5319275A.WhatsAppDesktop_cv1g1gvanyjgm/LocalState/sessions/247B8988C3064659568B8FE4E9C488E3DC65F666/transfers/2026-09/COTIZACIONES/COMERCIALIZADORA%20LA%20EXITOSA%20JR%20SAS%20.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AppData/Local/Packages/5319275A.WhatsAppDesktop_cv1g1gvanyjgm/LocalState/sessions/247B8988C3064659568B8FE4E9C488E3DC65F666/transfers/2026-09/COTIZACIONES/ARTE%20IMPRESO%20SAS.xls" TargetMode="External"/><Relationship Id="rId1" Type="http://schemas.openxmlformats.org/officeDocument/2006/relationships/externalLinkPath" Target="/Users/SOPORTE/AppData/Local/Packages/5319275A.WhatsAppDesktop_cv1g1gvanyjgm/LocalState/sessions/247B8988C3064659568B8FE4E9C488E3DC65F666/transfers/2026-09/COTIZACIONES/ARTE%20IMPRESO%20S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PELERIA"/>
      <sheetName val="SUMINISTRO DE IMPRESIÓN"/>
    </sheetNames>
    <sheetDataSet>
      <sheetData sheetId="0">
        <row r="7">
          <cell r="G7">
            <v>72400</v>
          </cell>
        </row>
        <row r="8">
          <cell r="G8">
            <v>9500</v>
          </cell>
        </row>
        <row r="9">
          <cell r="G9">
            <v>1100</v>
          </cell>
        </row>
        <row r="12">
          <cell r="G12">
            <v>9200</v>
          </cell>
        </row>
        <row r="26">
          <cell r="G26">
            <v>3500</v>
          </cell>
        </row>
        <row r="28">
          <cell r="G28">
            <v>12000</v>
          </cell>
        </row>
        <row r="33">
          <cell r="G33">
            <v>150</v>
          </cell>
        </row>
        <row r="34">
          <cell r="G34">
            <v>150</v>
          </cell>
        </row>
        <row r="35">
          <cell r="G35">
            <v>150</v>
          </cell>
        </row>
        <row r="36">
          <cell r="G36">
            <v>150</v>
          </cell>
        </row>
        <row r="37">
          <cell r="G37">
            <v>150</v>
          </cell>
        </row>
        <row r="38">
          <cell r="G38">
            <v>150</v>
          </cell>
        </row>
        <row r="39">
          <cell r="G39">
            <v>150</v>
          </cell>
        </row>
        <row r="40">
          <cell r="G40">
            <v>150</v>
          </cell>
        </row>
        <row r="41">
          <cell r="G41">
            <v>150</v>
          </cell>
        </row>
        <row r="42">
          <cell r="G42">
            <v>150</v>
          </cell>
        </row>
        <row r="43">
          <cell r="G43">
            <v>150</v>
          </cell>
        </row>
        <row r="44">
          <cell r="G44">
            <v>150</v>
          </cell>
        </row>
        <row r="45">
          <cell r="G45">
            <v>150</v>
          </cell>
        </row>
        <row r="46">
          <cell r="G46">
            <v>150</v>
          </cell>
        </row>
        <row r="52">
          <cell r="G52">
            <v>12980</v>
          </cell>
        </row>
        <row r="53">
          <cell r="G53">
            <v>11000</v>
          </cell>
        </row>
        <row r="55">
          <cell r="G55">
            <v>18900</v>
          </cell>
        </row>
        <row r="57">
          <cell r="G57">
            <v>3500</v>
          </cell>
        </row>
        <row r="60">
          <cell r="G60">
            <v>46455</v>
          </cell>
        </row>
        <row r="65">
          <cell r="G65">
            <v>3500</v>
          </cell>
        </row>
        <row r="67">
          <cell r="G67">
            <v>1200</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PELERIA"/>
      <sheetName val="SUMINISTRO DE IMPRESIÓN"/>
    </sheetNames>
    <sheetDataSet>
      <sheetData sheetId="0">
        <row r="8">
          <cell r="I8">
            <v>4000</v>
          </cell>
        </row>
        <row r="12">
          <cell r="I12">
            <v>7000</v>
          </cell>
        </row>
        <row r="17">
          <cell r="I17">
            <v>14500</v>
          </cell>
        </row>
        <row r="18">
          <cell r="I18">
            <v>2200</v>
          </cell>
        </row>
        <row r="20">
          <cell r="I20">
            <v>25000</v>
          </cell>
        </row>
        <row r="23">
          <cell r="I23">
            <v>4800</v>
          </cell>
        </row>
        <row r="26">
          <cell r="I26">
            <v>3500</v>
          </cell>
        </row>
        <row r="29">
          <cell r="I29">
            <v>12000</v>
          </cell>
        </row>
        <row r="32">
          <cell r="I32">
            <v>3500</v>
          </cell>
        </row>
        <row r="56">
          <cell r="I56">
            <v>18900</v>
          </cell>
        </row>
        <row r="57">
          <cell r="I57">
            <v>2833</v>
          </cell>
        </row>
        <row r="58">
          <cell r="I58">
            <v>34000</v>
          </cell>
        </row>
        <row r="59">
          <cell r="I59">
            <v>15000</v>
          </cell>
        </row>
        <row r="62">
          <cell r="I62">
            <v>1600</v>
          </cell>
        </row>
        <row r="65">
          <cell r="I65">
            <v>3400</v>
          </cell>
        </row>
        <row r="69">
          <cell r="I69">
            <v>9800</v>
          </cell>
        </row>
        <row r="70">
          <cell r="I70">
            <v>48000</v>
          </cell>
        </row>
        <row r="84">
          <cell r="I84">
            <v>2000</v>
          </cell>
        </row>
        <row r="86">
          <cell r="I86">
            <v>18000</v>
          </cell>
        </row>
        <row r="88">
          <cell r="I88">
            <v>18000</v>
          </cell>
        </row>
        <row r="90">
          <cell r="I90">
            <v>9800</v>
          </cell>
        </row>
        <row r="92">
          <cell r="I92">
            <v>5800</v>
          </cell>
        </row>
        <row r="97">
          <cell r="I97">
            <v>98000</v>
          </cell>
        </row>
        <row r="99">
          <cell r="I99">
            <v>6000</v>
          </cell>
        </row>
        <row r="102">
          <cell r="I102">
            <v>5800</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PELERIA"/>
      <sheetName val="SUMINISTRO DE IMPRESIÓN"/>
    </sheetNames>
    <sheetDataSet>
      <sheetData sheetId="0">
        <row r="7">
          <cell r="K7">
            <v>178.5</v>
          </cell>
        </row>
        <row r="8">
          <cell r="K8">
            <v>178.5</v>
          </cell>
        </row>
        <row r="9">
          <cell r="K9">
            <v>178.5</v>
          </cell>
        </row>
        <row r="10">
          <cell r="K10">
            <v>214.2</v>
          </cell>
        </row>
        <row r="11">
          <cell r="K11">
            <v>178.5</v>
          </cell>
        </row>
        <row r="12">
          <cell r="K12">
            <v>190.4</v>
          </cell>
        </row>
        <row r="13">
          <cell r="K13">
            <v>142.80000000000001</v>
          </cell>
        </row>
        <row r="14">
          <cell r="K14">
            <v>178.5</v>
          </cell>
        </row>
        <row r="15">
          <cell r="K15">
            <v>178.5</v>
          </cell>
        </row>
        <row r="16">
          <cell r="K16">
            <v>178.5</v>
          </cell>
        </row>
        <row r="17">
          <cell r="K17">
            <v>178.5</v>
          </cell>
        </row>
        <row r="18">
          <cell r="K18">
            <v>178.5</v>
          </cell>
        </row>
        <row r="19">
          <cell r="K19">
            <v>178.5</v>
          </cell>
        </row>
        <row r="20">
          <cell r="K20">
            <v>178.5</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5EDC3-0686-4B3C-AA64-921E657A26FF}">
  <dimension ref="A1:DM55"/>
  <sheetViews>
    <sheetView zoomScale="82" zoomScaleNormal="82" workbookViewId="0">
      <pane xSplit="3" ySplit="5" topLeftCell="DH6" activePane="bottomRight" state="frozen"/>
      <selection pane="topRight" activeCell="D1" sqref="D1"/>
      <selection pane="bottomLeft" activeCell="A6" sqref="A6"/>
      <selection pane="bottomRight" activeCell="C50" sqref="C50"/>
    </sheetView>
  </sheetViews>
  <sheetFormatPr baseColWidth="10" defaultColWidth="10.81640625" defaultRowHeight="14.5" x14ac:dyDescent="0.35"/>
  <cols>
    <col min="1" max="1" width="10.26953125" style="299" customWidth="1"/>
    <col min="2" max="2" width="22" style="1" customWidth="1"/>
    <col min="3" max="3" width="86.81640625" style="1" customWidth="1"/>
    <col min="4" max="4" width="10.81640625" style="27"/>
    <col min="5" max="5" width="10.81640625" style="6"/>
    <col min="6" max="7" width="25.54296875" style="17" customWidth="1"/>
    <col min="8" max="9" width="25.54296875" style="26" customWidth="1"/>
    <col min="10" max="11" width="25.54296875" style="21" customWidth="1"/>
    <col min="12" max="77" width="25.54296875" style="26" customWidth="1"/>
    <col min="78" max="94" width="27.7265625" style="26" customWidth="1"/>
    <col min="95" max="97" width="20.54296875" style="26" customWidth="1"/>
    <col min="98" max="108" width="27.7265625" style="26" customWidth="1"/>
    <col min="109" max="109" width="24.26953125" style="1" customWidth="1"/>
    <col min="110" max="110" width="20.7265625" style="1" customWidth="1"/>
    <col min="111" max="111" width="25" style="1" customWidth="1"/>
    <col min="112" max="114" width="23.54296875" style="1" customWidth="1"/>
    <col min="115" max="115" width="23.26953125" style="1" bestFit="1" customWidth="1"/>
    <col min="116" max="116" width="23.26953125" style="1" customWidth="1"/>
    <col min="117" max="117" width="52.1796875" style="1" customWidth="1"/>
    <col min="118" max="16384" width="10.81640625" style="1"/>
  </cols>
  <sheetData>
    <row r="1" spans="1:117" ht="5.25" customHeight="1" x14ac:dyDescent="0.35">
      <c r="A1" s="446"/>
      <c r="B1" s="447"/>
      <c r="C1" s="447"/>
      <c r="D1" s="447"/>
      <c r="E1" s="447"/>
      <c r="F1" s="447"/>
      <c r="G1" s="447"/>
      <c r="H1" s="447"/>
      <c r="I1" s="447"/>
      <c r="J1" s="447"/>
      <c r="K1" s="447"/>
      <c r="L1" s="447"/>
      <c r="M1" s="447"/>
      <c r="N1" s="447"/>
      <c r="O1" s="447"/>
      <c r="P1" s="447"/>
      <c r="Q1" s="447"/>
      <c r="R1" s="447"/>
      <c r="S1" s="447"/>
      <c r="T1" s="447"/>
      <c r="U1" s="447"/>
      <c r="V1" s="447"/>
      <c r="W1" s="447"/>
      <c r="X1" s="447"/>
      <c r="Y1" s="447"/>
      <c r="Z1" s="447"/>
      <c r="AA1" s="447"/>
      <c r="AB1" s="447"/>
      <c r="AC1" s="447"/>
      <c r="AD1" s="447"/>
      <c r="AE1" s="447"/>
      <c r="AF1" s="447"/>
      <c r="AG1" s="447"/>
      <c r="AH1" s="447"/>
      <c r="AI1" s="447"/>
      <c r="AJ1" s="447"/>
      <c r="AK1" s="447"/>
      <c r="AL1" s="447"/>
      <c r="AM1" s="447"/>
      <c r="AN1" s="447"/>
      <c r="AO1" s="447"/>
      <c r="AP1" s="447"/>
      <c r="AQ1" s="447"/>
      <c r="AR1" s="447"/>
      <c r="AS1" s="447"/>
      <c r="AT1" s="447"/>
      <c r="AU1" s="447"/>
      <c r="AV1" s="447"/>
      <c r="AW1" s="447"/>
      <c r="AX1" s="447"/>
      <c r="AY1" s="447"/>
      <c r="AZ1" s="447"/>
      <c r="BA1" s="447"/>
      <c r="BB1" s="447"/>
      <c r="BC1" s="447"/>
      <c r="BD1" s="447"/>
      <c r="BE1" s="447"/>
      <c r="BF1" s="447"/>
      <c r="BG1" s="447"/>
      <c r="BH1" s="447"/>
      <c r="BI1" s="447"/>
      <c r="BJ1" s="447"/>
      <c r="BK1" s="447"/>
      <c r="BL1" s="447"/>
      <c r="BM1" s="447"/>
      <c r="BN1" s="447"/>
      <c r="BO1" s="447"/>
      <c r="BP1" s="447"/>
      <c r="BQ1" s="447"/>
      <c r="BR1" s="447"/>
      <c r="BS1" s="447"/>
      <c r="BT1" s="447"/>
      <c r="BU1" s="447"/>
      <c r="BV1" s="447"/>
      <c r="BW1" s="447"/>
      <c r="BX1" s="447"/>
      <c r="BY1" s="447"/>
      <c r="BZ1" s="447"/>
      <c r="CA1" s="447"/>
      <c r="CB1" s="447"/>
      <c r="CC1" s="447"/>
      <c r="CD1" s="447"/>
      <c r="CE1" s="447"/>
      <c r="CF1" s="447"/>
      <c r="CG1" s="447"/>
      <c r="CH1" s="447"/>
      <c r="CI1" s="447"/>
      <c r="CJ1" s="447"/>
      <c r="CK1" s="447"/>
      <c r="CL1" s="447"/>
      <c r="CM1" s="447"/>
      <c r="CN1" s="447"/>
      <c r="CO1" s="447"/>
      <c r="CP1" s="447"/>
      <c r="CQ1" s="447"/>
      <c r="CR1" s="447"/>
      <c r="CS1" s="447"/>
      <c r="CT1" s="447"/>
      <c r="CU1" s="447"/>
      <c r="CV1" s="447"/>
      <c r="CW1" s="447"/>
      <c r="CX1" s="447"/>
      <c r="CY1" s="447"/>
      <c r="CZ1" s="447"/>
      <c r="DA1" s="447"/>
      <c r="DB1" s="447"/>
      <c r="DC1" s="447"/>
      <c r="DD1" s="447"/>
      <c r="DE1" s="447"/>
      <c r="DF1" s="447"/>
      <c r="DG1" s="447"/>
      <c r="DH1" s="447"/>
      <c r="DI1" s="447"/>
      <c r="DJ1" s="447"/>
      <c r="DK1" s="447"/>
      <c r="DL1" s="447"/>
      <c r="DM1" s="447"/>
    </row>
    <row r="2" spans="1:117" x14ac:dyDescent="0.35">
      <c r="A2" s="448" t="s">
        <v>0</v>
      </c>
      <c r="B2" s="449"/>
      <c r="C2" s="449"/>
      <c r="D2" s="44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c r="BS2" s="449"/>
      <c r="BT2" s="449"/>
      <c r="BU2" s="449"/>
      <c r="BV2" s="449"/>
      <c r="BW2" s="449"/>
      <c r="BX2" s="449"/>
      <c r="BY2" s="449"/>
      <c r="BZ2" s="449"/>
      <c r="CA2" s="449"/>
      <c r="CB2" s="449"/>
      <c r="CC2" s="449"/>
      <c r="CD2" s="449"/>
      <c r="CE2" s="449"/>
      <c r="CF2" s="449"/>
      <c r="CG2" s="449"/>
      <c r="CH2" s="449"/>
      <c r="CI2" s="449"/>
      <c r="CJ2" s="449"/>
      <c r="CK2" s="449"/>
      <c r="CL2" s="449"/>
      <c r="CM2" s="449"/>
      <c r="CN2" s="449"/>
      <c r="CO2" s="449"/>
      <c r="CP2" s="449"/>
      <c r="CQ2" s="449"/>
      <c r="CR2" s="449"/>
      <c r="CS2" s="449"/>
      <c r="CT2" s="449"/>
      <c r="CU2" s="449"/>
      <c r="CV2" s="449"/>
      <c r="CW2" s="449"/>
      <c r="CX2" s="449"/>
      <c r="CY2" s="449"/>
      <c r="CZ2" s="449"/>
      <c r="DA2" s="449"/>
      <c r="DB2" s="449"/>
      <c r="DC2" s="449"/>
      <c r="DD2" s="449"/>
      <c r="DE2" s="449"/>
      <c r="DF2" s="449"/>
      <c r="DG2" s="449"/>
      <c r="DH2" s="449"/>
      <c r="DI2" s="449"/>
      <c r="DJ2" s="449"/>
      <c r="DK2" s="449"/>
      <c r="DL2" s="449"/>
      <c r="DM2" s="449"/>
    </row>
    <row r="3" spans="1:117" ht="42" customHeight="1" x14ac:dyDescent="0.35">
      <c r="A3" s="450"/>
      <c r="B3" s="451"/>
      <c r="C3" s="451"/>
      <c r="D3" s="451"/>
      <c r="E3" s="451"/>
      <c r="F3" s="449"/>
      <c r="G3" s="449"/>
      <c r="H3" s="449"/>
      <c r="I3" s="449"/>
      <c r="J3" s="449"/>
      <c r="K3" s="449"/>
      <c r="L3" s="449"/>
      <c r="M3" s="449"/>
      <c r="N3" s="449"/>
      <c r="O3" s="449"/>
      <c r="P3" s="449"/>
      <c r="Q3" s="449"/>
      <c r="R3" s="449"/>
      <c r="S3" s="449"/>
      <c r="T3" s="449"/>
      <c r="U3" s="449"/>
      <c r="V3" s="449"/>
      <c r="W3" s="449"/>
      <c r="X3" s="449"/>
      <c r="Y3" s="449"/>
      <c r="Z3" s="449"/>
      <c r="AA3" s="449"/>
      <c r="AB3" s="449"/>
      <c r="AC3" s="449"/>
      <c r="AD3" s="449"/>
      <c r="AE3" s="449"/>
      <c r="AF3" s="449"/>
      <c r="AG3" s="449"/>
      <c r="AH3" s="449"/>
      <c r="AI3" s="449"/>
      <c r="AJ3" s="449"/>
      <c r="AK3" s="449"/>
      <c r="AL3" s="449"/>
      <c r="AM3" s="449"/>
      <c r="AN3" s="449"/>
      <c r="AO3" s="449"/>
      <c r="AP3" s="449"/>
      <c r="AQ3" s="449"/>
      <c r="AR3" s="449"/>
      <c r="AS3" s="449"/>
      <c r="AT3" s="449"/>
      <c r="AU3" s="449"/>
      <c r="AV3" s="449"/>
      <c r="AW3" s="449"/>
      <c r="AX3" s="449"/>
      <c r="AY3" s="449"/>
      <c r="AZ3" s="449"/>
      <c r="BA3" s="449"/>
      <c r="BB3" s="449"/>
      <c r="BC3" s="449"/>
      <c r="BD3" s="449"/>
      <c r="BE3" s="449"/>
      <c r="BF3" s="449"/>
      <c r="BG3" s="449"/>
      <c r="BH3" s="449"/>
      <c r="BI3" s="449"/>
      <c r="BJ3" s="449"/>
      <c r="BK3" s="449"/>
      <c r="BL3" s="449"/>
      <c r="BM3" s="449"/>
      <c r="BN3" s="449"/>
      <c r="BO3" s="449"/>
      <c r="BP3" s="449"/>
      <c r="BQ3" s="449"/>
      <c r="BR3" s="449"/>
      <c r="BS3" s="449"/>
      <c r="BT3" s="449"/>
      <c r="BU3" s="449"/>
      <c r="BV3" s="449"/>
      <c r="BW3" s="449"/>
      <c r="BX3" s="449"/>
      <c r="BY3" s="449"/>
      <c r="BZ3" s="449"/>
      <c r="CA3" s="449"/>
      <c r="CB3" s="449"/>
      <c r="CC3" s="449"/>
      <c r="CD3" s="449"/>
      <c r="CE3" s="449"/>
      <c r="CF3" s="449"/>
      <c r="CG3" s="449"/>
      <c r="CH3" s="449"/>
      <c r="CI3" s="449"/>
      <c r="CJ3" s="449"/>
      <c r="CK3" s="449"/>
      <c r="CL3" s="449"/>
      <c r="CM3" s="449"/>
      <c r="CN3" s="449"/>
      <c r="CO3" s="449"/>
      <c r="CP3" s="449"/>
      <c r="CQ3" s="449"/>
      <c r="CR3" s="449"/>
      <c r="CS3" s="449"/>
      <c r="CT3" s="449"/>
      <c r="CU3" s="449"/>
      <c r="CV3" s="449"/>
      <c r="CW3" s="449"/>
      <c r="CX3" s="449"/>
      <c r="CY3" s="449"/>
      <c r="CZ3" s="449"/>
      <c r="DA3" s="449"/>
      <c r="DB3" s="449"/>
      <c r="DC3" s="449"/>
      <c r="DD3" s="449"/>
      <c r="DE3" s="451"/>
      <c r="DF3" s="451"/>
      <c r="DG3" s="451"/>
      <c r="DH3" s="451"/>
      <c r="DI3" s="451"/>
      <c r="DJ3" s="451"/>
      <c r="DK3" s="451"/>
      <c r="DL3" s="451"/>
      <c r="DM3" s="451"/>
    </row>
    <row r="4" spans="1:117" ht="37.5" customHeight="1" x14ac:dyDescent="0.35">
      <c r="A4" s="452" t="s">
        <v>873</v>
      </c>
      <c r="B4" s="453"/>
      <c r="C4" s="453"/>
      <c r="D4" s="453"/>
      <c r="E4" s="453"/>
      <c r="F4" s="437" t="s">
        <v>1</v>
      </c>
      <c r="G4" s="437"/>
      <c r="H4" s="438" t="s">
        <v>2</v>
      </c>
      <c r="I4" s="438"/>
      <c r="J4" s="439" t="s">
        <v>3</v>
      </c>
      <c r="K4" s="439"/>
      <c r="L4" s="438" t="s">
        <v>4</v>
      </c>
      <c r="M4" s="438"/>
      <c r="N4" s="439" t="s">
        <v>5</v>
      </c>
      <c r="O4" s="439"/>
      <c r="P4" s="443" t="s">
        <v>6</v>
      </c>
      <c r="Q4" s="443"/>
      <c r="R4" s="442" t="s">
        <v>7</v>
      </c>
      <c r="S4" s="442"/>
      <c r="T4" s="445" t="s">
        <v>8</v>
      </c>
      <c r="U4" s="445"/>
      <c r="V4" s="442" t="s">
        <v>9</v>
      </c>
      <c r="W4" s="442"/>
      <c r="X4" s="443" t="s">
        <v>10</v>
      </c>
      <c r="Y4" s="443"/>
      <c r="Z4" s="444" t="s">
        <v>11</v>
      </c>
      <c r="AA4" s="444"/>
      <c r="AB4" s="443" t="s">
        <v>12</v>
      </c>
      <c r="AC4" s="443"/>
      <c r="AD4" s="442" t="s">
        <v>13</v>
      </c>
      <c r="AE4" s="442"/>
      <c r="AF4" s="443" t="s">
        <v>14</v>
      </c>
      <c r="AG4" s="443"/>
      <c r="AH4" s="444" t="s">
        <v>15</v>
      </c>
      <c r="AI4" s="444"/>
      <c r="AJ4" s="443" t="s">
        <v>16</v>
      </c>
      <c r="AK4" s="443"/>
      <c r="AL4" s="440" t="s">
        <v>17</v>
      </c>
      <c r="AM4" s="440"/>
      <c r="AN4" s="441" t="s">
        <v>18</v>
      </c>
      <c r="AO4" s="441"/>
      <c r="AP4" s="440" t="s">
        <v>19</v>
      </c>
      <c r="AQ4" s="440"/>
      <c r="AR4" s="441" t="s">
        <v>20</v>
      </c>
      <c r="AS4" s="441"/>
      <c r="AT4" s="440" t="s">
        <v>21</v>
      </c>
      <c r="AU4" s="440"/>
      <c r="AV4" s="441" t="s">
        <v>22</v>
      </c>
      <c r="AW4" s="441"/>
      <c r="AX4" s="440" t="s">
        <v>23</v>
      </c>
      <c r="AY4" s="440"/>
      <c r="AZ4" s="441" t="s">
        <v>24</v>
      </c>
      <c r="BA4" s="441"/>
      <c r="BB4" s="440" t="s">
        <v>25</v>
      </c>
      <c r="BC4" s="440"/>
      <c r="BD4" s="441" t="s">
        <v>26</v>
      </c>
      <c r="BE4" s="441"/>
      <c r="BF4" s="440" t="s">
        <v>27</v>
      </c>
      <c r="BG4" s="440"/>
      <c r="BH4" s="441" t="s">
        <v>28</v>
      </c>
      <c r="BI4" s="441"/>
      <c r="BJ4" s="442" t="s">
        <v>29</v>
      </c>
      <c r="BK4" s="442"/>
      <c r="BL4" s="441" t="s">
        <v>30</v>
      </c>
      <c r="BM4" s="441"/>
      <c r="BN4" s="440" t="s">
        <v>31</v>
      </c>
      <c r="BO4" s="440"/>
      <c r="BP4" s="441" t="s">
        <v>32</v>
      </c>
      <c r="BQ4" s="441"/>
      <c r="BR4" s="440" t="s">
        <v>33</v>
      </c>
      <c r="BS4" s="440"/>
      <c r="BT4" s="441" t="s">
        <v>34</v>
      </c>
      <c r="BU4" s="441"/>
      <c r="BV4" s="440" t="s">
        <v>35</v>
      </c>
      <c r="BW4" s="440"/>
      <c r="BX4" s="441" t="s">
        <v>36</v>
      </c>
      <c r="BY4" s="441"/>
      <c r="BZ4" s="440" t="s">
        <v>37</v>
      </c>
      <c r="CA4" s="440"/>
      <c r="CB4" s="469" t="s">
        <v>38</v>
      </c>
      <c r="CC4" s="469"/>
      <c r="CD4" s="463" t="s">
        <v>39</v>
      </c>
      <c r="CE4" s="463"/>
      <c r="CF4" s="462" t="s">
        <v>40</v>
      </c>
      <c r="CG4" s="462"/>
      <c r="CH4" s="463" t="s">
        <v>41</v>
      </c>
      <c r="CI4" s="463"/>
      <c r="CJ4" s="462" t="s">
        <v>42</v>
      </c>
      <c r="CK4" s="462"/>
      <c r="CL4" s="463" t="s">
        <v>43</v>
      </c>
      <c r="CM4" s="463"/>
      <c r="CN4" s="470" t="s">
        <v>44</v>
      </c>
      <c r="CO4" s="440" t="s">
        <v>45</v>
      </c>
      <c r="CP4" s="441" t="s">
        <v>46</v>
      </c>
      <c r="CQ4" s="464" t="s">
        <v>899</v>
      </c>
      <c r="CR4" s="464"/>
      <c r="CS4" s="464"/>
      <c r="CT4" s="441" t="s">
        <v>898</v>
      </c>
      <c r="CU4" s="441"/>
      <c r="CV4" s="441"/>
      <c r="CW4" s="472" t="s">
        <v>591</v>
      </c>
      <c r="CX4" s="399" t="s">
        <v>592</v>
      </c>
      <c r="CY4" s="472" t="s">
        <v>593</v>
      </c>
      <c r="CZ4" s="399" t="s">
        <v>594</v>
      </c>
      <c r="DA4" s="399" t="s">
        <v>1052</v>
      </c>
      <c r="DB4" s="477" t="s">
        <v>591</v>
      </c>
      <c r="DC4" s="474" t="s">
        <v>593</v>
      </c>
      <c r="DD4" s="476" t="s">
        <v>595</v>
      </c>
      <c r="DE4" s="465" t="s">
        <v>47</v>
      </c>
      <c r="DF4" s="465"/>
      <c r="DG4" s="465"/>
      <c r="DH4" s="466"/>
      <c r="DI4" s="265"/>
      <c r="DJ4" s="265"/>
      <c r="DK4" s="456" t="s">
        <v>48</v>
      </c>
      <c r="DL4" s="457"/>
      <c r="DM4" s="458"/>
    </row>
    <row r="5" spans="1:117" ht="27" customHeight="1" x14ac:dyDescent="0.35">
      <c r="A5" s="454"/>
      <c r="B5" s="455"/>
      <c r="C5" s="455"/>
      <c r="D5" s="455"/>
      <c r="E5" s="455"/>
      <c r="F5" s="437"/>
      <c r="G5" s="437"/>
      <c r="H5" s="438"/>
      <c r="I5" s="438"/>
      <c r="J5" s="439"/>
      <c r="K5" s="439"/>
      <c r="L5" s="438"/>
      <c r="M5" s="438"/>
      <c r="N5" s="439"/>
      <c r="O5" s="439"/>
      <c r="P5" s="443"/>
      <c r="Q5" s="443"/>
      <c r="R5" s="442"/>
      <c r="S5" s="442"/>
      <c r="T5" s="445"/>
      <c r="U5" s="445"/>
      <c r="V5" s="442"/>
      <c r="W5" s="442"/>
      <c r="X5" s="443"/>
      <c r="Y5" s="443"/>
      <c r="Z5" s="444"/>
      <c r="AA5" s="444"/>
      <c r="AB5" s="443"/>
      <c r="AC5" s="443"/>
      <c r="AD5" s="442"/>
      <c r="AE5" s="442"/>
      <c r="AF5" s="443"/>
      <c r="AG5" s="443"/>
      <c r="AH5" s="444"/>
      <c r="AI5" s="444"/>
      <c r="AJ5" s="443"/>
      <c r="AK5" s="443"/>
      <c r="AL5" s="440"/>
      <c r="AM5" s="440"/>
      <c r="AN5" s="441"/>
      <c r="AO5" s="441"/>
      <c r="AP5" s="440"/>
      <c r="AQ5" s="440"/>
      <c r="AR5" s="441"/>
      <c r="AS5" s="441"/>
      <c r="AT5" s="440"/>
      <c r="AU5" s="440"/>
      <c r="AV5" s="441"/>
      <c r="AW5" s="441"/>
      <c r="AX5" s="440"/>
      <c r="AY5" s="440"/>
      <c r="AZ5" s="441"/>
      <c r="BA5" s="441"/>
      <c r="BB5" s="440"/>
      <c r="BC5" s="440"/>
      <c r="BD5" s="441"/>
      <c r="BE5" s="441"/>
      <c r="BF5" s="440"/>
      <c r="BG5" s="440"/>
      <c r="BH5" s="441"/>
      <c r="BI5" s="441"/>
      <c r="BJ5" s="442"/>
      <c r="BK5" s="442"/>
      <c r="BL5" s="441"/>
      <c r="BM5" s="441"/>
      <c r="BN5" s="440"/>
      <c r="BO5" s="440"/>
      <c r="BP5" s="441"/>
      <c r="BQ5" s="441"/>
      <c r="BR5" s="440"/>
      <c r="BS5" s="440"/>
      <c r="BT5" s="441"/>
      <c r="BU5" s="441"/>
      <c r="BV5" s="440"/>
      <c r="BW5" s="440"/>
      <c r="BX5" s="441"/>
      <c r="BY5" s="441"/>
      <c r="BZ5" s="440"/>
      <c r="CA5" s="440"/>
      <c r="CB5" s="469"/>
      <c r="CC5" s="469"/>
      <c r="CD5" s="463"/>
      <c r="CE5" s="463"/>
      <c r="CF5" s="462"/>
      <c r="CG5" s="462"/>
      <c r="CH5" s="463"/>
      <c r="CI5" s="463"/>
      <c r="CJ5" s="462"/>
      <c r="CK5" s="462"/>
      <c r="CL5" s="463"/>
      <c r="CM5" s="463"/>
      <c r="CN5" s="470"/>
      <c r="CO5" s="440"/>
      <c r="CP5" s="471"/>
      <c r="CQ5" s="464"/>
      <c r="CR5" s="464"/>
      <c r="CS5" s="464"/>
      <c r="CT5" s="441"/>
      <c r="CU5" s="441"/>
      <c r="CV5" s="441"/>
      <c r="CW5" s="473"/>
      <c r="CX5" s="399"/>
      <c r="CY5" s="473"/>
      <c r="CZ5" s="399"/>
      <c r="DA5" s="399"/>
      <c r="DB5" s="478"/>
      <c r="DC5" s="475"/>
      <c r="DD5" s="476"/>
      <c r="DE5" s="467"/>
      <c r="DF5" s="467"/>
      <c r="DG5" s="467"/>
      <c r="DH5" s="468"/>
      <c r="DI5" s="266"/>
      <c r="DJ5" s="266"/>
      <c r="DK5" s="459"/>
      <c r="DL5" s="460"/>
      <c r="DM5" s="461"/>
    </row>
    <row r="6" spans="1:117" ht="55.5" customHeight="1" x14ac:dyDescent="0.35">
      <c r="A6" s="77" t="s">
        <v>49</v>
      </c>
      <c r="B6" s="77" t="s">
        <v>50</v>
      </c>
      <c r="C6" s="77" t="s">
        <v>51</v>
      </c>
      <c r="D6" s="77" t="s">
        <v>52</v>
      </c>
      <c r="E6" s="113" t="s">
        <v>53</v>
      </c>
      <c r="F6" s="268" t="s">
        <v>54</v>
      </c>
      <c r="G6" s="268" t="s">
        <v>55</v>
      </c>
      <c r="H6" s="268" t="s">
        <v>54</v>
      </c>
      <c r="I6" s="268" t="s">
        <v>55</v>
      </c>
      <c r="J6" s="268" t="s">
        <v>54</v>
      </c>
      <c r="K6" s="268" t="s">
        <v>55</v>
      </c>
      <c r="L6" s="268" t="s">
        <v>54</v>
      </c>
      <c r="M6" s="268" t="s">
        <v>55</v>
      </c>
      <c r="N6" s="268" t="s">
        <v>54</v>
      </c>
      <c r="O6" s="268" t="s">
        <v>55</v>
      </c>
      <c r="P6" s="268" t="s">
        <v>54</v>
      </c>
      <c r="Q6" s="268" t="s">
        <v>55</v>
      </c>
      <c r="R6" s="268" t="s">
        <v>54</v>
      </c>
      <c r="S6" s="268" t="s">
        <v>55</v>
      </c>
      <c r="T6" s="268" t="s">
        <v>54</v>
      </c>
      <c r="U6" s="268" t="s">
        <v>55</v>
      </c>
      <c r="V6" s="268" t="s">
        <v>54</v>
      </c>
      <c r="W6" s="268" t="s">
        <v>55</v>
      </c>
      <c r="X6" s="268" t="s">
        <v>54</v>
      </c>
      <c r="Y6" s="268" t="s">
        <v>55</v>
      </c>
      <c r="Z6" s="268" t="s">
        <v>54</v>
      </c>
      <c r="AA6" s="268" t="s">
        <v>55</v>
      </c>
      <c r="AB6" s="268" t="s">
        <v>54</v>
      </c>
      <c r="AC6" s="268" t="s">
        <v>55</v>
      </c>
      <c r="AD6" s="268" t="s">
        <v>54</v>
      </c>
      <c r="AE6" s="268" t="s">
        <v>55</v>
      </c>
      <c r="AF6" s="268" t="s">
        <v>54</v>
      </c>
      <c r="AG6" s="268" t="s">
        <v>55</v>
      </c>
      <c r="AH6" s="268" t="s">
        <v>54</v>
      </c>
      <c r="AI6" s="268" t="s">
        <v>55</v>
      </c>
      <c r="AJ6" s="268" t="s">
        <v>54</v>
      </c>
      <c r="AK6" s="268" t="s">
        <v>55</v>
      </c>
      <c r="AL6" s="268" t="s">
        <v>54</v>
      </c>
      <c r="AM6" s="268" t="s">
        <v>55</v>
      </c>
      <c r="AN6" s="268" t="s">
        <v>54</v>
      </c>
      <c r="AO6" s="268" t="s">
        <v>55</v>
      </c>
      <c r="AP6" s="268" t="s">
        <v>54</v>
      </c>
      <c r="AQ6" s="268" t="s">
        <v>55</v>
      </c>
      <c r="AR6" s="268" t="s">
        <v>54</v>
      </c>
      <c r="AS6" s="268" t="s">
        <v>55</v>
      </c>
      <c r="AT6" s="268" t="s">
        <v>54</v>
      </c>
      <c r="AU6" s="268" t="s">
        <v>55</v>
      </c>
      <c r="AV6" s="268" t="s">
        <v>54</v>
      </c>
      <c r="AW6" s="268" t="s">
        <v>55</v>
      </c>
      <c r="AX6" s="268" t="s">
        <v>54</v>
      </c>
      <c r="AY6" s="268" t="s">
        <v>55</v>
      </c>
      <c r="AZ6" s="268" t="s">
        <v>54</v>
      </c>
      <c r="BA6" s="268" t="s">
        <v>55</v>
      </c>
      <c r="BB6" s="268" t="s">
        <v>54</v>
      </c>
      <c r="BC6" s="268" t="s">
        <v>55</v>
      </c>
      <c r="BD6" s="268" t="s">
        <v>54</v>
      </c>
      <c r="BE6" s="268" t="s">
        <v>55</v>
      </c>
      <c r="BF6" s="268" t="s">
        <v>54</v>
      </c>
      <c r="BG6" s="268" t="s">
        <v>55</v>
      </c>
      <c r="BH6" s="268" t="s">
        <v>54</v>
      </c>
      <c r="BI6" s="268" t="s">
        <v>55</v>
      </c>
      <c r="BJ6" s="268" t="s">
        <v>54</v>
      </c>
      <c r="BK6" s="268" t="s">
        <v>55</v>
      </c>
      <c r="BL6" s="268" t="s">
        <v>54</v>
      </c>
      <c r="BM6" s="268" t="s">
        <v>55</v>
      </c>
      <c r="BN6" s="268" t="s">
        <v>54</v>
      </c>
      <c r="BO6" s="268" t="s">
        <v>55</v>
      </c>
      <c r="BP6" s="268" t="s">
        <v>54</v>
      </c>
      <c r="BQ6" s="268" t="s">
        <v>55</v>
      </c>
      <c r="BR6" s="268" t="s">
        <v>54</v>
      </c>
      <c r="BS6" s="268" t="s">
        <v>55</v>
      </c>
      <c r="BT6" s="268" t="s">
        <v>54</v>
      </c>
      <c r="BU6" s="268" t="s">
        <v>55</v>
      </c>
      <c r="BV6" s="268" t="s">
        <v>54</v>
      </c>
      <c r="BW6" s="268" t="s">
        <v>55</v>
      </c>
      <c r="BX6" s="268" t="s">
        <v>54</v>
      </c>
      <c r="BY6" s="268" t="s">
        <v>55</v>
      </c>
      <c r="BZ6" s="268" t="s">
        <v>54</v>
      </c>
      <c r="CA6" s="268" t="s">
        <v>55</v>
      </c>
      <c r="CB6" s="268" t="s">
        <v>54</v>
      </c>
      <c r="CC6" s="268" t="s">
        <v>55</v>
      </c>
      <c r="CD6" s="268" t="s">
        <v>54</v>
      </c>
      <c r="CE6" s="268" t="s">
        <v>55</v>
      </c>
      <c r="CF6" s="268" t="s">
        <v>54</v>
      </c>
      <c r="CG6" s="268" t="s">
        <v>55</v>
      </c>
      <c r="CH6" s="268" t="s">
        <v>54</v>
      </c>
      <c r="CI6" s="268" t="s">
        <v>55</v>
      </c>
      <c r="CJ6" s="268" t="s">
        <v>54</v>
      </c>
      <c r="CK6" s="268" t="s">
        <v>55</v>
      </c>
      <c r="CL6" s="268" t="s">
        <v>54</v>
      </c>
      <c r="CM6" s="268" t="s">
        <v>55</v>
      </c>
      <c r="CN6" s="268" t="s">
        <v>54</v>
      </c>
      <c r="CO6" s="268" t="s">
        <v>54</v>
      </c>
      <c r="CP6" s="268" t="s">
        <v>54</v>
      </c>
      <c r="CQ6" s="276" t="s">
        <v>895</v>
      </c>
      <c r="CR6" s="276" t="s">
        <v>896</v>
      </c>
      <c r="CS6" s="276" t="s">
        <v>897</v>
      </c>
      <c r="CT6" s="276" t="s">
        <v>895</v>
      </c>
      <c r="CU6" s="276" t="s">
        <v>896</v>
      </c>
      <c r="CV6" s="276" t="s">
        <v>897</v>
      </c>
      <c r="CW6" s="301" t="s">
        <v>570</v>
      </c>
      <c r="CX6" s="301" t="s">
        <v>570</v>
      </c>
      <c r="CY6" s="301" t="s">
        <v>570</v>
      </c>
      <c r="CZ6" s="301" t="s">
        <v>570</v>
      </c>
      <c r="DA6" s="301" t="s">
        <v>570</v>
      </c>
      <c r="DB6" s="301" t="s">
        <v>570</v>
      </c>
      <c r="DC6" s="301" t="s">
        <v>570</v>
      </c>
      <c r="DD6" s="301" t="s">
        <v>570</v>
      </c>
      <c r="DE6" s="277" t="s">
        <v>56</v>
      </c>
      <c r="DF6" s="83" t="s">
        <v>57</v>
      </c>
      <c r="DG6" s="83" t="s">
        <v>58</v>
      </c>
      <c r="DH6" s="84" t="s">
        <v>59</v>
      </c>
      <c r="DI6" s="86" t="s">
        <v>60</v>
      </c>
      <c r="DJ6" s="86" t="s">
        <v>466</v>
      </c>
      <c r="DK6" s="278" t="s">
        <v>60</v>
      </c>
      <c r="DL6" s="278" t="s">
        <v>467</v>
      </c>
      <c r="DM6" s="278" t="s">
        <v>61</v>
      </c>
    </row>
    <row r="7" spans="1:117" s="3" customFormat="1" ht="101.5" x14ac:dyDescent="0.35">
      <c r="A7" s="300">
        <v>1</v>
      </c>
      <c r="B7" s="36" t="s">
        <v>62</v>
      </c>
      <c r="C7" s="47" t="s">
        <v>63</v>
      </c>
      <c r="D7" s="36" t="s">
        <v>64</v>
      </c>
      <c r="E7" s="118">
        <v>13</v>
      </c>
      <c r="F7" s="32">
        <v>2548800</v>
      </c>
      <c r="G7" s="32">
        <f>+(F7*5.1%)+F7</f>
        <v>2678788.7999999998</v>
      </c>
      <c r="H7" s="34"/>
      <c r="I7" s="34"/>
      <c r="J7" s="33"/>
      <c r="K7" s="33"/>
      <c r="L7" s="34">
        <v>1980000</v>
      </c>
      <c r="M7" s="34">
        <f>+(L7*5.1%)+L7</f>
        <v>2080980</v>
      </c>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c r="BM7" s="34"/>
      <c r="BN7" s="34"/>
      <c r="BO7" s="34"/>
      <c r="BP7" s="34">
        <v>2483892</v>
      </c>
      <c r="BQ7" s="34">
        <f>+(BP7*5.1%)+BP7</f>
        <v>2610570.4920000001</v>
      </c>
      <c r="BR7" s="34"/>
      <c r="BS7" s="34"/>
      <c r="BT7" s="34"/>
      <c r="BU7" s="34"/>
      <c r="BV7" s="34"/>
      <c r="BW7" s="34"/>
      <c r="BX7" s="34"/>
      <c r="BY7" s="34"/>
      <c r="BZ7" s="34"/>
      <c r="CA7" s="34"/>
      <c r="CB7" s="34"/>
      <c r="CC7" s="34"/>
      <c r="CD7" s="34"/>
      <c r="CE7" s="34"/>
      <c r="CF7" s="34"/>
      <c r="CG7" s="34"/>
      <c r="CH7" s="34"/>
      <c r="CI7" s="34"/>
      <c r="CJ7" s="34"/>
      <c r="CK7" s="34"/>
      <c r="CL7" s="34"/>
      <c r="CM7" s="34"/>
      <c r="CN7" s="227"/>
      <c r="CO7" s="34"/>
      <c r="CP7" s="34"/>
      <c r="CQ7" s="34"/>
      <c r="CR7" s="34"/>
      <c r="CS7" s="34"/>
      <c r="CT7" s="34"/>
      <c r="CU7" s="34"/>
      <c r="CV7" s="34"/>
      <c r="CW7" s="34"/>
      <c r="CX7" s="34"/>
      <c r="CY7" s="34"/>
      <c r="CZ7" s="34"/>
      <c r="DA7" s="34"/>
      <c r="DB7" s="34"/>
      <c r="DC7" s="34"/>
      <c r="DD7" s="34"/>
      <c r="DE7" s="63">
        <f>MEDIAN(G7,M7,BQ7)</f>
        <v>2610570.4920000001</v>
      </c>
      <c r="DF7" s="63">
        <f>AVERAGE(G7,M7,BQ7)</f>
        <v>2456779.764</v>
      </c>
      <c r="DG7" s="64">
        <f>STDEV(G7,M7,BQ7)</f>
        <v>327234.6732139482</v>
      </c>
      <c r="DH7" s="62">
        <f>DG7/DF7</f>
        <v>0.13319658441062779</v>
      </c>
      <c r="DI7" s="287">
        <f>DK7/1.19</f>
        <v>2064521.0084033615</v>
      </c>
      <c r="DJ7" s="287">
        <f t="shared" ref="DJ7" si="0">+DI7*19%</f>
        <v>392258.99159663869</v>
      </c>
      <c r="DK7" s="285">
        <f t="shared" ref="DK7:DK50" si="1">ROUNDUP(IF(DH7&lt;15%,DF7,DE7),0)</f>
        <v>2456780</v>
      </c>
      <c r="DL7" s="286">
        <f t="shared" ref="DL7:DL51" si="2">+DK7*E7</f>
        <v>31938140</v>
      </c>
      <c r="DM7" s="76" t="s">
        <v>65</v>
      </c>
    </row>
    <row r="8" spans="1:117" ht="336.75" customHeight="1" x14ac:dyDescent="0.35">
      <c r="A8" s="300">
        <v>2</v>
      </c>
      <c r="B8" s="125" t="s">
        <v>598</v>
      </c>
      <c r="C8" s="124" t="s">
        <v>599</v>
      </c>
      <c r="D8" s="46" t="s">
        <v>64</v>
      </c>
      <c r="E8" s="115">
        <v>18</v>
      </c>
      <c r="F8" s="14"/>
      <c r="G8" s="32"/>
      <c r="H8" s="23"/>
      <c r="I8" s="23"/>
      <c r="J8" s="18"/>
      <c r="K8" s="18"/>
      <c r="L8" s="23"/>
      <c r="M8" s="34"/>
      <c r="N8" s="23"/>
      <c r="O8" s="34"/>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22"/>
      <c r="CO8" s="34"/>
      <c r="CP8" s="34"/>
      <c r="CQ8" s="34"/>
      <c r="CR8" s="34"/>
      <c r="CS8" s="34"/>
      <c r="CT8" s="34"/>
      <c r="CU8" s="34"/>
      <c r="CV8" s="34"/>
      <c r="CW8" s="34"/>
      <c r="CX8" s="34"/>
      <c r="CY8" s="34"/>
      <c r="CZ8" s="34"/>
      <c r="DA8" s="34"/>
      <c r="DB8" s="34">
        <v>4700000</v>
      </c>
      <c r="DC8" s="34">
        <v>7735000</v>
      </c>
      <c r="DD8" s="34">
        <v>4900000</v>
      </c>
      <c r="DE8" s="63">
        <f>MEDIAN(DB8,DC8,DD8)</f>
        <v>4900000</v>
      </c>
      <c r="DF8" s="63">
        <f>AVERAGE(DB8,DC8,DD8)</f>
        <v>5778333.333333333</v>
      </c>
      <c r="DG8" s="64">
        <f>STDEV(DB8,DC8,DD8)</f>
        <v>1697471.1583215003</v>
      </c>
      <c r="DH8" s="62">
        <f>DG8/DF8</f>
        <v>0.29376483847502172</v>
      </c>
      <c r="DI8" s="287">
        <f t="shared" ref="DI8:DI51" si="3">DK8/1.19</f>
        <v>4117647.0588235296</v>
      </c>
      <c r="DJ8" s="287">
        <f t="shared" ref="DJ8:DJ51" si="4">+DI8*19%</f>
        <v>782352.9411764706</v>
      </c>
      <c r="DK8" s="285">
        <f t="shared" si="1"/>
        <v>4900000</v>
      </c>
      <c r="DL8" s="286">
        <f t="shared" si="2"/>
        <v>88200000</v>
      </c>
      <c r="DM8" s="76" t="s">
        <v>66</v>
      </c>
    </row>
    <row r="9" spans="1:117" ht="409.5" x14ac:dyDescent="0.35">
      <c r="A9" s="300">
        <v>3</v>
      </c>
      <c r="B9" s="125" t="s">
        <v>596</v>
      </c>
      <c r="C9" s="124" t="s">
        <v>597</v>
      </c>
      <c r="D9" s="46" t="s">
        <v>64</v>
      </c>
      <c r="E9" s="115">
        <v>10</v>
      </c>
      <c r="F9" s="14"/>
      <c r="G9" s="32"/>
      <c r="H9" s="23"/>
      <c r="I9" s="23"/>
      <c r="J9" s="18"/>
      <c r="K9" s="18"/>
      <c r="L9" s="23"/>
      <c r="M9" s="34"/>
      <c r="N9" s="23"/>
      <c r="O9" s="34"/>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22"/>
      <c r="CO9" s="34"/>
      <c r="CP9" s="34"/>
      <c r="CQ9" s="34"/>
      <c r="CR9" s="34"/>
      <c r="CS9" s="34"/>
      <c r="CT9" s="34"/>
      <c r="CU9" s="34"/>
      <c r="CV9" s="34"/>
      <c r="CW9" s="302">
        <v>2915500</v>
      </c>
      <c r="CX9" s="34"/>
      <c r="CY9" s="189">
        <v>2975000</v>
      </c>
      <c r="CZ9" s="34"/>
      <c r="DA9" s="302">
        <v>2681112.4900000002</v>
      </c>
      <c r="DB9" s="302"/>
      <c r="DC9" s="302"/>
      <c r="DD9" s="302"/>
      <c r="DE9" s="63">
        <f>MEDIAN(CW9,CY9,DA9)</f>
        <v>2915500</v>
      </c>
      <c r="DF9" s="63">
        <f>AVERAGE(CW9,CY9,DA9)</f>
        <v>2857204.1633333336</v>
      </c>
      <c r="DG9" s="64">
        <f>STDEV(CW9,CY9,DA9)</f>
        <v>155374.61363749224</v>
      </c>
      <c r="DH9" s="62">
        <f t="shared" ref="DH9:DH12" si="5">DG9/DF9</f>
        <v>5.4379947933516144E-2</v>
      </c>
      <c r="DI9" s="287">
        <f t="shared" si="3"/>
        <v>2401012.6050420171</v>
      </c>
      <c r="DJ9" s="287">
        <f t="shared" si="4"/>
        <v>456192.39495798323</v>
      </c>
      <c r="DK9" s="285">
        <f t="shared" si="1"/>
        <v>2857205</v>
      </c>
      <c r="DL9" s="286">
        <f t="shared" si="2"/>
        <v>28572050</v>
      </c>
      <c r="DM9" s="76" t="s">
        <v>65</v>
      </c>
    </row>
    <row r="10" spans="1:117" s="3" customFormat="1" ht="29" x14ac:dyDescent="0.35">
      <c r="A10" s="300">
        <v>4</v>
      </c>
      <c r="B10" s="36" t="s">
        <v>67</v>
      </c>
      <c r="C10" s="47" t="s">
        <v>68</v>
      </c>
      <c r="D10" s="36" t="s">
        <v>64</v>
      </c>
      <c r="E10" s="117">
        <v>15</v>
      </c>
      <c r="F10" s="15"/>
      <c r="G10" s="32"/>
      <c r="H10" s="24"/>
      <c r="I10" s="24"/>
      <c r="J10" s="19"/>
      <c r="K10" s="19"/>
      <c r="L10" s="24"/>
      <c r="M10" s="34"/>
      <c r="N10" s="24"/>
      <c r="O10" s="34"/>
      <c r="P10" s="24"/>
      <c r="Q10" s="24"/>
      <c r="R10" s="24"/>
      <c r="S10" s="24"/>
      <c r="T10" s="24"/>
      <c r="U10" s="24"/>
      <c r="V10" s="24"/>
      <c r="W10" s="24"/>
      <c r="X10" s="24"/>
      <c r="Y10" s="24"/>
      <c r="Z10" s="24"/>
      <c r="AA10" s="24"/>
      <c r="AB10" s="24"/>
      <c r="AC10" s="23"/>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f>+(369900*26%)+369900</f>
        <v>466074</v>
      </c>
      <c r="BQ10" s="34">
        <f>+(BP10*5.1%)+BP10</f>
        <v>489843.77399999998</v>
      </c>
      <c r="BR10" s="24"/>
      <c r="BS10" s="24"/>
      <c r="BT10" s="24"/>
      <c r="BU10" s="24"/>
      <c r="BV10" s="24"/>
      <c r="BW10" s="24"/>
      <c r="BX10" s="24"/>
      <c r="BY10" s="24"/>
      <c r="BZ10" s="24"/>
      <c r="CA10" s="24"/>
      <c r="CB10" s="24"/>
      <c r="CC10" s="24"/>
      <c r="CD10" s="24"/>
      <c r="CE10" s="24"/>
      <c r="CF10" s="24">
        <f>+(384900*26%)+384900</f>
        <v>484974</v>
      </c>
      <c r="CG10" s="24">
        <f>+(CF10*5.1%)+CF10</f>
        <v>509707.674</v>
      </c>
      <c r="CH10" s="24"/>
      <c r="CI10" s="24"/>
      <c r="CJ10" s="24"/>
      <c r="CK10" s="24"/>
      <c r="CL10" s="24"/>
      <c r="CM10" s="24"/>
      <c r="CN10" s="222"/>
      <c r="CO10" s="34"/>
      <c r="CP10" s="34"/>
      <c r="CQ10" s="34"/>
      <c r="CR10" s="34"/>
      <c r="CS10" s="34"/>
      <c r="CT10" s="34"/>
      <c r="CU10" s="34"/>
      <c r="CV10" s="34"/>
      <c r="CW10" s="34"/>
      <c r="CX10" s="34"/>
      <c r="CY10" s="34"/>
      <c r="CZ10" s="34"/>
      <c r="DA10" s="34"/>
      <c r="DB10" s="34"/>
      <c r="DC10" s="34"/>
      <c r="DD10" s="34"/>
      <c r="DE10" s="63">
        <f>MEDIAN(BQ10,CG10)</f>
        <v>499775.72399999999</v>
      </c>
      <c r="DF10" s="63">
        <f>AVERAGE(BQ10,CG10)</f>
        <v>499775.72399999999</v>
      </c>
      <c r="DG10" s="64">
        <f>STDEV(BQ10,CG10)</f>
        <v>14045.898390811479</v>
      </c>
      <c r="DH10" s="62">
        <f t="shared" si="5"/>
        <v>2.8104403067827837E-2</v>
      </c>
      <c r="DI10" s="287">
        <f t="shared" si="3"/>
        <v>419979.83193277312</v>
      </c>
      <c r="DJ10" s="287">
        <f t="shared" si="4"/>
        <v>79796.168067226899</v>
      </c>
      <c r="DK10" s="285">
        <f t="shared" si="1"/>
        <v>499776</v>
      </c>
      <c r="DL10" s="286">
        <f t="shared" si="2"/>
        <v>7496640</v>
      </c>
      <c r="DM10" s="76" t="s">
        <v>65</v>
      </c>
    </row>
    <row r="11" spans="1:117" s="3" customFormat="1" ht="101.5" x14ac:dyDescent="0.35">
      <c r="A11" s="300">
        <v>5</v>
      </c>
      <c r="B11" s="36" t="s">
        <v>886</v>
      </c>
      <c r="C11" s="36" t="s">
        <v>69</v>
      </c>
      <c r="D11" s="36" t="s">
        <v>64</v>
      </c>
      <c r="E11" s="208">
        <v>20</v>
      </c>
      <c r="F11" s="15">
        <v>771768</v>
      </c>
      <c r="G11" s="32">
        <f t="shared" ref="G11:G37" si="6">+(F11*5.1%)+F11</f>
        <v>811128.16799999995</v>
      </c>
      <c r="H11" s="24"/>
      <c r="I11" s="24"/>
      <c r="J11" s="19"/>
      <c r="K11" s="19"/>
      <c r="L11" s="24"/>
      <c r="M11" s="34"/>
      <c r="N11" s="24"/>
      <c r="O11" s="34"/>
      <c r="P11" s="24"/>
      <c r="Q11" s="24"/>
      <c r="R11" s="24"/>
      <c r="S11" s="24"/>
      <c r="T11" s="24"/>
      <c r="U11" s="24"/>
      <c r="V11" s="24"/>
      <c r="W11" s="24"/>
      <c r="X11" s="24"/>
      <c r="Y11" s="24"/>
      <c r="Z11" s="24"/>
      <c r="AA11" s="24"/>
      <c r="AB11" s="24">
        <v>982799</v>
      </c>
      <c r="AC11" s="24">
        <f t="shared" ref="AC11:AC42" si="7">+(AB11*5.1%)+AB11</f>
        <v>1032921.749</v>
      </c>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22"/>
      <c r="CO11" s="34"/>
      <c r="CP11" s="34"/>
      <c r="CQ11" s="34"/>
      <c r="CR11" s="34"/>
      <c r="CS11" s="34"/>
      <c r="CT11" s="34"/>
      <c r="CU11" s="34"/>
      <c r="CV11" s="34"/>
      <c r="CW11" s="34"/>
      <c r="CX11" s="34"/>
      <c r="CY11" s="34"/>
      <c r="CZ11" s="34"/>
      <c r="DA11" s="34"/>
      <c r="DB11" s="34"/>
      <c r="DC11" s="34"/>
      <c r="DD11" s="34"/>
      <c r="DE11" s="63">
        <f>MEDIAN(G11,AC11)</f>
        <v>922024.95849999995</v>
      </c>
      <c r="DF11" s="63">
        <f>AVERAGE(G11,AC11)</f>
        <v>922024.95849999995</v>
      </c>
      <c r="DG11" s="64">
        <f>STDEV(G11,AC11)</f>
        <v>156831.74514874726</v>
      </c>
      <c r="DH11" s="62">
        <f t="shared" si="5"/>
        <v>0.17009490220729992</v>
      </c>
      <c r="DI11" s="287">
        <f t="shared" si="3"/>
        <v>774810.92436974798</v>
      </c>
      <c r="DJ11" s="287">
        <f t="shared" si="4"/>
        <v>147214.0756302521</v>
      </c>
      <c r="DK11" s="285">
        <f t="shared" si="1"/>
        <v>922025</v>
      </c>
      <c r="DL11" s="286">
        <f t="shared" si="2"/>
        <v>18440500</v>
      </c>
      <c r="DM11" s="76" t="s">
        <v>66</v>
      </c>
    </row>
    <row r="12" spans="1:117" s="207" customFormat="1" ht="333.5" x14ac:dyDescent="0.35">
      <c r="A12" s="300">
        <v>6</v>
      </c>
      <c r="B12" s="125" t="s">
        <v>600</v>
      </c>
      <c r="C12" s="124" t="s">
        <v>601</v>
      </c>
      <c r="D12" s="36" t="s">
        <v>64</v>
      </c>
      <c r="E12" s="208">
        <v>10</v>
      </c>
      <c r="F12" s="15"/>
      <c r="G12" s="32"/>
      <c r="H12" s="24"/>
      <c r="I12" s="24"/>
      <c r="J12" s="19"/>
      <c r="K12" s="19"/>
      <c r="L12" s="24"/>
      <c r="M12" s="34"/>
      <c r="N12" s="24"/>
      <c r="O12" s="3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57"/>
      <c r="BQ12" s="57"/>
      <c r="BR12" s="24"/>
      <c r="BS12" s="24"/>
      <c r="BT12" s="24"/>
      <c r="BU12" s="24"/>
      <c r="BV12" s="24"/>
      <c r="BW12" s="24"/>
      <c r="BX12" s="24"/>
      <c r="BY12" s="24"/>
      <c r="BZ12" s="24"/>
      <c r="CA12" s="24"/>
      <c r="CB12" s="24"/>
      <c r="CC12" s="24"/>
      <c r="CD12" s="24"/>
      <c r="CE12" s="24"/>
      <c r="CF12" s="24"/>
      <c r="CG12" s="24"/>
      <c r="CH12" s="24"/>
      <c r="CI12" s="24"/>
      <c r="CJ12" s="24"/>
      <c r="CK12" s="24"/>
      <c r="CL12" s="24"/>
      <c r="CM12" s="24"/>
      <c r="CN12" s="222"/>
      <c r="CO12" s="34"/>
      <c r="CP12" s="34"/>
      <c r="CQ12" s="34"/>
      <c r="CR12" s="34"/>
      <c r="CS12" s="34"/>
      <c r="CT12" s="34"/>
      <c r="CU12" s="34"/>
      <c r="CV12" s="34"/>
      <c r="CW12" s="303">
        <v>7021000</v>
      </c>
      <c r="CX12" s="189">
        <v>8014650</v>
      </c>
      <c r="CY12" s="189">
        <v>4879000</v>
      </c>
      <c r="CZ12" s="189">
        <v>7973000</v>
      </c>
      <c r="DA12" s="189">
        <v>7259000</v>
      </c>
      <c r="DB12" s="189"/>
      <c r="DC12" s="189"/>
      <c r="DD12" s="189"/>
      <c r="DE12" s="63">
        <f>MEDIAN(CW12,CX12,CY12,CZ12,DA12)</f>
        <v>7259000</v>
      </c>
      <c r="DF12" s="63">
        <f>AVERAGE(CW12,CX12,CY12,CZ12,DA12)</f>
        <v>7029330</v>
      </c>
      <c r="DG12" s="64">
        <f>STDEV(CW12,CX12,CY12,CZ12,DA12)</f>
        <v>1278485.9578814309</v>
      </c>
      <c r="DH12" s="65">
        <f t="shared" si="5"/>
        <v>0.18187877904173383</v>
      </c>
      <c r="DI12" s="287">
        <f t="shared" si="3"/>
        <v>6100000</v>
      </c>
      <c r="DJ12" s="287">
        <f t="shared" si="4"/>
        <v>1159000</v>
      </c>
      <c r="DK12" s="285">
        <f t="shared" si="1"/>
        <v>7259000</v>
      </c>
      <c r="DL12" s="286">
        <f t="shared" si="2"/>
        <v>72590000</v>
      </c>
      <c r="DM12" s="76" t="s">
        <v>66</v>
      </c>
    </row>
    <row r="13" spans="1:117" s="3" customFormat="1" ht="188.5" x14ac:dyDescent="0.35">
      <c r="A13" s="300">
        <v>7</v>
      </c>
      <c r="B13" s="36" t="s">
        <v>70</v>
      </c>
      <c r="C13" s="36" t="s">
        <v>71</v>
      </c>
      <c r="D13" s="36" t="s">
        <v>64</v>
      </c>
      <c r="E13" s="117">
        <v>10</v>
      </c>
      <c r="F13" s="15"/>
      <c r="G13" s="32"/>
      <c r="H13" s="24"/>
      <c r="I13" s="24"/>
      <c r="J13" s="19"/>
      <c r="K13" s="19"/>
      <c r="L13" s="24"/>
      <c r="M13" s="34"/>
      <c r="N13" s="24"/>
      <c r="O13" s="34"/>
      <c r="P13" s="24"/>
      <c r="Q13" s="24"/>
      <c r="R13" s="24"/>
      <c r="S13" s="24"/>
      <c r="T13" s="24"/>
      <c r="U13" s="24"/>
      <c r="V13" s="24"/>
      <c r="W13" s="24"/>
      <c r="X13" s="24"/>
      <c r="Y13" s="24"/>
      <c r="Z13" s="24">
        <v>499900</v>
      </c>
      <c r="AA13" s="24">
        <f>+(Z13*5.1%)+Z13</f>
        <v>525394.9</v>
      </c>
      <c r="AB13" s="24"/>
      <c r="AC13" s="23"/>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34"/>
      <c r="BO13" s="34"/>
      <c r="BP13" s="34">
        <v>736452</v>
      </c>
      <c r="BQ13" s="34">
        <f>+(BP13*5.1%)+BP13</f>
        <v>774011.05200000003</v>
      </c>
      <c r="BR13" s="34"/>
      <c r="BS13" s="24"/>
      <c r="BT13" s="24"/>
      <c r="BU13" s="24"/>
      <c r="BV13" s="24"/>
      <c r="BW13" s="24"/>
      <c r="BX13" s="24"/>
      <c r="BY13" s="24"/>
      <c r="BZ13" s="24"/>
      <c r="CA13" s="24"/>
      <c r="CB13" s="24"/>
      <c r="CC13" s="24"/>
      <c r="CD13" s="24"/>
      <c r="CE13" s="24"/>
      <c r="CF13" s="24"/>
      <c r="CG13" s="24"/>
      <c r="CH13" s="24"/>
      <c r="CI13" s="24"/>
      <c r="CJ13" s="24"/>
      <c r="CK13" s="24"/>
      <c r="CL13" s="24"/>
      <c r="CM13" s="24"/>
      <c r="CN13" s="222"/>
      <c r="CO13" s="34"/>
      <c r="CP13" s="34"/>
      <c r="CQ13" s="34"/>
      <c r="CR13" s="34"/>
      <c r="CS13" s="34"/>
      <c r="CT13" s="34"/>
      <c r="CU13" s="34"/>
      <c r="CV13" s="34"/>
      <c r="CW13" s="34"/>
      <c r="CX13" s="34"/>
      <c r="CY13" s="34"/>
      <c r="CZ13" s="34"/>
      <c r="DA13" s="34"/>
      <c r="DB13" s="34"/>
      <c r="DC13" s="34"/>
      <c r="DD13" s="34"/>
      <c r="DE13" s="63">
        <f>MEDIAN(AA13,BQ13)</f>
        <v>649702.97600000002</v>
      </c>
      <c r="DF13" s="63">
        <f>AVERAGE(AA13,BQ13)</f>
        <v>649702.97600000002</v>
      </c>
      <c r="DG13" s="64">
        <f>STDEV(AA13,BQ13)</f>
        <v>175798.16699170545</v>
      </c>
      <c r="DH13" s="65">
        <f t="shared" ref="DH13:DH43" si="8">DG13/DF13</f>
        <v>0.27058236376572398</v>
      </c>
      <c r="DI13" s="287">
        <f t="shared" si="3"/>
        <v>545968.90756302525</v>
      </c>
      <c r="DJ13" s="287">
        <f t="shared" si="4"/>
        <v>103734.0924369748</v>
      </c>
      <c r="DK13" s="285">
        <f t="shared" si="1"/>
        <v>649703</v>
      </c>
      <c r="DL13" s="286">
        <f t="shared" si="2"/>
        <v>6497030</v>
      </c>
      <c r="DM13" s="76" t="s">
        <v>66</v>
      </c>
    </row>
    <row r="14" spans="1:117" s="3" customFormat="1" ht="130.5" x14ac:dyDescent="0.35">
      <c r="A14" s="300">
        <v>8</v>
      </c>
      <c r="B14" s="36" t="s">
        <v>878</v>
      </c>
      <c r="C14" s="51" t="s">
        <v>72</v>
      </c>
      <c r="D14" s="36" t="s">
        <v>64</v>
      </c>
      <c r="E14" s="208">
        <v>10</v>
      </c>
      <c r="F14" s="15"/>
      <c r="G14" s="32"/>
      <c r="H14" s="24"/>
      <c r="I14" s="24"/>
      <c r="J14" s="19"/>
      <c r="K14" s="19"/>
      <c r="L14" s="24"/>
      <c r="M14" s="34"/>
      <c r="N14" s="24"/>
      <c r="O14" s="34"/>
      <c r="P14" s="24"/>
      <c r="Q14" s="24"/>
      <c r="R14" s="24"/>
      <c r="S14" s="24"/>
      <c r="T14" s="24"/>
      <c r="U14" s="24"/>
      <c r="V14" s="24"/>
      <c r="W14" s="24"/>
      <c r="X14" s="24"/>
      <c r="Y14" s="24"/>
      <c r="Z14" s="24">
        <v>1799900</v>
      </c>
      <c r="AA14" s="24">
        <f>+(Z14*5.1%)+Z14</f>
        <v>1891694.9</v>
      </c>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v>1422000</v>
      </c>
      <c r="BO14" s="24">
        <f>+(BN14*5.1%)+BN14</f>
        <v>1494522</v>
      </c>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22"/>
      <c r="CO14" s="34"/>
      <c r="CP14" s="34"/>
      <c r="CQ14" s="34"/>
      <c r="CR14" s="34"/>
      <c r="CS14" s="34"/>
      <c r="CT14" s="34"/>
      <c r="CU14" s="34"/>
      <c r="CV14" s="34"/>
      <c r="CW14" s="34"/>
      <c r="CX14" s="34"/>
      <c r="CY14" s="34"/>
      <c r="CZ14" s="34"/>
      <c r="DA14" s="34"/>
      <c r="DB14" s="34"/>
      <c r="DC14" s="34"/>
      <c r="DD14" s="34"/>
      <c r="DE14" s="63">
        <f>MEDIAN(AA14,BO14)</f>
        <v>1693108.45</v>
      </c>
      <c r="DF14" s="63">
        <f>AVERAGE(AA14,BO14)</f>
        <v>1693108.45</v>
      </c>
      <c r="DG14" s="64">
        <f>STDEV(AA14,BO14)</f>
        <v>280843.65089352668</v>
      </c>
      <c r="DH14" s="65">
        <f t="shared" si="8"/>
        <v>0.16587457873329181</v>
      </c>
      <c r="DI14" s="287">
        <f t="shared" si="3"/>
        <v>1422780.6722689075</v>
      </c>
      <c r="DJ14" s="287">
        <f t="shared" si="4"/>
        <v>270328.32773109246</v>
      </c>
      <c r="DK14" s="285">
        <f t="shared" si="1"/>
        <v>1693109</v>
      </c>
      <c r="DL14" s="286">
        <f t="shared" si="2"/>
        <v>16931090</v>
      </c>
      <c r="DM14" s="76" t="s">
        <v>66</v>
      </c>
    </row>
    <row r="15" spans="1:117" s="3" customFormat="1" ht="29" x14ac:dyDescent="0.35">
      <c r="A15" s="300">
        <v>9</v>
      </c>
      <c r="B15" s="36" t="s">
        <v>73</v>
      </c>
      <c r="C15" s="36" t="s">
        <v>74</v>
      </c>
      <c r="D15" s="36" t="s">
        <v>64</v>
      </c>
      <c r="E15" s="117">
        <v>6</v>
      </c>
      <c r="F15" s="15"/>
      <c r="G15" s="32"/>
      <c r="H15" s="24"/>
      <c r="I15" s="24"/>
      <c r="J15" s="19"/>
      <c r="K15" s="19"/>
      <c r="L15" s="24"/>
      <c r="M15" s="34"/>
      <c r="N15" s="24">
        <v>799900</v>
      </c>
      <c r="O15" s="34">
        <f t="shared" ref="O15:O39" si="9">+(N15*5.1%)+N15</f>
        <v>840694.9</v>
      </c>
      <c r="P15" s="24"/>
      <c r="Q15" s="24"/>
      <c r="R15" s="24"/>
      <c r="S15" s="24"/>
      <c r="T15" s="24"/>
      <c r="U15" s="24"/>
      <c r="V15" s="24"/>
      <c r="W15" s="24"/>
      <c r="X15" s="24"/>
      <c r="Y15" s="24"/>
      <c r="Z15" s="24"/>
      <c r="AA15" s="24"/>
      <c r="AB15" s="24"/>
      <c r="AC15" s="23"/>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v>593810</v>
      </c>
      <c r="BI15" s="24">
        <f>+(BH15*5.1%)+BH15</f>
        <v>624094.31000000006</v>
      </c>
      <c r="BJ15" s="24">
        <v>654500</v>
      </c>
      <c r="BK15" s="24">
        <f>+(BJ15*5.1%)+BJ15</f>
        <v>687879.5</v>
      </c>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22">
        <v>1200000</v>
      </c>
      <c r="CO15" s="34"/>
      <c r="CP15" s="34"/>
      <c r="CQ15" s="34"/>
      <c r="CR15" s="34"/>
      <c r="CS15" s="34"/>
      <c r="CT15" s="34"/>
      <c r="CU15" s="34"/>
      <c r="CV15" s="34"/>
      <c r="CW15" s="34"/>
      <c r="CX15" s="34"/>
      <c r="CY15" s="34"/>
      <c r="CZ15" s="34"/>
      <c r="DA15" s="34"/>
      <c r="DB15" s="34"/>
      <c r="DC15" s="34"/>
      <c r="DD15" s="34"/>
      <c r="DE15" s="63">
        <f>MEDIAN(O15,BI15,BK15)</f>
        <v>687879.5</v>
      </c>
      <c r="DF15" s="63">
        <f>AVERAGE(O15,BI15,BK15)</f>
        <v>717556.23666666669</v>
      </c>
      <c r="DG15" s="64">
        <f>STDEV(O15,BI15,BK15)</f>
        <v>111308.06539273892</v>
      </c>
      <c r="DH15" s="65">
        <f t="shared" si="8"/>
        <v>0.15512103401094948</v>
      </c>
      <c r="DI15" s="287">
        <f t="shared" si="3"/>
        <v>578050.42016806721</v>
      </c>
      <c r="DJ15" s="287">
        <f t="shared" si="4"/>
        <v>109829.57983193277</v>
      </c>
      <c r="DK15" s="285">
        <f t="shared" si="1"/>
        <v>687880</v>
      </c>
      <c r="DL15" s="286">
        <f t="shared" si="2"/>
        <v>4127280</v>
      </c>
      <c r="DM15" s="76" t="s">
        <v>66</v>
      </c>
    </row>
    <row r="16" spans="1:117" s="29" customFormat="1" ht="61.5" customHeight="1" x14ac:dyDescent="0.35">
      <c r="A16" s="300">
        <v>10</v>
      </c>
      <c r="B16" s="210" t="s">
        <v>75</v>
      </c>
      <c r="C16" s="210" t="s">
        <v>879</v>
      </c>
      <c r="D16" s="210" t="s">
        <v>64</v>
      </c>
      <c r="E16" s="211">
        <v>2</v>
      </c>
      <c r="F16" s="44"/>
      <c r="G16" s="212"/>
      <c r="H16" s="213"/>
      <c r="I16" s="213"/>
      <c r="J16" s="214"/>
      <c r="K16" s="214"/>
      <c r="L16" s="213"/>
      <c r="M16" s="215"/>
      <c r="N16" s="213">
        <v>249900</v>
      </c>
      <c r="O16" s="215">
        <f t="shared" si="9"/>
        <v>262644.90000000002</v>
      </c>
      <c r="P16" s="213"/>
      <c r="Q16" s="213"/>
      <c r="R16" s="213"/>
      <c r="S16" s="213"/>
      <c r="T16" s="213"/>
      <c r="U16" s="213"/>
      <c r="V16" s="213"/>
      <c r="W16" s="213"/>
      <c r="X16" s="213"/>
      <c r="Y16" s="213"/>
      <c r="Z16" s="213"/>
      <c r="AA16" s="213"/>
      <c r="AB16" s="213"/>
      <c r="AC16" s="213"/>
      <c r="AD16" s="213"/>
      <c r="AE16" s="213"/>
      <c r="AF16" s="213"/>
      <c r="AG16" s="213"/>
      <c r="AH16" s="213"/>
      <c r="AI16" s="213"/>
      <c r="AJ16" s="213"/>
      <c r="AK16" s="213"/>
      <c r="AL16" s="213"/>
      <c r="AM16" s="213"/>
      <c r="AN16" s="213"/>
      <c r="AO16" s="213"/>
      <c r="AP16" s="213"/>
      <c r="AQ16" s="213"/>
      <c r="AR16" s="213"/>
      <c r="AS16" s="213"/>
      <c r="AT16" s="213"/>
      <c r="AU16" s="213"/>
      <c r="AV16" s="213"/>
      <c r="AW16" s="213"/>
      <c r="AX16" s="213"/>
      <c r="AY16" s="213"/>
      <c r="AZ16" s="213"/>
      <c r="BA16" s="213"/>
      <c r="BB16" s="213"/>
      <c r="BC16" s="213"/>
      <c r="BD16" s="213"/>
      <c r="BE16" s="213"/>
      <c r="BF16" s="213"/>
      <c r="BG16" s="213"/>
      <c r="BH16" s="213"/>
      <c r="BI16" s="213"/>
      <c r="BJ16" s="213"/>
      <c r="BK16" s="213"/>
      <c r="BL16" s="213"/>
      <c r="BM16" s="213"/>
      <c r="BN16" s="213"/>
      <c r="BO16" s="213"/>
      <c r="BP16" s="213"/>
      <c r="BQ16" s="213"/>
      <c r="BR16" s="213"/>
      <c r="BS16" s="213"/>
      <c r="BT16" s="213"/>
      <c r="BU16" s="213"/>
      <c r="BV16" s="213"/>
      <c r="BW16" s="213"/>
      <c r="BX16" s="213"/>
      <c r="BY16" s="213"/>
      <c r="BZ16" s="213"/>
      <c r="CA16" s="213"/>
      <c r="CB16" s="213"/>
      <c r="CC16" s="213"/>
      <c r="CD16" s="213"/>
      <c r="CE16" s="213"/>
      <c r="CF16" s="213"/>
      <c r="CG16" s="213"/>
      <c r="CH16" s="213"/>
      <c r="CI16" s="213"/>
      <c r="CJ16" s="213"/>
      <c r="CK16" s="213"/>
      <c r="CL16" s="213"/>
      <c r="CM16" s="213"/>
      <c r="CN16" s="275">
        <v>250000</v>
      </c>
      <c r="CO16" s="215"/>
      <c r="CP16" s="215"/>
      <c r="CQ16" s="215"/>
      <c r="CR16" s="215"/>
      <c r="CS16" s="215"/>
      <c r="CT16" s="215"/>
      <c r="CU16" s="215"/>
      <c r="CV16" s="215"/>
      <c r="CW16" s="215"/>
      <c r="CX16" s="215"/>
      <c r="CY16" s="215"/>
      <c r="CZ16" s="215"/>
      <c r="DA16" s="215"/>
      <c r="DB16" s="215"/>
      <c r="DC16" s="215"/>
      <c r="DD16" s="215"/>
      <c r="DE16" s="279">
        <f>MEDIAN(O16,CN16)</f>
        <v>256322.45</v>
      </c>
      <c r="DF16" s="279">
        <f>AVERAGE(O16,CN16)</f>
        <v>256322.45</v>
      </c>
      <c r="DG16" s="275">
        <f>STDEV(O16,CN16)</f>
        <v>8941.2945374257906</v>
      </c>
      <c r="DH16" s="280">
        <f t="shared" si="8"/>
        <v>3.4882994202910397E-2</v>
      </c>
      <c r="DI16" s="287">
        <f t="shared" si="3"/>
        <v>215397.47899159664</v>
      </c>
      <c r="DJ16" s="287">
        <f t="shared" si="4"/>
        <v>40925.521008403361</v>
      </c>
      <c r="DK16" s="285">
        <f t="shared" si="1"/>
        <v>256323</v>
      </c>
      <c r="DL16" s="286">
        <f t="shared" si="2"/>
        <v>512646</v>
      </c>
      <c r="DM16" s="281" t="s">
        <v>65</v>
      </c>
    </row>
    <row r="17" spans="1:117" s="3" customFormat="1" ht="58" x14ac:dyDescent="0.35">
      <c r="A17" s="300">
        <v>11</v>
      </c>
      <c r="B17" s="36" t="s">
        <v>76</v>
      </c>
      <c r="C17" s="36" t="s">
        <v>77</v>
      </c>
      <c r="D17" s="36" t="s">
        <v>64</v>
      </c>
      <c r="E17" s="117">
        <v>15</v>
      </c>
      <c r="F17" s="15"/>
      <c r="G17" s="32"/>
      <c r="H17" s="24"/>
      <c r="I17" s="24"/>
      <c r="J17" s="19"/>
      <c r="K17" s="19"/>
      <c r="L17" s="24"/>
      <c r="M17" s="34"/>
      <c r="N17" s="24"/>
      <c r="O17" s="34"/>
      <c r="P17" s="24"/>
      <c r="Q17" s="24"/>
      <c r="R17" s="24"/>
      <c r="S17" s="24"/>
      <c r="T17" s="24"/>
      <c r="U17" s="24"/>
      <c r="V17" s="24"/>
      <c r="W17" s="24"/>
      <c r="X17" s="24"/>
      <c r="Y17" s="24"/>
      <c r="Z17" s="24"/>
      <c r="AA17" s="24"/>
      <c r="AB17" s="24">
        <v>1965458</v>
      </c>
      <c r="AC17" s="23">
        <f t="shared" si="7"/>
        <v>2065696.358</v>
      </c>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v>2268000</v>
      </c>
      <c r="CK17" s="24">
        <f>+(CJ17*5.1%)+CJ17</f>
        <v>2383668</v>
      </c>
      <c r="CL17" s="24"/>
      <c r="CM17" s="24"/>
      <c r="CN17" s="222"/>
      <c r="CO17" s="34"/>
      <c r="CP17" s="34"/>
      <c r="CQ17" s="34"/>
      <c r="CR17" s="34"/>
      <c r="CS17" s="34"/>
      <c r="CT17" s="34"/>
      <c r="CU17" s="34"/>
      <c r="CV17" s="34"/>
      <c r="CW17" s="34"/>
      <c r="CX17" s="34"/>
      <c r="CY17" s="34"/>
      <c r="CZ17" s="34"/>
      <c r="DA17" s="34"/>
      <c r="DB17" s="34"/>
      <c r="DC17" s="34"/>
      <c r="DD17" s="34"/>
      <c r="DE17" s="63">
        <f>MEDIAN(AC17,CK17)</f>
        <v>2224682.179</v>
      </c>
      <c r="DF17" s="63">
        <f>AVERAGE(AC17,CK17)</f>
        <v>2224682.179</v>
      </c>
      <c r="DG17" s="64">
        <f>STDEV(AC17,CK17)</f>
        <v>224839.90428322123</v>
      </c>
      <c r="DH17" s="65">
        <f t="shared" si="8"/>
        <v>0.10106607874401516</v>
      </c>
      <c r="DI17" s="287">
        <f t="shared" si="3"/>
        <v>1869481.5126050422</v>
      </c>
      <c r="DJ17" s="287">
        <f t="shared" si="4"/>
        <v>355201.48739495804</v>
      </c>
      <c r="DK17" s="285">
        <f t="shared" si="1"/>
        <v>2224683</v>
      </c>
      <c r="DL17" s="286">
        <f t="shared" si="2"/>
        <v>33370245</v>
      </c>
      <c r="DM17" s="76" t="s">
        <v>65</v>
      </c>
    </row>
    <row r="18" spans="1:117" s="3" customFormat="1" ht="58" x14ac:dyDescent="0.35">
      <c r="A18" s="300">
        <v>12</v>
      </c>
      <c r="B18" s="36" t="s">
        <v>78</v>
      </c>
      <c r="C18" s="36" t="s">
        <v>79</v>
      </c>
      <c r="D18" s="36" t="s">
        <v>64</v>
      </c>
      <c r="E18" s="117">
        <v>10</v>
      </c>
      <c r="F18" s="15">
        <v>512892</v>
      </c>
      <c r="G18" s="32">
        <f t="shared" si="6"/>
        <v>539049.49199999997</v>
      </c>
      <c r="H18" s="24"/>
      <c r="I18" s="24"/>
      <c r="J18" s="19"/>
      <c r="K18" s="19"/>
      <c r="L18" s="24"/>
      <c r="M18" s="34"/>
      <c r="N18" s="24"/>
      <c r="O18" s="34"/>
      <c r="P18" s="24"/>
      <c r="Q18" s="24"/>
      <c r="R18" s="24"/>
      <c r="S18" s="24"/>
      <c r="T18" s="24"/>
      <c r="U18" s="24"/>
      <c r="V18" s="24"/>
      <c r="W18" s="24"/>
      <c r="X18" s="24"/>
      <c r="Y18" s="24"/>
      <c r="Z18" s="24"/>
      <c r="AA18" s="24"/>
      <c r="AB18" s="24"/>
      <c r="AC18" s="23"/>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v>674892</v>
      </c>
      <c r="BQ18" s="34">
        <f>+(BP18*5.1%)+BP18</f>
        <v>709311.49199999997</v>
      </c>
      <c r="BR18" s="24"/>
      <c r="BS18" s="24"/>
      <c r="BT18" s="24"/>
      <c r="BU18" s="24"/>
      <c r="BV18" s="24"/>
      <c r="BW18" s="24"/>
      <c r="BX18" s="24"/>
      <c r="BY18" s="24"/>
      <c r="BZ18" s="24"/>
      <c r="CA18" s="24"/>
      <c r="CB18" s="24"/>
      <c r="CC18" s="24"/>
      <c r="CD18" s="24"/>
      <c r="CE18" s="24"/>
      <c r="CF18" s="24"/>
      <c r="CG18" s="24"/>
      <c r="CH18" s="24"/>
      <c r="CI18" s="24"/>
      <c r="CJ18" s="24"/>
      <c r="CK18" s="24"/>
      <c r="CL18" s="24"/>
      <c r="CM18" s="24"/>
      <c r="CN18" s="222">
        <v>600000</v>
      </c>
      <c r="CO18" s="34"/>
      <c r="CP18" s="34"/>
      <c r="CQ18" s="34"/>
      <c r="CR18" s="34"/>
      <c r="CS18" s="34"/>
      <c r="CT18" s="34"/>
      <c r="CU18" s="34"/>
      <c r="CV18" s="34"/>
      <c r="CW18" s="34"/>
      <c r="CX18" s="34"/>
      <c r="CY18" s="34"/>
      <c r="CZ18" s="34"/>
      <c r="DA18" s="34"/>
      <c r="DB18" s="34"/>
      <c r="DC18" s="34"/>
      <c r="DD18" s="34"/>
      <c r="DE18" s="63">
        <f>MEDIAN(G18,BQ18,CN18)</f>
        <v>600000</v>
      </c>
      <c r="DF18" s="63">
        <f>AVERAGE(G18,BQ18,CN18)</f>
        <v>616120.32799999998</v>
      </c>
      <c r="DG18" s="64">
        <f>STDEV(G18,BQ18,CN18)</f>
        <v>86268.104720810501</v>
      </c>
      <c r="DH18" s="65">
        <f t="shared" si="8"/>
        <v>0.14001827370450032</v>
      </c>
      <c r="DI18" s="287">
        <f t="shared" si="3"/>
        <v>517748.73949579836</v>
      </c>
      <c r="DJ18" s="287">
        <f t="shared" si="4"/>
        <v>98372.260504201695</v>
      </c>
      <c r="DK18" s="285">
        <f t="shared" si="1"/>
        <v>616121</v>
      </c>
      <c r="DL18" s="286">
        <f t="shared" si="2"/>
        <v>6161210</v>
      </c>
      <c r="DM18" s="76" t="s">
        <v>66</v>
      </c>
    </row>
    <row r="19" spans="1:117" s="3" customFormat="1" ht="87" x14ac:dyDescent="0.35">
      <c r="A19" s="300">
        <v>13</v>
      </c>
      <c r="B19" s="36" t="s">
        <v>80</v>
      </c>
      <c r="C19" s="36" t="s">
        <v>81</v>
      </c>
      <c r="D19" s="36" t="s">
        <v>64</v>
      </c>
      <c r="E19" s="208">
        <v>10</v>
      </c>
      <c r="F19" s="15"/>
      <c r="G19" s="32"/>
      <c r="H19" s="24">
        <v>380000</v>
      </c>
      <c r="I19" s="24">
        <f>+(H19*5.1%)+H19</f>
        <v>399380</v>
      </c>
      <c r="J19" s="19"/>
      <c r="K19" s="19"/>
      <c r="L19" s="24"/>
      <c r="M19" s="34"/>
      <c r="N19" s="24"/>
      <c r="O19" s="3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f>+(399900*26%)+399900</f>
        <v>503874</v>
      </c>
      <c r="BQ19" s="34">
        <f>+(BP19*5.1%)+BP19</f>
        <v>529571.57400000002</v>
      </c>
      <c r="BR19" s="24"/>
      <c r="BS19" s="24"/>
      <c r="BT19" s="24"/>
      <c r="BU19" s="24"/>
      <c r="BV19" s="24"/>
      <c r="BW19" s="24"/>
      <c r="BX19" s="24"/>
      <c r="BY19" s="24"/>
      <c r="BZ19" s="24"/>
      <c r="CA19" s="24"/>
      <c r="CB19" s="24"/>
      <c r="CC19" s="24"/>
      <c r="CD19" s="24"/>
      <c r="CE19" s="24"/>
      <c r="CF19" s="24"/>
      <c r="CG19" s="24"/>
      <c r="CH19" s="24"/>
      <c r="CI19" s="24"/>
      <c r="CJ19" s="24"/>
      <c r="CK19" s="24"/>
      <c r="CL19" s="24"/>
      <c r="CM19" s="24"/>
      <c r="CN19" s="222">
        <v>370000</v>
      </c>
      <c r="CO19" s="34"/>
      <c r="CP19" s="34"/>
      <c r="CQ19" s="34"/>
      <c r="CR19" s="34"/>
      <c r="CS19" s="34"/>
      <c r="CT19" s="34"/>
      <c r="CU19" s="34"/>
      <c r="CV19" s="34"/>
      <c r="CW19" s="34"/>
      <c r="CX19" s="34"/>
      <c r="CY19" s="34"/>
      <c r="CZ19" s="34"/>
      <c r="DA19" s="34"/>
      <c r="DB19" s="34"/>
      <c r="DC19" s="34"/>
      <c r="DD19" s="34"/>
      <c r="DE19" s="63">
        <f>MEDIAN(I19,BQ19,CN19)</f>
        <v>399380</v>
      </c>
      <c r="DF19" s="63">
        <f>AVERAGE(I19,BQ19,CN19)</f>
        <v>432983.85800000001</v>
      </c>
      <c r="DG19" s="64">
        <f>STDEV(I19,BQ19,CN19)</f>
        <v>84927.535355575397</v>
      </c>
      <c r="DH19" s="65">
        <f t="shared" si="8"/>
        <v>0.19614480721721361</v>
      </c>
      <c r="DI19" s="287">
        <f t="shared" si="3"/>
        <v>335613.44537815126</v>
      </c>
      <c r="DJ19" s="287">
        <f t="shared" si="4"/>
        <v>63766.554621848736</v>
      </c>
      <c r="DK19" s="285">
        <f t="shared" si="1"/>
        <v>399380</v>
      </c>
      <c r="DL19" s="286">
        <f t="shared" si="2"/>
        <v>3993800</v>
      </c>
      <c r="DM19" s="76" t="s">
        <v>66</v>
      </c>
    </row>
    <row r="20" spans="1:117" s="3" customFormat="1" ht="43.5" x14ac:dyDescent="0.35">
      <c r="A20" s="300">
        <v>14</v>
      </c>
      <c r="B20" s="36" t="s">
        <v>82</v>
      </c>
      <c r="C20" s="36" t="s">
        <v>887</v>
      </c>
      <c r="D20" s="36" t="s">
        <v>64</v>
      </c>
      <c r="E20" s="117">
        <v>15</v>
      </c>
      <c r="F20" s="15">
        <v>629874</v>
      </c>
      <c r="G20" s="32">
        <f t="shared" si="6"/>
        <v>661997.57400000002</v>
      </c>
      <c r="H20" s="24"/>
      <c r="I20" s="24"/>
      <c r="J20" s="19"/>
      <c r="K20" s="19"/>
      <c r="L20" s="24"/>
      <c r="M20" s="34"/>
      <c r="N20" s="24"/>
      <c r="O20" s="34"/>
      <c r="P20" s="24"/>
      <c r="Q20" s="24"/>
      <c r="R20" s="24"/>
      <c r="S20" s="24"/>
      <c r="T20" s="24"/>
      <c r="U20" s="24"/>
      <c r="V20" s="24"/>
      <c r="W20" s="24"/>
      <c r="X20" s="24"/>
      <c r="Y20" s="24"/>
      <c r="Z20" s="24"/>
      <c r="AA20" s="24"/>
      <c r="AB20" s="24"/>
      <c r="AC20" s="23"/>
      <c r="AD20" s="24"/>
      <c r="AE20" s="24"/>
      <c r="AF20" s="24"/>
      <c r="AG20" s="24"/>
      <c r="AH20" s="24"/>
      <c r="AI20" s="24"/>
      <c r="AJ20" s="24"/>
      <c r="AK20" s="24"/>
      <c r="AL20" s="24"/>
      <c r="AM20" s="24"/>
      <c r="AN20" s="24"/>
      <c r="AO20" s="24"/>
      <c r="AP20" s="24"/>
      <c r="AQ20" s="24"/>
      <c r="AR20" s="24"/>
      <c r="AS20" s="24"/>
      <c r="AT20" s="24">
        <v>455395</v>
      </c>
      <c r="AU20" s="24">
        <f>+(AT20*5.1%)+AT20</f>
        <v>478620.14500000002</v>
      </c>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22">
        <v>530000</v>
      </c>
      <c r="CO20" s="34"/>
      <c r="CP20" s="34"/>
      <c r="CQ20" s="34"/>
      <c r="CR20" s="34"/>
      <c r="CS20" s="34"/>
      <c r="CT20" s="34"/>
      <c r="CU20" s="34"/>
      <c r="CV20" s="34"/>
      <c r="CW20" s="34"/>
      <c r="CX20" s="34"/>
      <c r="CY20" s="34"/>
      <c r="CZ20" s="34"/>
      <c r="DA20" s="34"/>
      <c r="DB20" s="34"/>
      <c r="DC20" s="34"/>
      <c r="DD20" s="34"/>
      <c r="DE20" s="63">
        <f>MEDIAN(G20,AU20,CN20)</f>
        <v>530000</v>
      </c>
      <c r="DF20" s="63">
        <f>AVERAGE(G20,AU20,CN20)</f>
        <v>556872.57299999997</v>
      </c>
      <c r="DG20" s="64">
        <f>STDEV(G20,AU20,CN20)</f>
        <v>94596.097971284005</v>
      </c>
      <c r="DH20" s="65">
        <f t="shared" si="8"/>
        <v>0.16987027653682632</v>
      </c>
      <c r="DI20" s="287">
        <f t="shared" si="3"/>
        <v>445378.15126050421</v>
      </c>
      <c r="DJ20" s="287">
        <f t="shared" si="4"/>
        <v>84621.848739495807</v>
      </c>
      <c r="DK20" s="285">
        <f t="shared" si="1"/>
        <v>530000</v>
      </c>
      <c r="DL20" s="286">
        <f t="shared" si="2"/>
        <v>7950000</v>
      </c>
      <c r="DM20" s="76" t="s">
        <v>66</v>
      </c>
    </row>
    <row r="21" spans="1:117" s="3" customFormat="1" ht="43.5" x14ac:dyDescent="0.35">
      <c r="A21" s="300">
        <v>15</v>
      </c>
      <c r="B21" s="36" t="s">
        <v>83</v>
      </c>
      <c r="C21" s="50" t="s">
        <v>888</v>
      </c>
      <c r="D21" s="36" t="s">
        <v>64</v>
      </c>
      <c r="E21" s="208">
        <v>5</v>
      </c>
      <c r="F21" s="15"/>
      <c r="G21" s="32"/>
      <c r="H21" s="24"/>
      <c r="I21" s="24"/>
      <c r="J21" s="19"/>
      <c r="K21" s="19"/>
      <c r="L21" s="24"/>
      <c r="M21" s="34"/>
      <c r="N21" s="24"/>
      <c r="O21" s="34"/>
      <c r="P21" s="24"/>
      <c r="Q21" s="24"/>
      <c r="R21" s="24"/>
      <c r="S21" s="24"/>
      <c r="T21" s="24"/>
      <c r="U21" s="24"/>
      <c r="V21" s="24"/>
      <c r="W21" s="24"/>
      <c r="X21" s="24"/>
      <c r="Y21" s="24"/>
      <c r="Z21" s="24"/>
      <c r="AA21" s="24"/>
      <c r="AB21" s="24">
        <v>386295</v>
      </c>
      <c r="AC21" s="24">
        <f t="shared" si="7"/>
        <v>405996.04499999998</v>
      </c>
      <c r="AD21" s="24"/>
      <c r="AE21" s="24"/>
      <c r="AF21" s="24"/>
      <c r="AG21" s="24"/>
      <c r="AH21" s="24"/>
      <c r="AI21" s="24"/>
      <c r="AJ21" s="24"/>
      <c r="AK21" s="24"/>
      <c r="AL21" s="24"/>
      <c r="AM21" s="24"/>
      <c r="AN21" s="24"/>
      <c r="AO21" s="24"/>
      <c r="AP21" s="24"/>
      <c r="AQ21" s="24"/>
      <c r="AR21" s="24"/>
      <c r="AS21" s="24"/>
      <c r="AT21" s="24">
        <v>235294</v>
      </c>
      <c r="AU21" s="24">
        <f>+(AT21*5.1%)+AT21</f>
        <v>247293.99400000001</v>
      </c>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22">
        <v>350000</v>
      </c>
      <c r="CO21" s="34"/>
      <c r="CP21" s="34"/>
      <c r="CQ21" s="34"/>
      <c r="CR21" s="34"/>
      <c r="CS21" s="34"/>
      <c r="CT21" s="34"/>
      <c r="CU21" s="34"/>
      <c r="CV21" s="34"/>
      <c r="CW21" s="34"/>
      <c r="CX21" s="34"/>
      <c r="CY21" s="34"/>
      <c r="CZ21" s="34"/>
      <c r="DA21" s="34"/>
      <c r="DB21" s="34"/>
      <c r="DC21" s="34"/>
      <c r="DD21" s="34"/>
      <c r="DE21" s="63">
        <f>MEDIAN(AC21,AU21,CN21)</f>
        <v>350000</v>
      </c>
      <c r="DF21" s="63">
        <f>AVERAGE(AC21,AU21,CN21)</f>
        <v>334430.01299999998</v>
      </c>
      <c r="DG21" s="64">
        <f>STDEV(AC21,AU21,CN21)</f>
        <v>80488.530979803414</v>
      </c>
      <c r="DH21" s="65">
        <f t="shared" si="8"/>
        <v>0.24067376686016342</v>
      </c>
      <c r="DI21" s="287">
        <f t="shared" si="3"/>
        <v>294117.64705882355</v>
      </c>
      <c r="DJ21" s="287">
        <f t="shared" si="4"/>
        <v>55882.352941176476</v>
      </c>
      <c r="DK21" s="285">
        <f t="shared" si="1"/>
        <v>350000</v>
      </c>
      <c r="DL21" s="286">
        <f t="shared" si="2"/>
        <v>1750000</v>
      </c>
      <c r="DM21" s="76" t="s">
        <v>84</v>
      </c>
    </row>
    <row r="22" spans="1:117" s="3" customFormat="1" ht="87" x14ac:dyDescent="0.35">
      <c r="A22" s="300">
        <v>16</v>
      </c>
      <c r="B22" s="36" t="s">
        <v>85</v>
      </c>
      <c r="C22" s="36" t="s">
        <v>86</v>
      </c>
      <c r="D22" s="36" t="s">
        <v>64</v>
      </c>
      <c r="E22" s="117">
        <v>15</v>
      </c>
      <c r="F22" s="15"/>
      <c r="G22" s="32"/>
      <c r="H22" s="24"/>
      <c r="I22" s="24"/>
      <c r="J22" s="19"/>
      <c r="K22" s="19"/>
      <c r="L22" s="24"/>
      <c r="M22" s="34"/>
      <c r="N22" s="24"/>
      <c r="O22" s="34"/>
      <c r="P22" s="24"/>
      <c r="Q22" s="24"/>
      <c r="R22" s="24"/>
      <c r="S22" s="24"/>
      <c r="T22" s="24"/>
      <c r="U22" s="24"/>
      <c r="V22" s="24"/>
      <c r="W22" s="24"/>
      <c r="X22" s="24"/>
      <c r="Y22" s="24"/>
      <c r="Z22" s="24"/>
      <c r="AA22" s="24"/>
      <c r="AB22" s="24">
        <v>217651</v>
      </c>
      <c r="AC22" s="23">
        <f t="shared" si="7"/>
        <v>228751.201</v>
      </c>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v>207000</v>
      </c>
      <c r="BM22" s="24">
        <f>+(BL22*5.1%)+BL22</f>
        <v>217557</v>
      </c>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22"/>
      <c r="CO22" s="34"/>
      <c r="CP22" s="34"/>
      <c r="CQ22" s="34"/>
      <c r="CR22" s="34"/>
      <c r="CS22" s="34"/>
      <c r="CT22" s="34"/>
      <c r="CU22" s="34"/>
      <c r="CV22" s="34"/>
      <c r="CW22" s="34"/>
      <c r="CX22" s="34"/>
      <c r="CY22" s="34"/>
      <c r="CZ22" s="34"/>
      <c r="DA22" s="34"/>
      <c r="DB22" s="34"/>
      <c r="DC22" s="34"/>
      <c r="DD22" s="34"/>
      <c r="DE22" s="63">
        <f>MEDIAN(AC22,BM22)</f>
        <v>223154.1005</v>
      </c>
      <c r="DF22" s="63">
        <f>AVERAGE(AC22,BM22)</f>
        <v>223154.1005</v>
      </c>
      <c r="DG22" s="64">
        <f>STDEV(AC22,BM22)</f>
        <v>7915.4954370652322</v>
      </c>
      <c r="DH22" s="65">
        <f t="shared" si="8"/>
        <v>3.5470983590844801E-2</v>
      </c>
      <c r="DI22" s="287">
        <f t="shared" si="3"/>
        <v>187525.21008403364</v>
      </c>
      <c r="DJ22" s="287">
        <f t="shared" si="4"/>
        <v>35629.789915966394</v>
      </c>
      <c r="DK22" s="285">
        <f t="shared" si="1"/>
        <v>223155</v>
      </c>
      <c r="DL22" s="286">
        <f t="shared" si="2"/>
        <v>3347325</v>
      </c>
      <c r="DM22" s="76" t="s">
        <v>84</v>
      </c>
    </row>
    <row r="23" spans="1:117" s="3" customFormat="1" ht="58" x14ac:dyDescent="0.35">
      <c r="A23" s="300">
        <v>17</v>
      </c>
      <c r="B23" s="36" t="s">
        <v>87</v>
      </c>
      <c r="C23" s="36" t="s">
        <v>1064</v>
      </c>
      <c r="D23" s="36" t="s">
        <v>64</v>
      </c>
      <c r="E23" s="117">
        <v>10</v>
      </c>
      <c r="F23" s="15"/>
      <c r="G23" s="32"/>
      <c r="H23" s="24"/>
      <c r="I23" s="24"/>
      <c r="J23" s="19"/>
      <c r="K23" s="19"/>
      <c r="L23" s="24"/>
      <c r="M23" s="34"/>
      <c r="N23" s="24"/>
      <c r="O23" s="34"/>
      <c r="P23" s="24"/>
      <c r="Q23" s="24"/>
      <c r="R23" s="24"/>
      <c r="S23" s="24"/>
      <c r="T23" s="24"/>
      <c r="U23" s="24"/>
      <c r="V23" s="24"/>
      <c r="W23" s="24"/>
      <c r="X23" s="24"/>
      <c r="Y23" s="24"/>
      <c r="Z23" s="24"/>
      <c r="AA23" s="24"/>
      <c r="AB23" s="24"/>
      <c r="AC23" s="23"/>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v>142827</v>
      </c>
      <c r="CC23" s="24">
        <f>+(CB23*5.1%)+CB23</f>
        <v>150111.177</v>
      </c>
      <c r="CD23" s="24">
        <v>139079</v>
      </c>
      <c r="CE23" s="24">
        <f>+(CD23*5.1%)+CD23</f>
        <v>146172.02900000001</v>
      </c>
      <c r="CF23" s="24"/>
      <c r="CG23" s="24"/>
      <c r="CH23" s="24"/>
      <c r="CI23" s="24"/>
      <c r="CJ23" s="24"/>
      <c r="CK23" s="24"/>
      <c r="CL23" s="24"/>
      <c r="CM23" s="24"/>
      <c r="CN23" s="222"/>
      <c r="CO23" s="34"/>
      <c r="CP23" s="34"/>
      <c r="CQ23" s="34"/>
      <c r="CR23" s="34"/>
      <c r="CS23" s="34"/>
      <c r="CT23" s="34"/>
      <c r="CU23" s="34"/>
      <c r="CV23" s="34"/>
      <c r="CW23" s="34"/>
      <c r="CX23" s="34"/>
      <c r="CY23" s="34"/>
      <c r="CZ23" s="34"/>
      <c r="DA23" s="34"/>
      <c r="DB23" s="34"/>
      <c r="DC23" s="34"/>
      <c r="DD23" s="34"/>
      <c r="DE23" s="63">
        <f>MEDIAN(CC23,CE23)</f>
        <v>148141.603</v>
      </c>
      <c r="DF23" s="63">
        <f>AVERAGE(CC23,CE23)</f>
        <v>148141.603</v>
      </c>
      <c r="DG23" s="64">
        <f>STDEV(CC23,CE23)</f>
        <v>2785.3982628974168</v>
      </c>
      <c r="DH23" s="65">
        <f t="shared" si="8"/>
        <v>1.8802268954099387E-2</v>
      </c>
      <c r="DI23" s="287">
        <f t="shared" si="3"/>
        <v>124489.0756302521</v>
      </c>
      <c r="DJ23" s="287">
        <f t="shared" si="4"/>
        <v>23652.9243697479</v>
      </c>
      <c r="DK23" s="285">
        <f t="shared" si="1"/>
        <v>148142</v>
      </c>
      <c r="DL23" s="286">
        <f t="shared" si="2"/>
        <v>1481420</v>
      </c>
      <c r="DM23" s="76" t="s">
        <v>84</v>
      </c>
    </row>
    <row r="24" spans="1:117" s="3" customFormat="1" ht="67.5" customHeight="1" x14ac:dyDescent="0.35">
      <c r="A24" s="300">
        <v>18</v>
      </c>
      <c r="B24" s="36" t="s">
        <v>880</v>
      </c>
      <c r="C24" s="36" t="s">
        <v>88</v>
      </c>
      <c r="D24" s="36" t="s">
        <v>64</v>
      </c>
      <c r="E24" s="208">
        <v>5</v>
      </c>
      <c r="F24" s="15"/>
      <c r="G24" s="32"/>
      <c r="H24" s="24"/>
      <c r="I24" s="24"/>
      <c r="J24" s="19"/>
      <c r="K24" s="19"/>
      <c r="L24" s="24"/>
      <c r="M24" s="34"/>
      <c r="N24" s="24"/>
      <c r="O24" s="34"/>
      <c r="P24" s="24"/>
      <c r="Q24" s="24"/>
      <c r="R24" s="24"/>
      <c r="S24" s="24"/>
      <c r="T24" s="24"/>
      <c r="U24" s="24"/>
      <c r="V24" s="24"/>
      <c r="W24" s="24"/>
      <c r="X24" s="24"/>
      <c r="Y24" s="24"/>
      <c r="Z24" s="24"/>
      <c r="AA24" s="24"/>
      <c r="AB24" s="24">
        <v>421245</v>
      </c>
      <c r="AC24" s="24">
        <f t="shared" si="7"/>
        <v>442728.495</v>
      </c>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v>325000</v>
      </c>
      <c r="BC24" s="24">
        <f>+(BB24*5.1%)+BB24</f>
        <v>341575</v>
      </c>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22"/>
      <c r="CO24" s="34"/>
      <c r="CP24" s="34"/>
      <c r="CQ24" s="34"/>
      <c r="CR24" s="34"/>
      <c r="CS24" s="34"/>
      <c r="CT24" s="34"/>
      <c r="CU24" s="34"/>
      <c r="CV24" s="34"/>
      <c r="CW24" s="34"/>
      <c r="CX24" s="34"/>
      <c r="CY24" s="34"/>
      <c r="CZ24" s="34"/>
      <c r="DA24" s="34"/>
      <c r="DB24" s="34"/>
      <c r="DC24" s="34"/>
      <c r="DD24" s="34"/>
      <c r="DE24" s="63">
        <f>MEDIAN(AC24,BC24)</f>
        <v>392151.7475</v>
      </c>
      <c r="DF24" s="63">
        <f>AVERAGE(AC24,BC24)</f>
        <v>392151.7475</v>
      </c>
      <c r="DG24" s="64">
        <f>STDEV(AC24,BC24)</f>
        <v>71526.322255219755</v>
      </c>
      <c r="DH24" s="65">
        <f t="shared" si="8"/>
        <v>0.18239450088188056</v>
      </c>
      <c r="DI24" s="287">
        <f t="shared" si="3"/>
        <v>329539.49579831935</v>
      </c>
      <c r="DJ24" s="287">
        <f t="shared" si="4"/>
        <v>62612.504201680676</v>
      </c>
      <c r="DK24" s="285">
        <f t="shared" si="1"/>
        <v>392152</v>
      </c>
      <c r="DL24" s="286">
        <f t="shared" si="2"/>
        <v>1960760</v>
      </c>
      <c r="DM24" s="76" t="s">
        <v>66</v>
      </c>
    </row>
    <row r="25" spans="1:117" s="3" customFormat="1" ht="84" customHeight="1" x14ac:dyDescent="0.35">
      <c r="A25" s="300">
        <v>19</v>
      </c>
      <c r="B25" s="36" t="s">
        <v>89</v>
      </c>
      <c r="C25" s="36" t="s">
        <v>90</v>
      </c>
      <c r="D25" s="36" t="s">
        <v>64</v>
      </c>
      <c r="E25" s="117">
        <v>15</v>
      </c>
      <c r="F25" s="15"/>
      <c r="G25" s="32"/>
      <c r="H25" s="24"/>
      <c r="I25" s="24"/>
      <c r="J25" s="19"/>
      <c r="K25" s="19"/>
      <c r="L25" s="24"/>
      <c r="M25" s="34"/>
      <c r="N25" s="24"/>
      <c r="O25" s="34"/>
      <c r="P25" s="24"/>
      <c r="Q25" s="24"/>
      <c r="R25" s="24"/>
      <c r="S25" s="24"/>
      <c r="T25" s="24"/>
      <c r="U25" s="24"/>
      <c r="V25" s="24"/>
      <c r="W25" s="24"/>
      <c r="X25" s="24"/>
      <c r="Y25" s="24"/>
      <c r="Z25" s="24"/>
      <c r="AA25" s="24"/>
      <c r="AB25" s="24">
        <v>405813</v>
      </c>
      <c r="AC25" s="23">
        <f t="shared" si="7"/>
        <v>426509.46299999999</v>
      </c>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f>+(315000*26%)+315000</f>
        <v>396900</v>
      </c>
      <c r="CA25" s="24">
        <f>+(BZ25*5.1%)+BZ25</f>
        <v>417141.9</v>
      </c>
      <c r="CB25" s="24"/>
      <c r="CC25" s="24"/>
      <c r="CD25" s="24"/>
      <c r="CE25" s="24"/>
      <c r="CF25" s="24"/>
      <c r="CG25" s="24"/>
      <c r="CH25" s="24"/>
      <c r="CI25" s="24"/>
      <c r="CJ25" s="24"/>
      <c r="CK25" s="24"/>
      <c r="CL25" s="24"/>
      <c r="CM25" s="24"/>
      <c r="CN25" s="222"/>
      <c r="CO25" s="34"/>
      <c r="CP25" s="34"/>
      <c r="CQ25" s="34"/>
      <c r="CR25" s="34"/>
      <c r="CS25" s="34"/>
      <c r="CT25" s="34"/>
      <c r="CU25" s="34"/>
      <c r="CV25" s="34"/>
      <c r="CW25" s="34"/>
      <c r="CX25" s="34"/>
      <c r="CY25" s="34"/>
      <c r="CZ25" s="34"/>
      <c r="DA25" s="34"/>
      <c r="DB25" s="34"/>
      <c r="DC25" s="34"/>
      <c r="DD25" s="34"/>
      <c r="DE25" s="63">
        <f>MEDIAN(AC25,CA25)</f>
        <v>421825.68150000001</v>
      </c>
      <c r="DF25" s="63">
        <f>AVERAGE(AC25,CA25)</f>
        <v>421825.68150000001</v>
      </c>
      <c r="DG25" s="64">
        <f>STDEV(AC25,CA25)</f>
        <v>6623.8673204921743</v>
      </c>
      <c r="DH25" s="65">
        <f t="shared" si="8"/>
        <v>1.5702854546309018E-2</v>
      </c>
      <c r="DI25" s="287">
        <f t="shared" si="3"/>
        <v>354475.63025210088</v>
      </c>
      <c r="DJ25" s="287">
        <f t="shared" si="4"/>
        <v>67350.369747899167</v>
      </c>
      <c r="DK25" s="285">
        <f t="shared" si="1"/>
        <v>421826</v>
      </c>
      <c r="DL25" s="286">
        <f t="shared" si="2"/>
        <v>6327390</v>
      </c>
      <c r="DM25" s="76" t="s">
        <v>84</v>
      </c>
    </row>
    <row r="26" spans="1:117" s="3" customFormat="1" ht="145" x14ac:dyDescent="0.35">
      <c r="A26" s="300">
        <v>20</v>
      </c>
      <c r="B26" s="36" t="s">
        <v>91</v>
      </c>
      <c r="C26" s="36" t="s">
        <v>92</v>
      </c>
      <c r="D26" s="36" t="s">
        <v>64</v>
      </c>
      <c r="E26" s="117">
        <v>15</v>
      </c>
      <c r="F26" s="15"/>
      <c r="G26" s="32"/>
      <c r="H26" s="24"/>
      <c r="I26" s="24"/>
      <c r="J26" s="19"/>
      <c r="K26" s="19"/>
      <c r="L26" s="24"/>
      <c r="M26" s="34"/>
      <c r="N26" s="24"/>
      <c r="O26" s="34"/>
      <c r="P26" s="24"/>
      <c r="Q26" s="24"/>
      <c r="R26" s="24"/>
      <c r="S26" s="24"/>
      <c r="T26" s="24"/>
      <c r="U26" s="24"/>
      <c r="V26" s="24"/>
      <c r="W26" s="24"/>
      <c r="X26" s="24"/>
      <c r="Y26" s="24"/>
      <c r="Z26" s="24"/>
      <c r="AA26" s="24"/>
      <c r="AB26" s="24">
        <v>297549</v>
      </c>
      <c r="AC26" s="23">
        <f t="shared" si="7"/>
        <v>312723.99900000001</v>
      </c>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f>+(234900*26%)+234900</f>
        <v>295974</v>
      </c>
      <c r="BQ26" s="34">
        <f>+(BP26*5.1%)+BP26</f>
        <v>311068.674</v>
      </c>
      <c r="BR26" s="24"/>
      <c r="BS26" s="24"/>
      <c r="BT26" s="24"/>
      <c r="BU26" s="24"/>
      <c r="BV26" s="24"/>
      <c r="BW26" s="24"/>
      <c r="BX26" s="24"/>
      <c r="BY26" s="24"/>
      <c r="BZ26" s="24"/>
      <c r="CA26" s="24"/>
      <c r="CB26" s="24"/>
      <c r="CC26" s="24"/>
      <c r="CD26" s="24"/>
      <c r="CE26" s="24"/>
      <c r="CF26" s="24"/>
      <c r="CG26" s="24"/>
      <c r="CH26" s="24"/>
      <c r="CI26" s="24"/>
      <c r="CJ26" s="24"/>
      <c r="CK26" s="24"/>
      <c r="CL26" s="24"/>
      <c r="CM26" s="24"/>
      <c r="CN26" s="222"/>
      <c r="CO26" s="34"/>
      <c r="CP26" s="34"/>
      <c r="CQ26" s="34"/>
      <c r="CR26" s="34"/>
      <c r="CS26" s="34"/>
      <c r="CT26" s="34"/>
      <c r="CU26" s="34"/>
      <c r="CV26" s="34"/>
      <c r="CW26" s="34"/>
      <c r="CX26" s="34"/>
      <c r="CY26" s="34"/>
      <c r="CZ26" s="34"/>
      <c r="DA26" s="34"/>
      <c r="DB26" s="34"/>
      <c r="DC26" s="34"/>
      <c r="DD26" s="34"/>
      <c r="DE26" s="63">
        <f>MEDIAN(AC26,BQ26)</f>
        <v>311896.33649999998</v>
      </c>
      <c r="DF26" s="63">
        <f>AVERAGE(AC26,BQ26)</f>
        <v>311896.33649999998</v>
      </c>
      <c r="DG26" s="64">
        <f>STDEV(AC26,BQ26)</f>
        <v>1170.49153256763</v>
      </c>
      <c r="DH26" s="65">
        <f t="shared" si="8"/>
        <v>3.752822318153872E-3</v>
      </c>
      <c r="DI26" s="287">
        <f t="shared" si="3"/>
        <v>262098.31932773109</v>
      </c>
      <c r="DJ26" s="287">
        <f t="shared" si="4"/>
        <v>49798.680672268907</v>
      </c>
      <c r="DK26" s="285">
        <f t="shared" si="1"/>
        <v>311897</v>
      </c>
      <c r="DL26" s="286">
        <f t="shared" si="2"/>
        <v>4678455</v>
      </c>
      <c r="DM26" s="76" t="s">
        <v>84</v>
      </c>
    </row>
    <row r="27" spans="1:117" s="3" customFormat="1" ht="261" x14ac:dyDescent="0.35">
      <c r="A27" s="300">
        <v>21</v>
      </c>
      <c r="B27" s="36" t="s">
        <v>93</v>
      </c>
      <c r="C27" s="36" t="s">
        <v>889</v>
      </c>
      <c r="D27" s="36" t="s">
        <v>64</v>
      </c>
      <c r="E27" s="208">
        <v>15</v>
      </c>
      <c r="F27" s="15"/>
      <c r="G27" s="32"/>
      <c r="H27" s="24">
        <v>185000</v>
      </c>
      <c r="I27" s="24">
        <f>+(H27*5.1%)+H27</f>
        <v>194435</v>
      </c>
      <c r="J27" s="19"/>
      <c r="K27" s="19"/>
      <c r="L27" s="24"/>
      <c r="M27" s="34"/>
      <c r="N27" s="24"/>
      <c r="O27" s="34"/>
      <c r="P27" s="24"/>
      <c r="Q27" s="24"/>
      <c r="R27" s="24"/>
      <c r="S27" s="24"/>
      <c r="T27" s="24"/>
      <c r="U27" s="24"/>
      <c r="V27" s="24"/>
      <c r="W27" s="24"/>
      <c r="X27" s="24"/>
      <c r="Y27" s="24"/>
      <c r="Z27" s="24"/>
      <c r="AA27" s="24"/>
      <c r="AB27" s="24">
        <v>239984</v>
      </c>
      <c r="AC27" s="24">
        <f t="shared" si="7"/>
        <v>252223.18400000001</v>
      </c>
      <c r="AD27" s="24"/>
      <c r="AE27" s="24"/>
      <c r="AF27" s="24"/>
      <c r="AG27" s="24"/>
      <c r="AH27" s="24">
        <v>255000</v>
      </c>
      <c r="AI27" s="24">
        <f>+(AH27*5.1%)+AH27</f>
        <v>268005</v>
      </c>
      <c r="AJ27" s="24">
        <v>255000</v>
      </c>
      <c r="AK27" s="24">
        <f>+(AJ27*5.1%)+AJ27</f>
        <v>268005</v>
      </c>
      <c r="AL27" s="24"/>
      <c r="AM27" s="24"/>
      <c r="AN27" s="24"/>
      <c r="AO27" s="24"/>
      <c r="AP27" s="24"/>
      <c r="AQ27" s="24"/>
      <c r="AR27" s="24"/>
      <c r="AS27" s="24"/>
      <c r="AT27" s="24"/>
      <c r="AU27" s="24"/>
      <c r="AV27" s="24"/>
      <c r="AW27" s="24"/>
      <c r="AX27" s="24"/>
      <c r="AY27" s="24"/>
      <c r="AZ27" s="24"/>
      <c r="BA27" s="24"/>
      <c r="BB27" s="24"/>
      <c r="BC27" s="24"/>
      <c r="BD27" s="24">
        <v>190000</v>
      </c>
      <c r="BE27" s="24">
        <f>+(BD27*5.1%)+BD27</f>
        <v>199690</v>
      </c>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22">
        <v>190000</v>
      </c>
      <c r="CO27" s="34"/>
      <c r="CP27" s="34"/>
      <c r="CQ27" s="34"/>
      <c r="CR27" s="34"/>
      <c r="CS27" s="34"/>
      <c r="CT27" s="34"/>
      <c r="CU27" s="34"/>
      <c r="CV27" s="34"/>
      <c r="CW27" s="34"/>
      <c r="CX27" s="34"/>
      <c r="CY27" s="34"/>
      <c r="CZ27" s="34"/>
      <c r="DA27" s="34"/>
      <c r="DB27" s="34"/>
      <c r="DC27" s="34"/>
      <c r="DD27" s="34"/>
      <c r="DE27" s="63">
        <f>MEDIAN(I27,AC27,AI27,AK27,BE27,CN27)</f>
        <v>225956.592</v>
      </c>
      <c r="DF27" s="63">
        <f>AVERAGE(I27,AC27,AI27,AK27,BE27,CN27)</f>
        <v>228726.36399999997</v>
      </c>
      <c r="DG27" s="64">
        <f>STDEV(I27,AC27,AI27,AK27,BE27,CN27)</f>
        <v>37832.426277295373</v>
      </c>
      <c r="DH27" s="65">
        <f t="shared" si="8"/>
        <v>0.16540474659622262</v>
      </c>
      <c r="DI27" s="287">
        <f t="shared" si="3"/>
        <v>189879.83193277312</v>
      </c>
      <c r="DJ27" s="287">
        <f t="shared" si="4"/>
        <v>36077.168067226892</v>
      </c>
      <c r="DK27" s="285">
        <f t="shared" si="1"/>
        <v>225957</v>
      </c>
      <c r="DL27" s="286">
        <f t="shared" si="2"/>
        <v>3389355</v>
      </c>
      <c r="DM27" s="76" t="s">
        <v>66</v>
      </c>
    </row>
    <row r="28" spans="1:117" ht="43.5" x14ac:dyDescent="0.35">
      <c r="A28" s="300">
        <v>22</v>
      </c>
      <c r="B28" s="36" t="s">
        <v>94</v>
      </c>
      <c r="C28" s="46" t="s">
        <v>95</v>
      </c>
      <c r="D28" s="46" t="s">
        <v>64</v>
      </c>
      <c r="E28" s="115">
        <v>9</v>
      </c>
      <c r="F28" s="14"/>
      <c r="G28" s="32"/>
      <c r="H28" s="23">
        <v>28000</v>
      </c>
      <c r="I28" s="24">
        <f>+(H28*5.1%)+H28</f>
        <v>29428</v>
      </c>
      <c r="J28" s="18"/>
      <c r="K28" s="18"/>
      <c r="L28" s="23"/>
      <c r="M28" s="34"/>
      <c r="N28" s="23"/>
      <c r="O28" s="34"/>
      <c r="P28" s="23"/>
      <c r="Q28" s="23"/>
      <c r="R28" s="23"/>
      <c r="S28" s="23"/>
      <c r="T28" s="23"/>
      <c r="U28" s="23"/>
      <c r="V28" s="23"/>
      <c r="W28" s="23"/>
      <c r="X28" s="23"/>
      <c r="Y28" s="23"/>
      <c r="Z28" s="23"/>
      <c r="AA28" s="23"/>
      <c r="AB28" s="23">
        <v>25064</v>
      </c>
      <c r="AC28" s="23">
        <f t="shared" si="7"/>
        <v>26342.263999999999</v>
      </c>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4"/>
      <c r="BB28" s="23"/>
      <c r="BC28" s="23"/>
      <c r="BD28" s="23">
        <v>28000</v>
      </c>
      <c r="BE28" s="24">
        <f>+(BD28*5.1%)+BD28</f>
        <v>29428</v>
      </c>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22"/>
      <c r="CO28" s="34"/>
      <c r="CP28" s="34"/>
      <c r="CQ28" s="34"/>
      <c r="CR28" s="34"/>
      <c r="CS28" s="34"/>
      <c r="CT28" s="34"/>
      <c r="CU28" s="34"/>
      <c r="CV28" s="34"/>
      <c r="CW28" s="34"/>
      <c r="CX28" s="34"/>
      <c r="CY28" s="34"/>
      <c r="CZ28" s="34"/>
      <c r="DA28" s="34"/>
      <c r="DB28" s="34"/>
      <c r="DC28" s="34"/>
      <c r="DD28" s="34"/>
      <c r="DE28" s="63">
        <f>MEDIAN(I28,AC28,BE28)</f>
        <v>29428</v>
      </c>
      <c r="DF28" s="63">
        <f>AVERAGE(I28,AC28,BE28)</f>
        <v>28399.421333333332</v>
      </c>
      <c r="DG28" s="64">
        <f>STDEV(I28,AC28,BE28)</f>
        <v>1781.5505102481195</v>
      </c>
      <c r="DH28" s="65">
        <f t="shared" si="8"/>
        <v>6.2731929969187625E-2</v>
      </c>
      <c r="DI28" s="287">
        <f t="shared" si="3"/>
        <v>23865.546218487398</v>
      </c>
      <c r="DJ28" s="287">
        <f t="shared" si="4"/>
        <v>4534.4537815126059</v>
      </c>
      <c r="DK28" s="285">
        <f t="shared" si="1"/>
        <v>28400</v>
      </c>
      <c r="DL28" s="286">
        <f t="shared" si="2"/>
        <v>255600</v>
      </c>
      <c r="DM28" s="76" t="s">
        <v>84</v>
      </c>
    </row>
    <row r="29" spans="1:117" s="3" customFormat="1" ht="160.5" customHeight="1" x14ac:dyDescent="0.35">
      <c r="A29" s="300">
        <v>23</v>
      </c>
      <c r="B29" s="36" t="s">
        <v>96</v>
      </c>
      <c r="C29" s="36" t="s">
        <v>890</v>
      </c>
      <c r="D29" s="36" t="s">
        <v>64</v>
      </c>
      <c r="E29" s="208">
        <v>8</v>
      </c>
      <c r="F29" s="15"/>
      <c r="G29" s="32"/>
      <c r="H29" s="24"/>
      <c r="I29" s="24"/>
      <c r="J29" s="19"/>
      <c r="K29" s="19"/>
      <c r="L29" s="24"/>
      <c r="M29" s="34"/>
      <c r="N29" s="24"/>
      <c r="O29" s="34"/>
      <c r="P29" s="24"/>
      <c r="Q29" s="24"/>
      <c r="R29" s="24"/>
      <c r="S29" s="24"/>
      <c r="T29" s="24"/>
      <c r="U29" s="24"/>
      <c r="V29" s="24"/>
      <c r="W29" s="24"/>
      <c r="X29" s="24"/>
      <c r="Y29" s="24"/>
      <c r="Z29" s="24"/>
      <c r="AA29" s="24"/>
      <c r="AB29" s="24">
        <v>147300</v>
      </c>
      <c r="AC29" s="24">
        <f t="shared" si="7"/>
        <v>154812.29999999999</v>
      </c>
      <c r="AD29" s="24"/>
      <c r="AE29" s="24"/>
      <c r="AF29" s="24"/>
      <c r="AG29" s="24"/>
      <c r="AH29" s="24">
        <v>140000</v>
      </c>
      <c r="AI29" s="24">
        <f>+(AH29*5.1%)+AH29</f>
        <v>147140</v>
      </c>
      <c r="AJ29" s="24"/>
      <c r="AK29" s="24"/>
      <c r="AL29" s="24"/>
      <c r="AM29" s="24"/>
      <c r="AN29" s="24"/>
      <c r="AO29" s="24"/>
      <c r="AP29" s="24">
        <v>125000</v>
      </c>
      <c r="AQ29" s="24">
        <f>+(AP29*5.1%)+AP29</f>
        <v>131375</v>
      </c>
      <c r="AR29" s="24"/>
      <c r="AS29" s="24"/>
      <c r="AT29" s="24">
        <v>160000</v>
      </c>
      <c r="AU29" s="24">
        <f>+(AT29*5.1%)+AT29</f>
        <v>168160</v>
      </c>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22"/>
      <c r="CO29" s="34"/>
      <c r="CP29" s="34"/>
      <c r="CQ29" s="34"/>
      <c r="CR29" s="34"/>
      <c r="CS29" s="34"/>
      <c r="CT29" s="34"/>
      <c r="CU29" s="34"/>
      <c r="CV29" s="34"/>
      <c r="CW29" s="34"/>
      <c r="CX29" s="34"/>
      <c r="CY29" s="34"/>
      <c r="CZ29" s="34"/>
      <c r="DA29" s="34"/>
      <c r="DB29" s="34"/>
      <c r="DC29" s="34"/>
      <c r="DD29" s="34"/>
      <c r="DE29" s="63">
        <f>MEDIAN(AC29,AI29,AQ29,AU29)</f>
        <v>150976.15</v>
      </c>
      <c r="DF29" s="63">
        <f>AVERAGE(AC29,AI29,AQ29,AU29)</f>
        <v>150371.82500000001</v>
      </c>
      <c r="DG29" s="64">
        <f>STDEV(AC29,AI29,AQ29,AU29)</f>
        <v>15356.443175070412</v>
      </c>
      <c r="DH29" s="65">
        <f t="shared" si="8"/>
        <v>0.10212314158633382</v>
      </c>
      <c r="DI29" s="287">
        <f t="shared" si="3"/>
        <v>126363.02521008404</v>
      </c>
      <c r="DJ29" s="287">
        <f t="shared" si="4"/>
        <v>24008.97478991597</v>
      </c>
      <c r="DK29" s="285">
        <f t="shared" si="1"/>
        <v>150372</v>
      </c>
      <c r="DL29" s="286">
        <f t="shared" si="2"/>
        <v>1202976</v>
      </c>
      <c r="DM29" s="76" t="s">
        <v>84</v>
      </c>
    </row>
    <row r="30" spans="1:117" s="3" customFormat="1" ht="112.5" customHeight="1" x14ac:dyDescent="0.35">
      <c r="A30" s="300">
        <v>24</v>
      </c>
      <c r="B30" s="36" t="s">
        <v>97</v>
      </c>
      <c r="C30" s="36" t="s">
        <v>891</v>
      </c>
      <c r="D30" s="36" t="s">
        <v>64</v>
      </c>
      <c r="E30" s="117">
        <v>9</v>
      </c>
      <c r="F30" s="15"/>
      <c r="G30" s="32"/>
      <c r="H30" s="24"/>
      <c r="I30" s="24"/>
      <c r="J30" s="19"/>
      <c r="K30" s="19"/>
      <c r="L30" s="24"/>
      <c r="M30" s="34"/>
      <c r="N30" s="24"/>
      <c r="O30" s="34"/>
      <c r="P30" s="24"/>
      <c r="Q30" s="24"/>
      <c r="R30" s="24"/>
      <c r="S30" s="24"/>
      <c r="T30" s="24"/>
      <c r="U30" s="24"/>
      <c r="V30" s="24"/>
      <c r="W30" s="24"/>
      <c r="X30" s="24"/>
      <c r="Y30" s="24"/>
      <c r="Z30" s="24"/>
      <c r="AA30" s="24"/>
      <c r="AB30" s="24"/>
      <c r="AC30" s="23"/>
      <c r="AD30" s="24"/>
      <c r="AE30" s="24"/>
      <c r="AF30" s="24"/>
      <c r="AG30" s="24"/>
      <c r="AH30" s="24"/>
      <c r="AI30" s="24"/>
      <c r="AJ30" s="24"/>
      <c r="AK30" s="24"/>
      <c r="AL30" s="24">
        <v>53142</v>
      </c>
      <c r="AM30" s="24">
        <f>+(AL30*5.1%)+AL30</f>
        <v>55852.241999999998</v>
      </c>
      <c r="AN30" s="24"/>
      <c r="AO30" s="24"/>
      <c r="AP30" s="24"/>
      <c r="AQ30" s="24"/>
      <c r="AR30" s="24"/>
      <c r="AS30" s="24"/>
      <c r="AT30" s="24">
        <v>54600</v>
      </c>
      <c r="AU30" s="24">
        <f t="shared" ref="AU30" si="10">+(AT30*5.1%)+AT30</f>
        <v>57384.6</v>
      </c>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22"/>
      <c r="CO30" s="34"/>
      <c r="CP30" s="34"/>
      <c r="CQ30" s="34"/>
      <c r="CR30" s="34"/>
      <c r="CS30" s="34"/>
      <c r="CT30" s="34"/>
      <c r="CU30" s="34"/>
      <c r="CV30" s="34"/>
      <c r="CW30" s="34"/>
      <c r="CX30" s="34"/>
      <c r="CY30" s="34"/>
      <c r="CZ30" s="34"/>
      <c r="DA30" s="34"/>
      <c r="DB30" s="34"/>
      <c r="DC30" s="34"/>
      <c r="DD30" s="34"/>
      <c r="DE30" s="63">
        <f>MEDIAN(AM30,AU30)</f>
        <v>56618.421000000002</v>
      </c>
      <c r="DF30" s="63">
        <f>AVERAGE(AM30,AU30)</f>
        <v>56618.421000000002</v>
      </c>
      <c r="DG30" s="64">
        <f>STDEV(AM30,AU30)</f>
        <v>1083.5407330054556</v>
      </c>
      <c r="DH30" s="65">
        <f t="shared" si="8"/>
        <v>1.913760069369394E-2</v>
      </c>
      <c r="DI30" s="287">
        <f t="shared" si="3"/>
        <v>47578.991596638654</v>
      </c>
      <c r="DJ30" s="287">
        <f t="shared" si="4"/>
        <v>9040.0084033613439</v>
      </c>
      <c r="DK30" s="285">
        <f t="shared" si="1"/>
        <v>56619</v>
      </c>
      <c r="DL30" s="286">
        <f t="shared" si="2"/>
        <v>509571</v>
      </c>
      <c r="DM30" s="76" t="s">
        <v>84</v>
      </c>
    </row>
    <row r="31" spans="1:117" s="3" customFormat="1" ht="72.5" x14ac:dyDescent="0.35">
      <c r="A31" s="300">
        <v>25</v>
      </c>
      <c r="B31" s="36" t="s">
        <v>98</v>
      </c>
      <c r="C31" s="36" t="s">
        <v>892</v>
      </c>
      <c r="D31" s="36" t="s">
        <v>64</v>
      </c>
      <c r="E31" s="117">
        <v>4</v>
      </c>
      <c r="F31" s="15"/>
      <c r="G31" s="32"/>
      <c r="H31" s="24"/>
      <c r="I31" s="24"/>
      <c r="J31" s="19"/>
      <c r="K31" s="19"/>
      <c r="L31" s="24"/>
      <c r="M31" s="34"/>
      <c r="N31" s="24"/>
      <c r="O31" s="34"/>
      <c r="P31" s="24"/>
      <c r="Q31" s="24"/>
      <c r="R31" s="24"/>
      <c r="S31" s="24"/>
      <c r="T31" s="24"/>
      <c r="U31" s="24"/>
      <c r="V31" s="24"/>
      <c r="W31" s="24"/>
      <c r="X31" s="24"/>
      <c r="Y31" s="24"/>
      <c r="Z31" s="24"/>
      <c r="AA31" s="24"/>
      <c r="AB31" s="24"/>
      <c r="AC31" s="23"/>
      <c r="AD31" s="24"/>
      <c r="AE31" s="24"/>
      <c r="AF31" s="24"/>
      <c r="AG31" s="24"/>
      <c r="AH31" s="24"/>
      <c r="AI31" s="24"/>
      <c r="AJ31" s="24"/>
      <c r="AK31" s="24"/>
      <c r="AL31" s="24">
        <v>27523</v>
      </c>
      <c r="AM31" s="24">
        <f>+(AL31*5.1%)+AL31</f>
        <v>28926.672999999999</v>
      </c>
      <c r="AN31" s="24">
        <v>35000</v>
      </c>
      <c r="AO31" s="24">
        <f>+(AN31*5.1%)+AN31</f>
        <v>36785</v>
      </c>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22"/>
      <c r="CO31" s="34"/>
      <c r="CP31" s="34"/>
      <c r="CQ31" s="34"/>
      <c r="CR31" s="34"/>
      <c r="CS31" s="34"/>
      <c r="CT31" s="34"/>
      <c r="CU31" s="34"/>
      <c r="CV31" s="34"/>
      <c r="CW31" s="34"/>
      <c r="CX31" s="34"/>
      <c r="CY31" s="34"/>
      <c r="CZ31" s="34"/>
      <c r="DA31" s="34"/>
      <c r="DB31" s="34"/>
      <c r="DC31" s="34"/>
      <c r="DD31" s="34"/>
      <c r="DE31" s="63">
        <f>MEDIAN(AM31,AO31)</f>
        <v>32855.836499999998</v>
      </c>
      <c r="DF31" s="63">
        <f>AVERAGE(AM31,AO31)</f>
        <v>32855.836499999998</v>
      </c>
      <c r="DG31" s="64">
        <f>STDEV(AM31,AO31)</f>
        <v>5556.6763104813717</v>
      </c>
      <c r="DH31" s="65">
        <f t="shared" si="8"/>
        <v>0.16912295964466989</v>
      </c>
      <c r="DI31" s="287">
        <f t="shared" si="3"/>
        <v>27610.084033613446</v>
      </c>
      <c r="DJ31" s="287">
        <f t="shared" si="4"/>
        <v>5245.9159663865548</v>
      </c>
      <c r="DK31" s="285">
        <f t="shared" si="1"/>
        <v>32856</v>
      </c>
      <c r="DL31" s="286">
        <f t="shared" si="2"/>
        <v>131424</v>
      </c>
      <c r="DM31" s="76" t="s">
        <v>84</v>
      </c>
    </row>
    <row r="32" spans="1:117" s="3" customFormat="1" ht="58" x14ac:dyDescent="0.35">
      <c r="A32" s="300">
        <v>26</v>
      </c>
      <c r="B32" s="36" t="s">
        <v>99</v>
      </c>
      <c r="C32" s="36" t="s">
        <v>100</v>
      </c>
      <c r="D32" s="36" t="s">
        <v>64</v>
      </c>
      <c r="E32" s="117">
        <v>15</v>
      </c>
      <c r="F32" s="15"/>
      <c r="G32" s="32"/>
      <c r="H32" s="24"/>
      <c r="I32" s="24"/>
      <c r="J32" s="19"/>
      <c r="K32" s="19"/>
      <c r="L32" s="24"/>
      <c r="M32" s="34"/>
      <c r="N32" s="24"/>
      <c r="O32" s="34"/>
      <c r="P32" s="24"/>
      <c r="Q32" s="24"/>
      <c r="R32" s="24"/>
      <c r="S32" s="24"/>
      <c r="T32" s="24"/>
      <c r="U32" s="24"/>
      <c r="V32" s="24"/>
      <c r="W32" s="24"/>
      <c r="X32" s="24"/>
      <c r="Y32" s="24"/>
      <c r="Z32" s="24"/>
      <c r="AA32" s="24"/>
      <c r="AB32" s="24"/>
      <c r="AC32" s="23"/>
      <c r="AD32" s="24"/>
      <c r="AE32" s="24"/>
      <c r="AF32" s="24"/>
      <c r="AG32" s="24"/>
      <c r="AH32" s="24"/>
      <c r="AI32" s="24"/>
      <c r="AJ32" s="24"/>
      <c r="AK32" s="24"/>
      <c r="AL32" s="24"/>
      <c r="AM32" s="24"/>
      <c r="AN32" s="24">
        <v>85000</v>
      </c>
      <c r="AO32" s="24">
        <f>+(AN32*5.1%)+AN32</f>
        <v>89335</v>
      </c>
      <c r="AP32" s="24"/>
      <c r="AQ32" s="24"/>
      <c r="AR32" s="24">
        <v>98000</v>
      </c>
      <c r="AS32" s="24">
        <f>+(AR32*5.1%)+AR32</f>
        <v>102998</v>
      </c>
      <c r="AT32" s="24"/>
      <c r="AU32" s="24"/>
      <c r="AV32" s="24"/>
      <c r="AW32" s="24"/>
      <c r="AX32" s="24">
        <v>100000</v>
      </c>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22"/>
      <c r="CO32" s="34"/>
      <c r="CP32" s="34"/>
      <c r="CQ32" s="34"/>
      <c r="CR32" s="34"/>
      <c r="CS32" s="34"/>
      <c r="CT32" s="34"/>
      <c r="CU32" s="34"/>
      <c r="CV32" s="34"/>
      <c r="CW32" s="34"/>
      <c r="CX32" s="34"/>
      <c r="CY32" s="34"/>
      <c r="CZ32" s="34"/>
      <c r="DA32" s="34"/>
      <c r="DB32" s="34"/>
      <c r="DC32" s="34"/>
      <c r="DD32" s="34"/>
      <c r="DE32" s="63">
        <f>MEDIAN(AO32,AS32)</f>
        <v>96166.5</v>
      </c>
      <c r="DF32" s="63">
        <f>AVERAGE(AO32,AS32)</f>
        <v>96166.5</v>
      </c>
      <c r="DG32" s="64">
        <f>STDEV(AO32,AS32)</f>
        <v>9661.1999513517985</v>
      </c>
      <c r="DH32" s="65">
        <f t="shared" si="8"/>
        <v>0.10046325852923625</v>
      </c>
      <c r="DI32" s="287">
        <f t="shared" si="3"/>
        <v>80812.605042016818</v>
      </c>
      <c r="DJ32" s="287">
        <f t="shared" si="4"/>
        <v>15354.394957983195</v>
      </c>
      <c r="DK32" s="285">
        <f t="shared" si="1"/>
        <v>96167</v>
      </c>
      <c r="DL32" s="286">
        <f t="shared" si="2"/>
        <v>1442505</v>
      </c>
      <c r="DM32" s="76" t="s">
        <v>84</v>
      </c>
    </row>
    <row r="33" spans="1:117" s="3" customFormat="1" ht="29" x14ac:dyDescent="0.35">
      <c r="A33" s="300">
        <v>27</v>
      </c>
      <c r="B33" s="36" t="s">
        <v>101</v>
      </c>
      <c r="C33" s="36" t="s">
        <v>102</v>
      </c>
      <c r="D33" s="36" t="s">
        <v>64</v>
      </c>
      <c r="E33" s="117">
        <v>6</v>
      </c>
      <c r="F33" s="15"/>
      <c r="G33" s="32"/>
      <c r="H33" s="24"/>
      <c r="I33" s="24"/>
      <c r="J33" s="19"/>
      <c r="K33" s="19"/>
      <c r="L33" s="24"/>
      <c r="M33" s="34"/>
      <c r="N33" s="24"/>
      <c r="O33" s="34"/>
      <c r="P33" s="24">
        <v>1750000</v>
      </c>
      <c r="Q33" s="24">
        <f>+(P33*5.1%)+P33</f>
        <v>1839250</v>
      </c>
      <c r="R33" s="24"/>
      <c r="S33" s="24"/>
      <c r="T33" s="24"/>
      <c r="U33" s="24"/>
      <c r="V33" s="24"/>
      <c r="W33" s="24"/>
      <c r="X33" s="24"/>
      <c r="Y33" s="24"/>
      <c r="Z33" s="24"/>
      <c r="AA33" s="24"/>
      <c r="AB33" s="24">
        <v>1656815</v>
      </c>
      <c r="AC33" s="23">
        <f t="shared" si="7"/>
        <v>1741312.5649999999</v>
      </c>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22"/>
      <c r="CO33" s="34"/>
      <c r="CP33" s="34"/>
      <c r="CQ33" s="34"/>
      <c r="CR33" s="34"/>
      <c r="CS33" s="34"/>
      <c r="CT33" s="34"/>
      <c r="CU33" s="34"/>
      <c r="CV33" s="34"/>
      <c r="CW33" s="34"/>
      <c r="CX33" s="34"/>
      <c r="CY33" s="34"/>
      <c r="CZ33" s="34"/>
      <c r="DA33" s="34"/>
      <c r="DB33" s="34"/>
      <c r="DC33" s="34"/>
      <c r="DD33" s="34"/>
      <c r="DE33" s="63">
        <f>MEDIAN(Q33,AC33)</f>
        <v>1790281.2825</v>
      </c>
      <c r="DF33" s="63">
        <f>AVERAGE(Q33,AC33)</f>
        <v>1790281.2825</v>
      </c>
      <c r="DG33" s="64">
        <f>STDEV(Q33,AC33)</f>
        <v>69252.224420516766</v>
      </c>
      <c r="DH33" s="65">
        <f t="shared" si="8"/>
        <v>3.8682314950984113E-2</v>
      </c>
      <c r="DI33" s="287">
        <f t="shared" si="3"/>
        <v>1504438.6554621849</v>
      </c>
      <c r="DJ33" s="287">
        <f t="shared" si="4"/>
        <v>285843.34453781514</v>
      </c>
      <c r="DK33" s="285">
        <f t="shared" si="1"/>
        <v>1790282</v>
      </c>
      <c r="DL33" s="286">
        <f t="shared" si="2"/>
        <v>10741692</v>
      </c>
      <c r="DM33" s="76" t="s">
        <v>66</v>
      </c>
    </row>
    <row r="34" spans="1:117" s="3" customFormat="1" ht="58" x14ac:dyDescent="0.35">
      <c r="A34" s="300">
        <v>28</v>
      </c>
      <c r="B34" s="36" t="s">
        <v>103</v>
      </c>
      <c r="C34" s="36" t="s">
        <v>104</v>
      </c>
      <c r="D34" s="36" t="s">
        <v>64</v>
      </c>
      <c r="E34" s="117">
        <v>5</v>
      </c>
      <c r="F34" s="15"/>
      <c r="G34" s="32"/>
      <c r="H34" s="24"/>
      <c r="I34" s="24"/>
      <c r="J34" s="19"/>
      <c r="K34" s="19"/>
      <c r="L34" s="24"/>
      <c r="M34" s="34"/>
      <c r="N34" s="24"/>
      <c r="O34" s="34"/>
      <c r="P34" s="24"/>
      <c r="Q34" s="24"/>
      <c r="R34" s="24"/>
      <c r="S34" s="24"/>
      <c r="T34" s="24"/>
      <c r="U34" s="24"/>
      <c r="V34" s="24">
        <f>+(260000*26%)+260000</f>
        <v>327600</v>
      </c>
      <c r="W34" s="24">
        <f>+(V34*5.1%)+V34</f>
        <v>344307.6</v>
      </c>
      <c r="X34" s="24"/>
      <c r="Y34" s="24"/>
      <c r="Z34" s="24"/>
      <c r="AA34" s="24"/>
      <c r="AB34" s="24"/>
      <c r="AC34" s="23"/>
      <c r="AD34" s="24"/>
      <c r="AE34" s="24"/>
      <c r="AF34" s="24"/>
      <c r="AG34" s="24"/>
      <c r="AH34" s="24"/>
      <c r="AI34" s="24"/>
      <c r="AJ34" s="24"/>
      <c r="AK34" s="24"/>
      <c r="AL34" s="24"/>
      <c r="AM34" s="24"/>
      <c r="AN34" s="24"/>
      <c r="AO34" s="24"/>
      <c r="AP34" s="24"/>
      <c r="AQ34" s="24"/>
      <c r="AR34" s="24"/>
      <c r="AS34" s="24"/>
      <c r="AT34" s="24"/>
      <c r="AU34" s="24"/>
      <c r="AV34" s="24">
        <v>410000</v>
      </c>
      <c r="AW34" s="24">
        <f>+(AV34*5.1%)+AV34</f>
        <v>430910</v>
      </c>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22"/>
      <c r="CO34" s="34"/>
      <c r="CP34" s="34"/>
      <c r="CQ34" s="34"/>
      <c r="CR34" s="34"/>
      <c r="CS34" s="34"/>
      <c r="CT34" s="34"/>
      <c r="CU34" s="34"/>
      <c r="CV34" s="34"/>
      <c r="CW34" s="34"/>
      <c r="CX34" s="34"/>
      <c r="CY34" s="34"/>
      <c r="CZ34" s="34"/>
      <c r="DA34" s="34"/>
      <c r="DB34" s="34"/>
      <c r="DC34" s="34"/>
      <c r="DD34" s="34"/>
      <c r="DE34" s="63">
        <f>MEDIAN(W34,AW34)</f>
        <v>387608.8</v>
      </c>
      <c r="DF34" s="63">
        <f>AVERAGE(W34,AW34)</f>
        <v>387608.8</v>
      </c>
      <c r="DG34" s="64">
        <f>STDEV(W34,AW34)</f>
        <v>61237.144307029906</v>
      </c>
      <c r="DH34" s="65">
        <f t="shared" si="8"/>
        <v>0.15798698147985782</v>
      </c>
      <c r="DI34" s="287">
        <f t="shared" si="3"/>
        <v>325721.84873949579</v>
      </c>
      <c r="DJ34" s="287">
        <f t="shared" si="4"/>
        <v>61887.151260504201</v>
      </c>
      <c r="DK34" s="285">
        <f t="shared" si="1"/>
        <v>387609</v>
      </c>
      <c r="DL34" s="286">
        <f t="shared" si="2"/>
        <v>1938045</v>
      </c>
      <c r="DM34" s="76" t="s">
        <v>66</v>
      </c>
    </row>
    <row r="35" spans="1:117" s="3" customFormat="1" ht="29" x14ac:dyDescent="0.35">
      <c r="A35" s="300">
        <v>29</v>
      </c>
      <c r="B35" s="36" t="s">
        <v>105</v>
      </c>
      <c r="C35" s="36" t="s">
        <v>106</v>
      </c>
      <c r="D35" s="36" t="s">
        <v>64</v>
      </c>
      <c r="E35" s="117">
        <v>5</v>
      </c>
      <c r="F35" s="15"/>
      <c r="G35" s="32"/>
      <c r="H35" s="24"/>
      <c r="I35" s="24"/>
      <c r="J35" s="19"/>
      <c r="K35" s="19"/>
      <c r="L35" s="24"/>
      <c r="M35" s="34"/>
      <c r="N35" s="24"/>
      <c r="O35" s="34"/>
      <c r="P35" s="24"/>
      <c r="Q35" s="24"/>
      <c r="R35" s="24"/>
      <c r="S35" s="24"/>
      <c r="T35" s="24"/>
      <c r="U35" s="24"/>
      <c r="V35" s="24">
        <f>+(42900*26%)+42900</f>
        <v>54054</v>
      </c>
      <c r="W35" s="24">
        <f>+(V35*5.1%)+V35</f>
        <v>56810.754000000001</v>
      </c>
      <c r="X35" s="24"/>
      <c r="Y35" s="24"/>
      <c r="Z35" s="24"/>
      <c r="AA35" s="24"/>
      <c r="AB35" s="24">
        <v>77090</v>
      </c>
      <c r="AC35" s="24">
        <f t="shared" si="7"/>
        <v>81021.59</v>
      </c>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22"/>
      <c r="CO35" s="34"/>
      <c r="CP35" s="34"/>
      <c r="CQ35" s="34"/>
      <c r="CR35" s="34"/>
      <c r="CS35" s="34"/>
      <c r="CT35" s="34"/>
      <c r="CU35" s="34"/>
      <c r="CV35" s="34"/>
      <c r="CW35" s="34"/>
      <c r="CX35" s="34"/>
      <c r="CY35" s="34"/>
      <c r="CZ35" s="34"/>
      <c r="DA35" s="34"/>
      <c r="DB35" s="34"/>
      <c r="DC35" s="34"/>
      <c r="DD35" s="34"/>
      <c r="DE35" s="63">
        <f>MEDIAN(W35,AC35)</f>
        <v>68916.171999999991</v>
      </c>
      <c r="DF35" s="63">
        <f>AVERAGE(W35,AC35)</f>
        <v>68916.171999999991</v>
      </c>
      <c r="DG35" s="64">
        <f>STDEV(W35,AC35)</f>
        <v>17119.64631379546</v>
      </c>
      <c r="DH35" s="65">
        <f t="shared" si="8"/>
        <v>0.24841261226458519</v>
      </c>
      <c r="DI35" s="287">
        <f t="shared" si="3"/>
        <v>57913.445378151264</v>
      </c>
      <c r="DJ35" s="287">
        <f t="shared" si="4"/>
        <v>11003.55462184874</v>
      </c>
      <c r="DK35" s="285">
        <f t="shared" si="1"/>
        <v>68917</v>
      </c>
      <c r="DL35" s="286">
        <f t="shared" si="2"/>
        <v>344585</v>
      </c>
      <c r="DM35" s="76" t="s">
        <v>66</v>
      </c>
    </row>
    <row r="36" spans="1:117" s="3" customFormat="1" ht="58" x14ac:dyDescent="0.35">
      <c r="A36" s="300">
        <v>30</v>
      </c>
      <c r="B36" s="36" t="s">
        <v>107</v>
      </c>
      <c r="C36" s="36" t="s">
        <v>108</v>
      </c>
      <c r="D36" s="36" t="s">
        <v>64</v>
      </c>
      <c r="E36" s="117">
        <v>4</v>
      </c>
      <c r="F36" s="15"/>
      <c r="G36" s="32">
        <f t="shared" si="6"/>
        <v>0</v>
      </c>
      <c r="H36" s="24"/>
      <c r="I36" s="24"/>
      <c r="J36" s="19"/>
      <c r="K36" s="19"/>
      <c r="L36" s="24"/>
      <c r="M36" s="34"/>
      <c r="N36" s="24"/>
      <c r="O36" s="34"/>
      <c r="P36" s="24"/>
      <c r="Q36" s="24"/>
      <c r="R36" s="24"/>
      <c r="S36" s="24"/>
      <c r="T36" s="24"/>
      <c r="U36" s="24"/>
      <c r="V36" s="24"/>
      <c r="W36" s="24"/>
      <c r="X36" s="24"/>
      <c r="Y36" s="24"/>
      <c r="Z36" s="24">
        <v>53900</v>
      </c>
      <c r="AA36" s="24">
        <f>+(Z36*5.1%)+Z36</f>
        <v>56648.9</v>
      </c>
      <c r="AB36" s="24"/>
      <c r="AC36" s="23"/>
      <c r="AD36" s="24"/>
      <c r="AE36" s="24"/>
      <c r="AF36" s="24"/>
      <c r="AG36" s="24"/>
      <c r="AH36" s="24">
        <v>40000</v>
      </c>
      <c r="AI36" s="24">
        <f>+(AH36*5.1%)+AH36</f>
        <v>42040</v>
      </c>
      <c r="AJ36" s="24"/>
      <c r="AK36" s="24"/>
      <c r="AL36" s="24">
        <v>40756</v>
      </c>
      <c r="AM36" s="24">
        <f>+(AL36*5.1%)+AL36</f>
        <v>42834.555999999997</v>
      </c>
      <c r="AN36" s="24">
        <v>28000</v>
      </c>
      <c r="AO36" s="24">
        <f>+(AN36*5.1%)+AN36</f>
        <v>29428</v>
      </c>
      <c r="AP36" s="24">
        <v>40000</v>
      </c>
      <c r="AQ36" s="24">
        <f>+(AP36*5.1%)+AP36</f>
        <v>42040</v>
      </c>
      <c r="AR36" s="24"/>
      <c r="AS36" s="24"/>
      <c r="AT36" s="24"/>
      <c r="AU36" s="24"/>
      <c r="AV36" s="24"/>
      <c r="AW36" s="24"/>
      <c r="AX36" s="24">
        <v>63500</v>
      </c>
      <c r="AY36" s="24">
        <f>+(AX36*5.1%)+AX36</f>
        <v>66738.5</v>
      </c>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22"/>
      <c r="CO36" s="34"/>
      <c r="CP36" s="34"/>
      <c r="CQ36" s="34"/>
      <c r="CR36" s="34"/>
      <c r="CS36" s="34"/>
      <c r="CT36" s="34"/>
      <c r="CU36" s="34"/>
      <c r="CV36" s="34"/>
      <c r="CW36" s="34"/>
      <c r="CX36" s="34"/>
      <c r="CY36" s="34"/>
      <c r="CZ36" s="34"/>
      <c r="DA36" s="34"/>
      <c r="DB36" s="34"/>
      <c r="DC36" s="34"/>
      <c r="DD36" s="34"/>
      <c r="DE36" s="63">
        <f>MEDIAN(AA36,AI36,AM36,AQ36,AY36)</f>
        <v>42834.555999999997</v>
      </c>
      <c r="DF36" s="63">
        <f>AVERAGE(AA36,AI36,AM36,AQ36,AY36)</f>
        <v>50060.391199999998</v>
      </c>
      <c r="DG36" s="64">
        <f>STDEV(AA36,AI36,AM36,AQ36,AY36)</f>
        <v>11207.517629831638</v>
      </c>
      <c r="DH36" s="65">
        <f t="shared" si="8"/>
        <v>0.2238799450259118</v>
      </c>
      <c r="DI36" s="287">
        <f t="shared" si="3"/>
        <v>35995.798319327732</v>
      </c>
      <c r="DJ36" s="287">
        <f t="shared" si="4"/>
        <v>6839.2016806722695</v>
      </c>
      <c r="DK36" s="285">
        <f t="shared" si="1"/>
        <v>42835</v>
      </c>
      <c r="DL36" s="286">
        <f t="shared" si="2"/>
        <v>171340</v>
      </c>
      <c r="DM36" s="76" t="s">
        <v>66</v>
      </c>
    </row>
    <row r="37" spans="1:117" s="3" customFormat="1" ht="43.5" x14ac:dyDescent="0.35">
      <c r="A37" s="300">
        <v>31</v>
      </c>
      <c r="B37" s="36" t="s">
        <v>109</v>
      </c>
      <c r="C37" s="36" t="s">
        <v>110</v>
      </c>
      <c r="D37" s="36" t="s">
        <v>64</v>
      </c>
      <c r="E37" s="117">
        <v>5</v>
      </c>
      <c r="F37" s="15">
        <v>227905</v>
      </c>
      <c r="G37" s="32">
        <f t="shared" si="6"/>
        <v>239528.155</v>
      </c>
      <c r="H37" s="24"/>
      <c r="I37" s="24"/>
      <c r="J37" s="19"/>
      <c r="K37" s="19"/>
      <c r="L37" s="24"/>
      <c r="M37" s="34"/>
      <c r="N37" s="24"/>
      <c r="O37" s="34"/>
      <c r="P37" s="24"/>
      <c r="Q37" s="24"/>
      <c r="R37" s="24"/>
      <c r="S37" s="24"/>
      <c r="T37" s="24"/>
      <c r="U37" s="24"/>
      <c r="V37" s="24"/>
      <c r="W37" s="24"/>
      <c r="X37" s="24"/>
      <c r="Y37" s="24"/>
      <c r="Z37" s="24"/>
      <c r="AA37" s="24"/>
      <c r="AB37" s="24">
        <v>125324</v>
      </c>
      <c r="AC37" s="23">
        <f t="shared" si="7"/>
        <v>131715.524</v>
      </c>
      <c r="AD37" s="24"/>
      <c r="AE37" s="24"/>
      <c r="AF37" s="24">
        <v>299900</v>
      </c>
      <c r="AG37" s="24">
        <f>+(AF37*5.1%)+AF37</f>
        <v>315194.90000000002</v>
      </c>
      <c r="AH37" s="24"/>
      <c r="AI37" s="24"/>
      <c r="AJ37" s="24"/>
      <c r="AK37" s="24"/>
      <c r="AL37" s="24">
        <v>32252</v>
      </c>
      <c r="AM37" s="24">
        <f>+(AL37*5.1%)+AL37</f>
        <v>33896.851999999999</v>
      </c>
      <c r="AN37" s="24"/>
      <c r="AO37" s="24"/>
      <c r="AP37" s="24">
        <v>390000</v>
      </c>
      <c r="AQ37" s="24">
        <f>+(AP37*5.1%)+AP37</f>
        <v>409890</v>
      </c>
      <c r="AR37" s="24">
        <v>406400</v>
      </c>
      <c r="AS37" s="24">
        <f>+(AR37*5.1%)+AR37</f>
        <v>427126.4</v>
      </c>
      <c r="AT37" s="24"/>
      <c r="AU37" s="24"/>
      <c r="AV37" s="24"/>
      <c r="AW37" s="24"/>
      <c r="AX37" s="24">
        <v>414500</v>
      </c>
      <c r="AY37" s="24"/>
      <c r="AZ37" s="24"/>
      <c r="BA37" s="24"/>
      <c r="BB37" s="24"/>
      <c r="BC37" s="24"/>
      <c r="BD37" s="24"/>
      <c r="BE37" s="24"/>
      <c r="BF37" s="24"/>
      <c r="BG37" s="24"/>
      <c r="BH37" s="24"/>
      <c r="BI37" s="24"/>
      <c r="BJ37" s="24"/>
      <c r="BK37" s="24"/>
      <c r="BL37" s="24">
        <v>249500</v>
      </c>
      <c r="BM37" s="24">
        <f>+(BL37*5.1%)+BL37</f>
        <v>262224.5</v>
      </c>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v>129492</v>
      </c>
      <c r="CM37" s="24">
        <f>+(CL37*5.1%)+CL37</f>
        <v>136096.092</v>
      </c>
      <c r="CN37" s="222"/>
      <c r="CO37" s="34"/>
      <c r="CP37" s="34"/>
      <c r="CQ37" s="34"/>
      <c r="CR37" s="34"/>
      <c r="CS37" s="34"/>
      <c r="CT37" s="34"/>
      <c r="CU37" s="34"/>
      <c r="CV37" s="34"/>
      <c r="CW37" s="34"/>
      <c r="CX37" s="34"/>
      <c r="CY37" s="34"/>
      <c r="CZ37" s="34"/>
      <c r="DA37" s="34"/>
      <c r="DB37" s="34"/>
      <c r="DC37" s="34"/>
      <c r="DD37" s="34"/>
      <c r="DE37" s="63">
        <f>MEDIAN(AC37,CM37)</f>
        <v>133905.80800000002</v>
      </c>
      <c r="DF37" s="63">
        <f>AVERAGE(AC37,CM37)</f>
        <v>133905.80800000002</v>
      </c>
      <c r="DG37" s="64">
        <f>STDEV(AC37,CM37)</f>
        <v>3097.5293382487916</v>
      </c>
      <c r="DH37" s="65">
        <f t="shared" si="8"/>
        <v>2.3132150759650329E-2</v>
      </c>
      <c r="DI37" s="287">
        <f t="shared" si="3"/>
        <v>112526.05042016807</v>
      </c>
      <c r="DJ37" s="287">
        <f t="shared" si="4"/>
        <v>21379.949579831933</v>
      </c>
      <c r="DK37" s="285">
        <f t="shared" si="1"/>
        <v>133906</v>
      </c>
      <c r="DL37" s="286">
        <f t="shared" si="2"/>
        <v>669530</v>
      </c>
      <c r="DM37" s="76" t="s">
        <v>65</v>
      </c>
    </row>
    <row r="38" spans="1:117" s="3" customFormat="1" ht="132" customHeight="1" x14ac:dyDescent="0.35">
      <c r="A38" s="300">
        <v>32</v>
      </c>
      <c r="B38" s="36" t="s">
        <v>111</v>
      </c>
      <c r="C38" s="36" t="s">
        <v>893</v>
      </c>
      <c r="D38" s="36" t="s">
        <v>64</v>
      </c>
      <c r="E38" s="208">
        <v>9</v>
      </c>
      <c r="F38" s="15"/>
      <c r="G38" s="32"/>
      <c r="H38" s="24"/>
      <c r="I38" s="24"/>
      <c r="J38" s="19"/>
      <c r="K38" s="19"/>
      <c r="L38" s="24"/>
      <c r="M38" s="34"/>
      <c r="N38" s="24"/>
      <c r="O38" s="3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v>27000</v>
      </c>
      <c r="AW38" s="24">
        <f>+(AV38*5.1%)+AV38</f>
        <v>28377</v>
      </c>
      <c r="AX38" s="24"/>
      <c r="AY38" s="24"/>
      <c r="AZ38" s="24"/>
      <c r="BA38" s="24"/>
      <c r="BB38" s="24">
        <v>26500</v>
      </c>
      <c r="BC38" s="24">
        <f>(BB38*5.1%)+BB38</f>
        <v>27851.5</v>
      </c>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22"/>
      <c r="CO38" s="34"/>
      <c r="CP38" s="34"/>
      <c r="CQ38" s="34"/>
      <c r="CR38" s="34"/>
      <c r="CS38" s="34"/>
      <c r="CT38" s="34"/>
      <c r="CU38" s="34"/>
      <c r="CV38" s="34"/>
      <c r="CW38" s="34"/>
      <c r="CX38" s="34"/>
      <c r="CY38" s="34"/>
      <c r="CZ38" s="34"/>
      <c r="DA38" s="34"/>
      <c r="DB38" s="34"/>
      <c r="DC38" s="34"/>
      <c r="DD38" s="34"/>
      <c r="DE38" s="63">
        <f>MEDIAN(AW38,BC38)</f>
        <v>28114.25</v>
      </c>
      <c r="DF38" s="63">
        <f>AVERAGE(AW38,BC38)</f>
        <v>28114.25</v>
      </c>
      <c r="DG38" s="64">
        <f>STDEV(AW38,BC38)</f>
        <v>371.58461351353071</v>
      </c>
      <c r="DH38" s="65">
        <f t="shared" si="8"/>
        <v>1.3216949181056963E-2</v>
      </c>
      <c r="DI38" s="287">
        <f t="shared" si="3"/>
        <v>23626.050420168067</v>
      </c>
      <c r="DJ38" s="287">
        <f t="shared" si="4"/>
        <v>4488.9495798319331</v>
      </c>
      <c r="DK38" s="285">
        <f t="shared" si="1"/>
        <v>28115</v>
      </c>
      <c r="DL38" s="286">
        <f t="shared" si="2"/>
        <v>253035</v>
      </c>
      <c r="DM38" s="76" t="s">
        <v>65</v>
      </c>
    </row>
    <row r="39" spans="1:117" s="3" customFormat="1" ht="58" x14ac:dyDescent="0.35">
      <c r="A39" s="300">
        <v>33</v>
      </c>
      <c r="B39" s="36" t="s">
        <v>112</v>
      </c>
      <c r="C39" s="36" t="s">
        <v>113</v>
      </c>
      <c r="D39" s="36" t="s">
        <v>64</v>
      </c>
      <c r="E39" s="117">
        <v>5</v>
      </c>
      <c r="F39" s="15"/>
      <c r="G39" s="32"/>
      <c r="H39" s="24"/>
      <c r="I39" s="24"/>
      <c r="J39" s="19"/>
      <c r="K39" s="19"/>
      <c r="L39" s="24"/>
      <c r="M39" s="34"/>
      <c r="N39" s="24">
        <v>498900</v>
      </c>
      <c r="O39" s="34">
        <f t="shared" si="9"/>
        <v>524343.9</v>
      </c>
      <c r="P39" s="24"/>
      <c r="Q39" s="24"/>
      <c r="R39" s="24"/>
      <c r="S39" s="24"/>
      <c r="T39" s="24"/>
      <c r="U39" s="24"/>
      <c r="V39" s="24"/>
      <c r="W39" s="24"/>
      <c r="X39" s="24"/>
      <c r="Y39" s="24"/>
      <c r="Z39" s="24">
        <v>385000</v>
      </c>
      <c r="AA39" s="24">
        <f>+(Z39*5.1%)+Z39</f>
        <v>404635</v>
      </c>
      <c r="AB39" s="24">
        <v>419715</v>
      </c>
      <c r="AC39" s="23">
        <f t="shared" si="7"/>
        <v>441120.46500000003</v>
      </c>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22"/>
      <c r="CO39" s="34"/>
      <c r="CP39" s="34"/>
      <c r="CQ39" s="34"/>
      <c r="CR39" s="34"/>
      <c r="CS39" s="34"/>
      <c r="CT39" s="34"/>
      <c r="CU39" s="34"/>
      <c r="CV39" s="34"/>
      <c r="CW39" s="34"/>
      <c r="CX39" s="34"/>
      <c r="CY39" s="34"/>
      <c r="CZ39" s="34"/>
      <c r="DA39" s="34"/>
      <c r="DB39" s="34"/>
      <c r="DC39" s="34"/>
      <c r="DD39" s="34"/>
      <c r="DE39" s="63">
        <f>MEDIAN(AA39,AC39)</f>
        <v>422877.73250000004</v>
      </c>
      <c r="DF39" s="63">
        <f>AVERAGE(AA39,AC39)</f>
        <v>422877.73250000004</v>
      </c>
      <c r="DG39" s="64">
        <f>STDEV(AA39,AC39)</f>
        <v>25799.119716244455</v>
      </c>
      <c r="DH39" s="65">
        <f t="shared" si="8"/>
        <v>6.1008461154299379E-2</v>
      </c>
      <c r="DI39" s="287">
        <f t="shared" si="3"/>
        <v>355359.66386554623</v>
      </c>
      <c r="DJ39" s="287">
        <f t="shared" si="4"/>
        <v>67518.336134453784</v>
      </c>
      <c r="DK39" s="285">
        <f t="shared" si="1"/>
        <v>422878</v>
      </c>
      <c r="DL39" s="286">
        <f t="shared" si="2"/>
        <v>2114390</v>
      </c>
      <c r="DM39" s="76" t="s">
        <v>65</v>
      </c>
    </row>
    <row r="40" spans="1:117" s="3" customFormat="1" ht="58" x14ac:dyDescent="0.35">
      <c r="A40" s="300">
        <v>34</v>
      </c>
      <c r="B40" s="36" t="s">
        <v>114</v>
      </c>
      <c r="C40" s="36" t="s">
        <v>115</v>
      </c>
      <c r="D40" s="36" t="s">
        <v>64</v>
      </c>
      <c r="E40" s="117">
        <v>5</v>
      </c>
      <c r="F40" s="15"/>
      <c r="G40" s="32"/>
      <c r="H40" s="24"/>
      <c r="I40" s="24"/>
      <c r="J40" s="19"/>
      <c r="K40" s="19"/>
      <c r="L40" s="24"/>
      <c r="M40" s="34"/>
      <c r="N40" s="24"/>
      <c r="O40" s="34"/>
      <c r="P40" s="24"/>
      <c r="Q40" s="24"/>
      <c r="R40" s="24"/>
      <c r="S40" s="24"/>
      <c r="T40" s="24"/>
      <c r="U40" s="24"/>
      <c r="V40" s="24"/>
      <c r="W40" s="24"/>
      <c r="X40" s="24"/>
      <c r="Y40" s="24"/>
      <c r="Z40" s="24"/>
      <c r="AA40" s="24"/>
      <c r="AB40" s="24">
        <v>98279</v>
      </c>
      <c r="AC40" s="23">
        <f t="shared" si="7"/>
        <v>103291.22899999999</v>
      </c>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v>69990</v>
      </c>
      <c r="BU40" s="24">
        <f>+(BT40*5.1%)+BT40</f>
        <v>73559.490000000005</v>
      </c>
      <c r="BV40" s="24"/>
      <c r="BW40" s="24"/>
      <c r="BX40" s="24"/>
      <c r="BY40" s="24"/>
      <c r="BZ40" s="24"/>
      <c r="CA40" s="24"/>
      <c r="CB40" s="24"/>
      <c r="CC40" s="24"/>
      <c r="CD40" s="24"/>
      <c r="CE40" s="24"/>
      <c r="CF40" s="24"/>
      <c r="CG40" s="24"/>
      <c r="CH40" s="24"/>
      <c r="CI40" s="24"/>
      <c r="CJ40" s="24"/>
      <c r="CK40" s="24"/>
      <c r="CL40" s="24"/>
      <c r="CM40" s="24"/>
      <c r="CN40" s="222"/>
      <c r="CO40" s="34"/>
      <c r="CP40" s="34"/>
      <c r="CQ40" s="34"/>
      <c r="CR40" s="34"/>
      <c r="CS40" s="34"/>
      <c r="CT40" s="34"/>
      <c r="CU40" s="34"/>
      <c r="CV40" s="34"/>
      <c r="CW40" s="34"/>
      <c r="CX40" s="34"/>
      <c r="CY40" s="34"/>
      <c r="CZ40" s="34"/>
      <c r="DA40" s="34"/>
      <c r="DB40" s="34"/>
      <c r="DC40" s="34"/>
      <c r="DD40" s="34"/>
      <c r="DE40" s="63">
        <f>MEDIAN(AC40,BU40)</f>
        <v>88425.359499999991</v>
      </c>
      <c r="DF40" s="63">
        <f>AVERAGE(AC40,BU40)</f>
        <v>88425.359499999991</v>
      </c>
      <c r="DG40" s="64">
        <f>STDEV(AC40,BU40)</f>
        <v>21023.514263368561</v>
      </c>
      <c r="DH40" s="65">
        <f t="shared" si="8"/>
        <v>0.23775435443232282</v>
      </c>
      <c r="DI40" s="287">
        <f t="shared" si="3"/>
        <v>74307.563025210082</v>
      </c>
      <c r="DJ40" s="287">
        <f t="shared" si="4"/>
        <v>14118.436974789916</v>
      </c>
      <c r="DK40" s="285">
        <f t="shared" si="1"/>
        <v>88426</v>
      </c>
      <c r="DL40" s="286">
        <f t="shared" si="2"/>
        <v>442130</v>
      </c>
      <c r="DM40" s="76" t="s">
        <v>66</v>
      </c>
    </row>
    <row r="41" spans="1:117" s="3" customFormat="1" ht="100.5" customHeight="1" x14ac:dyDescent="0.35">
      <c r="A41" s="300">
        <v>35</v>
      </c>
      <c r="B41" s="36" t="s">
        <v>116</v>
      </c>
      <c r="C41" s="36" t="s">
        <v>894</v>
      </c>
      <c r="D41" s="36" t="s">
        <v>64</v>
      </c>
      <c r="E41" s="208">
        <v>8</v>
      </c>
      <c r="F41" s="15"/>
      <c r="G41" s="32"/>
      <c r="H41" s="24"/>
      <c r="I41" s="24"/>
      <c r="J41" s="19"/>
      <c r="K41" s="19"/>
      <c r="L41" s="24"/>
      <c r="M41" s="34"/>
      <c r="N41" s="24"/>
      <c r="O41" s="34"/>
      <c r="P41" s="24"/>
      <c r="Q41" s="24"/>
      <c r="R41" s="24"/>
      <c r="S41" s="24"/>
      <c r="T41" s="24"/>
      <c r="U41" s="24"/>
      <c r="V41" s="24"/>
      <c r="W41" s="24"/>
      <c r="X41" s="24"/>
      <c r="Y41" s="24"/>
      <c r="Z41" s="24"/>
      <c r="AA41" s="24"/>
      <c r="AB41" s="24">
        <v>98153</v>
      </c>
      <c r="AC41" s="24">
        <f t="shared" si="7"/>
        <v>103158.803</v>
      </c>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v>118000</v>
      </c>
      <c r="BW41" s="24">
        <f>+(BV41*5.1%)+BV41</f>
        <v>124018</v>
      </c>
      <c r="BX41" s="24"/>
      <c r="BY41" s="24"/>
      <c r="BZ41" s="24"/>
      <c r="CA41" s="24"/>
      <c r="CB41" s="24"/>
      <c r="CC41" s="24"/>
      <c r="CD41" s="24"/>
      <c r="CE41" s="24"/>
      <c r="CF41" s="24"/>
      <c r="CG41" s="24"/>
      <c r="CH41" s="24"/>
      <c r="CI41" s="24"/>
      <c r="CJ41" s="24"/>
      <c r="CK41" s="24"/>
      <c r="CL41" s="24"/>
      <c r="CM41" s="24"/>
      <c r="CN41" s="222"/>
      <c r="CO41" s="34"/>
      <c r="CP41" s="34"/>
      <c r="CQ41" s="34"/>
      <c r="CR41" s="34"/>
      <c r="CS41" s="34"/>
      <c r="CT41" s="34"/>
      <c r="CU41" s="34"/>
      <c r="CV41" s="34"/>
      <c r="CW41" s="34"/>
      <c r="CX41" s="34"/>
      <c r="CY41" s="34"/>
      <c r="CZ41" s="34"/>
      <c r="DA41" s="34"/>
      <c r="DB41" s="34"/>
      <c r="DC41" s="34"/>
      <c r="DD41" s="34"/>
      <c r="DE41" s="63">
        <f>MEDIAN(AC41,BW41)</f>
        <v>113588.40150000001</v>
      </c>
      <c r="DF41" s="63">
        <f>AVERAGE(AC41,BW41)</f>
        <v>113588.40150000001</v>
      </c>
      <c r="DG41" s="64">
        <f>STDEV(AC41,BW41)</f>
        <v>14749.67964880609</v>
      </c>
      <c r="DH41" s="65">
        <f t="shared" si="8"/>
        <v>0.12985198712217189</v>
      </c>
      <c r="DI41" s="287">
        <f t="shared" si="3"/>
        <v>95452.941176470587</v>
      </c>
      <c r="DJ41" s="287">
        <f t="shared" si="4"/>
        <v>18136.058823529413</v>
      </c>
      <c r="DK41" s="285">
        <f t="shared" si="1"/>
        <v>113589</v>
      </c>
      <c r="DL41" s="286">
        <f t="shared" si="2"/>
        <v>908712</v>
      </c>
      <c r="DM41" s="76" t="s">
        <v>65</v>
      </c>
    </row>
    <row r="42" spans="1:117" s="3" customFormat="1" ht="72.5" x14ac:dyDescent="0.35">
      <c r="A42" s="300">
        <v>36</v>
      </c>
      <c r="B42" s="36" t="s">
        <v>117</v>
      </c>
      <c r="C42" s="47" t="s">
        <v>118</v>
      </c>
      <c r="D42" s="36" t="s">
        <v>64</v>
      </c>
      <c r="E42" s="117">
        <v>6</v>
      </c>
      <c r="F42" s="15"/>
      <c r="G42" s="32"/>
      <c r="H42" s="24"/>
      <c r="I42" s="24"/>
      <c r="J42" s="19"/>
      <c r="K42" s="19"/>
      <c r="L42" s="24"/>
      <c r="M42" s="34"/>
      <c r="N42" s="24"/>
      <c r="O42" s="34"/>
      <c r="P42" s="24"/>
      <c r="Q42" s="24"/>
      <c r="R42" s="24"/>
      <c r="S42" s="24"/>
      <c r="T42" s="24"/>
      <c r="U42" s="24"/>
      <c r="V42" s="24"/>
      <c r="W42" s="24"/>
      <c r="X42" s="24"/>
      <c r="Y42" s="24"/>
      <c r="Z42" s="24"/>
      <c r="AA42" s="24"/>
      <c r="AB42" s="24">
        <v>98153</v>
      </c>
      <c r="AC42" s="23">
        <f t="shared" si="7"/>
        <v>103158.803</v>
      </c>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v>118000</v>
      </c>
      <c r="BW42" s="24">
        <f>+(BV42*5.1%)+BV42</f>
        <v>124018</v>
      </c>
      <c r="BX42" s="24"/>
      <c r="BY42" s="24"/>
      <c r="BZ42" s="24"/>
      <c r="CA42" s="24"/>
      <c r="CB42" s="24"/>
      <c r="CC42" s="24"/>
      <c r="CD42" s="24"/>
      <c r="CE42" s="24"/>
      <c r="CF42" s="24"/>
      <c r="CG42" s="24"/>
      <c r="CH42" s="24"/>
      <c r="CI42" s="24"/>
      <c r="CJ42" s="24"/>
      <c r="CK42" s="24"/>
      <c r="CL42" s="24"/>
      <c r="CM42" s="24"/>
      <c r="CN42" s="222"/>
      <c r="CO42" s="34"/>
      <c r="CP42" s="34"/>
      <c r="CQ42" s="34"/>
      <c r="CR42" s="34"/>
      <c r="CS42" s="34"/>
      <c r="CT42" s="34"/>
      <c r="CU42" s="34"/>
      <c r="CV42" s="34"/>
      <c r="CW42" s="34"/>
      <c r="CX42" s="34"/>
      <c r="CY42" s="34"/>
      <c r="CZ42" s="34"/>
      <c r="DA42" s="34"/>
      <c r="DB42" s="34"/>
      <c r="DC42" s="34"/>
      <c r="DD42" s="34"/>
      <c r="DE42" s="63">
        <f>MEDIAN(AC42,BW42)</f>
        <v>113588.40150000001</v>
      </c>
      <c r="DF42" s="63">
        <f>AVERAGE(AC42,BW42)</f>
        <v>113588.40150000001</v>
      </c>
      <c r="DG42" s="64">
        <f>STDEV(AC42,BW42)</f>
        <v>14749.67964880609</v>
      </c>
      <c r="DH42" s="65">
        <f t="shared" si="8"/>
        <v>0.12985198712217189</v>
      </c>
      <c r="DI42" s="287">
        <f t="shared" si="3"/>
        <v>95452.941176470587</v>
      </c>
      <c r="DJ42" s="287">
        <f t="shared" si="4"/>
        <v>18136.058823529413</v>
      </c>
      <c r="DK42" s="285">
        <f t="shared" si="1"/>
        <v>113589</v>
      </c>
      <c r="DL42" s="286">
        <f t="shared" si="2"/>
        <v>681534</v>
      </c>
      <c r="DM42" s="76" t="s">
        <v>65</v>
      </c>
    </row>
    <row r="43" spans="1:117" s="3" customFormat="1" ht="103.5" customHeight="1" x14ac:dyDescent="0.35">
      <c r="A43" s="300">
        <v>37</v>
      </c>
      <c r="B43" s="36" t="s">
        <v>119</v>
      </c>
      <c r="C43" s="96" t="s">
        <v>120</v>
      </c>
      <c r="D43" s="36" t="s">
        <v>64</v>
      </c>
      <c r="E43" s="208">
        <v>19</v>
      </c>
      <c r="F43" s="15"/>
      <c r="G43" s="32"/>
      <c r="H43" s="24"/>
      <c r="I43" s="24"/>
      <c r="J43" s="19"/>
      <c r="K43" s="19"/>
      <c r="L43" s="24"/>
      <c r="M43" s="34"/>
      <c r="N43" s="24"/>
      <c r="O43" s="3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22"/>
      <c r="CO43" s="222"/>
      <c r="CP43" s="222"/>
      <c r="CQ43" s="34">
        <v>64900</v>
      </c>
      <c r="CR43" s="34">
        <f>+CQ43/1.19</f>
        <v>54537.815126050424</v>
      </c>
      <c r="CS43" s="34">
        <f>+(CR43*36%)+CR43</f>
        <v>74171.42857142858</v>
      </c>
      <c r="CT43" s="34">
        <v>59990</v>
      </c>
      <c r="CU43" s="34">
        <f>+CT43/1.19</f>
        <v>50411.764705882357</v>
      </c>
      <c r="CV43" s="34">
        <f>+(CU43*36%)+CU43</f>
        <v>68560</v>
      </c>
      <c r="CW43" s="34"/>
      <c r="CX43" s="34"/>
      <c r="CY43" s="34"/>
      <c r="CZ43" s="34"/>
      <c r="DA43" s="34"/>
      <c r="DB43" s="34"/>
      <c r="DC43" s="34"/>
      <c r="DD43" s="34"/>
      <c r="DE43" s="63">
        <f>MEDIAN(CS43,CV43)</f>
        <v>71365.71428571429</v>
      </c>
      <c r="DF43" s="63">
        <f>AVERAGE(CS43,CV43)</f>
        <v>71365.71428571429</v>
      </c>
      <c r="DG43" s="64">
        <f>STDEV(CS43,CV43)</f>
        <v>3967.8791950010896</v>
      </c>
      <c r="DH43" s="65">
        <f t="shared" si="8"/>
        <v>5.5599236057746068E-2</v>
      </c>
      <c r="DI43" s="287">
        <f>DK43/1.19</f>
        <v>59971.428571428572</v>
      </c>
      <c r="DJ43" s="287">
        <f t="shared" si="4"/>
        <v>11394.571428571429</v>
      </c>
      <c r="DK43" s="285">
        <f t="shared" si="1"/>
        <v>71366</v>
      </c>
      <c r="DL43" s="286">
        <f t="shared" si="2"/>
        <v>1355954</v>
      </c>
      <c r="DM43" s="76" t="s">
        <v>65</v>
      </c>
    </row>
    <row r="44" spans="1:117" s="3" customFormat="1" ht="90" customHeight="1" x14ac:dyDescent="0.35">
      <c r="A44" s="300">
        <v>38</v>
      </c>
      <c r="B44" s="36" t="s">
        <v>121</v>
      </c>
      <c r="C44" s="96" t="s">
        <v>122</v>
      </c>
      <c r="D44" s="36" t="s">
        <v>123</v>
      </c>
      <c r="E44" s="208">
        <v>50</v>
      </c>
      <c r="F44" s="15"/>
      <c r="G44" s="15"/>
      <c r="H44" s="24"/>
      <c r="I44" s="24"/>
      <c r="J44" s="19"/>
      <c r="K44" s="19"/>
      <c r="L44" s="24"/>
      <c r="M44" s="34"/>
      <c r="N44" s="24"/>
      <c r="O44" s="3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22"/>
      <c r="CO44" s="222"/>
      <c r="CP44" s="222"/>
      <c r="CQ44" s="34">
        <v>49900</v>
      </c>
      <c r="CR44" s="34">
        <f>+CQ44/1.19</f>
        <v>41932.773109243702</v>
      </c>
      <c r="CS44" s="34">
        <f>+(CR44*36%)+CR44</f>
        <v>57028.571428571435</v>
      </c>
      <c r="CT44" s="34">
        <v>41990</v>
      </c>
      <c r="CU44" s="34">
        <f>+CT44/1.19</f>
        <v>35285.71428571429</v>
      </c>
      <c r="CV44" s="34">
        <f>+(CU44*36%)+CU44</f>
        <v>47988.571428571435</v>
      </c>
      <c r="CW44" s="34"/>
      <c r="CX44" s="34"/>
      <c r="CY44" s="34"/>
      <c r="CZ44" s="34"/>
      <c r="DA44" s="34"/>
      <c r="DB44" s="34"/>
      <c r="DC44" s="34"/>
      <c r="DD44" s="34"/>
      <c r="DE44" s="63">
        <f>MEDIAN(CS44,CV44)</f>
        <v>52508.571428571435</v>
      </c>
      <c r="DF44" s="63">
        <f>AVERAGE(CS44,CV44)</f>
        <v>52508.571428571435</v>
      </c>
      <c r="DG44" s="64">
        <f>STDEV(CS44,CV44)</f>
        <v>6392.2453019263894</v>
      </c>
      <c r="DH44" s="65">
        <f t="shared" ref="DH44" si="11">DG44/DF44</f>
        <v>0.1217371779124081</v>
      </c>
      <c r="DI44" s="287">
        <f>DK44/1.19</f>
        <v>44125.210084033613</v>
      </c>
      <c r="DJ44" s="287">
        <f t="shared" ref="DJ44" si="12">+DI44*19%</f>
        <v>8383.7899159663866</v>
      </c>
      <c r="DK44" s="285">
        <f>ROUNDUP(IF(DH44&lt;15%,DF44,DE44),0)</f>
        <v>52509</v>
      </c>
      <c r="DL44" s="286">
        <f t="shared" si="2"/>
        <v>2625450</v>
      </c>
      <c r="DM44" s="76" t="s">
        <v>65</v>
      </c>
    </row>
    <row r="45" spans="1:117" s="3" customFormat="1" ht="87" x14ac:dyDescent="0.35">
      <c r="A45" s="300">
        <v>39</v>
      </c>
      <c r="B45" s="36" t="s">
        <v>877</v>
      </c>
      <c r="C45" s="36" t="s">
        <v>124</v>
      </c>
      <c r="D45" s="36" t="s">
        <v>123</v>
      </c>
      <c r="E45" s="208">
        <v>70</v>
      </c>
      <c r="F45" s="15"/>
      <c r="G45" s="15"/>
      <c r="H45" s="24"/>
      <c r="I45" s="24"/>
      <c r="J45" s="19"/>
      <c r="K45" s="19"/>
      <c r="L45" s="24"/>
      <c r="M45" s="34"/>
      <c r="N45" s="24"/>
      <c r="O45" s="3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22"/>
      <c r="CO45" s="222"/>
      <c r="CP45" s="222"/>
      <c r="CQ45" s="34">
        <v>299900</v>
      </c>
      <c r="CR45" s="34">
        <f>+CQ45/1.19</f>
        <v>252016.8067226891</v>
      </c>
      <c r="CS45" s="34">
        <f>+(CR45*36%)+CR45</f>
        <v>342742.85714285716</v>
      </c>
      <c r="CT45" s="34">
        <v>296000</v>
      </c>
      <c r="CU45" s="34">
        <f>+CT45/1.19</f>
        <v>248739.49579831935</v>
      </c>
      <c r="CV45" s="34">
        <f>+(CU45*36%)+CU45</f>
        <v>338285.71428571432</v>
      </c>
      <c r="CW45" s="34"/>
      <c r="CX45" s="34"/>
      <c r="CY45" s="34"/>
      <c r="CZ45" s="34"/>
      <c r="DA45" s="34"/>
      <c r="DB45" s="34"/>
      <c r="DC45" s="34"/>
      <c r="DD45" s="34"/>
      <c r="DE45" s="63">
        <f>MEDIAN(CS45,CV45)</f>
        <v>340514.28571428574</v>
      </c>
      <c r="DF45" s="63">
        <f>AVERAGE(CS45,CV45)</f>
        <v>340514.28571428574</v>
      </c>
      <c r="DG45" s="64">
        <f>STDEV(CS45,CV45)</f>
        <v>3151.675939002886</v>
      </c>
      <c r="DH45" s="65">
        <f t="shared" ref="DH45" si="13">DG45/DF45</f>
        <v>9.2556349945545398E-3</v>
      </c>
      <c r="DI45" s="287">
        <f t="shared" si="3"/>
        <v>286147.0588235294</v>
      </c>
      <c r="DJ45" s="287">
        <f t="shared" si="4"/>
        <v>54367.941176470587</v>
      </c>
      <c r="DK45" s="285">
        <f t="shared" si="1"/>
        <v>340515</v>
      </c>
      <c r="DL45" s="286">
        <f t="shared" si="2"/>
        <v>23836050</v>
      </c>
      <c r="DM45" s="76" t="s">
        <v>65</v>
      </c>
    </row>
    <row r="46" spans="1:117" s="3" customFormat="1" ht="116" x14ac:dyDescent="0.35">
      <c r="A46" s="300">
        <v>40</v>
      </c>
      <c r="B46" s="36" t="s">
        <v>125</v>
      </c>
      <c r="C46" s="46" t="s">
        <v>126</v>
      </c>
      <c r="D46" s="46" t="s">
        <v>127</v>
      </c>
      <c r="E46" s="115">
        <v>10</v>
      </c>
      <c r="F46" s="15"/>
      <c r="G46" s="15"/>
      <c r="H46" s="24"/>
      <c r="I46" s="24"/>
      <c r="J46" s="19"/>
      <c r="K46" s="19"/>
      <c r="L46" s="24"/>
      <c r="M46" s="34"/>
      <c r="N46" s="24"/>
      <c r="O46" s="3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22">
        <v>320000</v>
      </c>
      <c r="CO46" s="222">
        <v>390000</v>
      </c>
      <c r="CP46" s="222">
        <v>410000</v>
      </c>
      <c r="CQ46" s="34"/>
      <c r="CR46" s="34"/>
      <c r="CS46" s="34"/>
      <c r="CT46" s="34"/>
      <c r="CU46" s="34"/>
      <c r="CV46" s="34"/>
      <c r="CW46" s="34"/>
      <c r="CX46" s="34"/>
      <c r="CY46" s="34"/>
      <c r="CZ46" s="34"/>
      <c r="DA46" s="34"/>
      <c r="DB46" s="34"/>
      <c r="DC46" s="34"/>
      <c r="DD46" s="34"/>
      <c r="DE46" s="63">
        <f t="shared" ref="DE46:DE50" si="14">MEDIAN(CN46,CO46,CP46)</f>
        <v>390000</v>
      </c>
      <c r="DF46" s="63">
        <f t="shared" ref="DF46:DF51" si="15">AVERAGE(CN46,CO46,CP46)</f>
        <v>373333.33333333331</v>
      </c>
      <c r="DG46" s="64">
        <f t="shared" ref="DG46:DG51" si="16">STDEV(CN46,CO46,CP46)</f>
        <v>47258.156262526194</v>
      </c>
      <c r="DH46" s="65">
        <f t="shared" ref="DH46:DH51" si="17">DG46/DF46</f>
        <v>0.12658434713176661</v>
      </c>
      <c r="DI46" s="287">
        <f t="shared" si="3"/>
        <v>313726.05042016809</v>
      </c>
      <c r="DJ46" s="287">
        <f t="shared" si="4"/>
        <v>59607.94957983194</v>
      </c>
      <c r="DK46" s="285">
        <f t="shared" si="1"/>
        <v>373334</v>
      </c>
      <c r="DL46" s="286">
        <f t="shared" si="2"/>
        <v>3733340</v>
      </c>
      <c r="DM46" s="76" t="s">
        <v>65</v>
      </c>
    </row>
    <row r="47" spans="1:117" s="3" customFormat="1" ht="78.75" customHeight="1" x14ac:dyDescent="0.35">
      <c r="A47" s="300">
        <v>41</v>
      </c>
      <c r="B47" s="46" t="s">
        <v>128</v>
      </c>
      <c r="C47" s="46" t="s">
        <v>129</v>
      </c>
      <c r="D47" s="46" t="s">
        <v>64</v>
      </c>
      <c r="E47" s="115">
        <v>10</v>
      </c>
      <c r="F47" s="15"/>
      <c r="G47" s="15"/>
      <c r="H47" s="24"/>
      <c r="I47" s="24"/>
      <c r="J47" s="19"/>
      <c r="K47" s="19"/>
      <c r="L47" s="24"/>
      <c r="M47" s="34"/>
      <c r="N47" s="24"/>
      <c r="O47" s="3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22">
        <v>390000</v>
      </c>
      <c r="CO47" s="222">
        <v>310000</v>
      </c>
      <c r="CP47" s="222">
        <v>285000</v>
      </c>
      <c r="CQ47" s="34"/>
      <c r="CR47" s="34"/>
      <c r="CS47" s="34"/>
      <c r="CT47" s="34"/>
      <c r="CU47" s="34"/>
      <c r="CV47" s="34"/>
      <c r="CW47" s="34"/>
      <c r="CX47" s="34"/>
      <c r="CY47" s="34"/>
      <c r="CZ47" s="34"/>
      <c r="DA47" s="34"/>
      <c r="DB47" s="34"/>
      <c r="DC47" s="34"/>
      <c r="DD47" s="34"/>
      <c r="DE47" s="63">
        <f t="shared" si="14"/>
        <v>310000</v>
      </c>
      <c r="DF47" s="63">
        <f t="shared" si="15"/>
        <v>328333.33333333331</v>
      </c>
      <c r="DG47" s="64">
        <f t="shared" si="16"/>
        <v>54848.275573014544</v>
      </c>
      <c r="DH47" s="65">
        <f t="shared" si="17"/>
        <v>0.16705058550156715</v>
      </c>
      <c r="DI47" s="287">
        <f t="shared" si="3"/>
        <v>260504.20168067227</v>
      </c>
      <c r="DJ47" s="287">
        <f t="shared" si="4"/>
        <v>49495.798319327732</v>
      </c>
      <c r="DK47" s="285">
        <f t="shared" si="1"/>
        <v>310000</v>
      </c>
      <c r="DL47" s="286">
        <f t="shared" si="2"/>
        <v>3100000</v>
      </c>
      <c r="DM47" s="76" t="s">
        <v>66</v>
      </c>
    </row>
    <row r="48" spans="1:117" s="3" customFormat="1" ht="195" customHeight="1" x14ac:dyDescent="0.35">
      <c r="A48" s="300">
        <v>42</v>
      </c>
      <c r="B48" s="46" t="s">
        <v>881</v>
      </c>
      <c r="C48" s="46" t="s">
        <v>130</v>
      </c>
      <c r="D48" s="46" t="s">
        <v>131</v>
      </c>
      <c r="E48" s="115">
        <v>2</v>
      </c>
      <c r="F48" s="15"/>
      <c r="G48" s="15"/>
      <c r="H48" s="24"/>
      <c r="I48" s="24"/>
      <c r="J48" s="19"/>
      <c r="K48" s="19"/>
      <c r="L48" s="24"/>
      <c r="M48" s="34"/>
      <c r="N48" s="24"/>
      <c r="O48" s="3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22">
        <v>350000</v>
      </c>
      <c r="CO48" s="222">
        <v>300000</v>
      </c>
      <c r="CP48" s="222">
        <v>290000</v>
      </c>
      <c r="CQ48" s="34"/>
      <c r="CR48" s="34"/>
      <c r="CS48" s="34"/>
      <c r="CT48" s="34"/>
      <c r="CU48" s="34"/>
      <c r="CV48" s="34"/>
      <c r="CW48" s="34"/>
      <c r="CX48" s="34"/>
      <c r="CY48" s="34"/>
      <c r="CZ48" s="34"/>
      <c r="DA48" s="34"/>
      <c r="DB48" s="34"/>
      <c r="DC48" s="34"/>
      <c r="DD48" s="34"/>
      <c r="DE48" s="63">
        <f t="shared" si="14"/>
        <v>300000</v>
      </c>
      <c r="DF48" s="63">
        <f t="shared" si="15"/>
        <v>313333.33333333331</v>
      </c>
      <c r="DG48" s="64">
        <f t="shared" si="16"/>
        <v>32145.502536643184</v>
      </c>
      <c r="DH48" s="65">
        <f t="shared" si="17"/>
        <v>0.10259202937226548</v>
      </c>
      <c r="DI48" s="287">
        <f t="shared" si="3"/>
        <v>263305.8823529412</v>
      </c>
      <c r="DJ48" s="287">
        <f t="shared" si="4"/>
        <v>50028.117647058833</v>
      </c>
      <c r="DK48" s="285">
        <f t="shared" si="1"/>
        <v>313334</v>
      </c>
      <c r="DL48" s="286">
        <f t="shared" si="2"/>
        <v>626668</v>
      </c>
      <c r="DM48" s="76" t="s">
        <v>65</v>
      </c>
    </row>
    <row r="49" spans="1:117" s="3" customFormat="1" ht="58" x14ac:dyDescent="0.35">
      <c r="A49" s="300">
        <v>43</v>
      </c>
      <c r="B49" s="46" t="s">
        <v>132</v>
      </c>
      <c r="C49" s="46" t="s">
        <v>133</v>
      </c>
      <c r="D49" s="46" t="s">
        <v>64</v>
      </c>
      <c r="E49" s="115">
        <v>3</v>
      </c>
      <c r="F49" s="15"/>
      <c r="G49" s="15"/>
      <c r="H49" s="24"/>
      <c r="I49" s="24"/>
      <c r="J49" s="19"/>
      <c r="K49" s="19"/>
      <c r="L49" s="24"/>
      <c r="M49" s="34"/>
      <c r="N49" s="24"/>
      <c r="O49" s="3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22">
        <v>205000</v>
      </c>
      <c r="CO49" s="222">
        <v>150000</v>
      </c>
      <c r="CP49" s="222">
        <v>189000</v>
      </c>
      <c r="CQ49" s="34"/>
      <c r="CR49" s="34"/>
      <c r="CS49" s="34"/>
      <c r="CT49" s="34"/>
      <c r="CU49" s="34"/>
      <c r="CV49" s="34"/>
      <c r="CW49" s="34"/>
      <c r="CX49" s="34"/>
      <c r="CY49" s="34"/>
      <c r="CZ49" s="34"/>
      <c r="DA49" s="34"/>
      <c r="DB49" s="34"/>
      <c r="DC49" s="34"/>
      <c r="DD49" s="34"/>
      <c r="DE49" s="63">
        <f t="shared" si="14"/>
        <v>189000</v>
      </c>
      <c r="DF49" s="63">
        <f t="shared" si="15"/>
        <v>181333.33333333334</v>
      </c>
      <c r="DG49" s="64">
        <f t="shared" si="16"/>
        <v>28290.163190291707</v>
      </c>
      <c r="DH49" s="65">
        <f t="shared" si="17"/>
        <v>0.1560119293582263</v>
      </c>
      <c r="DI49" s="287">
        <f t="shared" si="3"/>
        <v>158823.5294117647</v>
      </c>
      <c r="DJ49" s="287">
        <f t="shared" si="4"/>
        <v>30176.470588235294</v>
      </c>
      <c r="DK49" s="285">
        <f t="shared" si="1"/>
        <v>189000</v>
      </c>
      <c r="DL49" s="286">
        <f t="shared" si="2"/>
        <v>567000</v>
      </c>
      <c r="DM49" s="76" t="s">
        <v>66</v>
      </c>
    </row>
    <row r="50" spans="1:117" s="3" customFormat="1" ht="87" x14ac:dyDescent="0.35">
      <c r="A50" s="300">
        <v>44</v>
      </c>
      <c r="B50" s="46" t="s">
        <v>134</v>
      </c>
      <c r="C50" s="46" t="s">
        <v>135</v>
      </c>
      <c r="D50" s="46" t="s">
        <v>127</v>
      </c>
      <c r="E50" s="115">
        <v>2</v>
      </c>
      <c r="F50" s="15"/>
      <c r="G50" s="15"/>
      <c r="H50" s="24"/>
      <c r="I50" s="24"/>
      <c r="J50" s="19"/>
      <c r="K50" s="19"/>
      <c r="L50" s="24"/>
      <c r="M50" s="34"/>
      <c r="N50" s="24"/>
      <c r="O50" s="3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22">
        <v>430000</v>
      </c>
      <c r="CO50" s="222">
        <v>540000</v>
      </c>
      <c r="CP50" s="222">
        <v>500000</v>
      </c>
      <c r="CQ50" s="34"/>
      <c r="CR50" s="34"/>
      <c r="CS50" s="34"/>
      <c r="CT50" s="34"/>
      <c r="CU50" s="34"/>
      <c r="CV50" s="34"/>
      <c r="CW50" s="34"/>
      <c r="CX50" s="34"/>
      <c r="CY50" s="34"/>
      <c r="CZ50" s="34"/>
      <c r="DA50" s="34"/>
      <c r="DB50" s="34"/>
      <c r="DC50" s="34"/>
      <c r="DD50" s="34"/>
      <c r="DE50" s="63">
        <f t="shared" si="14"/>
        <v>500000</v>
      </c>
      <c r="DF50" s="63">
        <f t="shared" si="15"/>
        <v>490000</v>
      </c>
      <c r="DG50" s="64">
        <f t="shared" si="16"/>
        <v>55677.643628300219</v>
      </c>
      <c r="DH50" s="65">
        <f t="shared" si="17"/>
        <v>0.1136278441393882</v>
      </c>
      <c r="DI50" s="287">
        <f t="shared" si="3"/>
        <v>411764.70588235295</v>
      </c>
      <c r="DJ50" s="287">
        <f t="shared" si="4"/>
        <v>78235.294117647063</v>
      </c>
      <c r="DK50" s="285">
        <f t="shared" si="1"/>
        <v>490000</v>
      </c>
      <c r="DL50" s="286">
        <f t="shared" si="2"/>
        <v>980000</v>
      </c>
      <c r="DM50" s="76" t="s">
        <v>65</v>
      </c>
    </row>
    <row r="51" spans="1:117" s="3" customFormat="1" ht="58" x14ac:dyDescent="0.35">
      <c r="A51" s="300">
        <v>45</v>
      </c>
      <c r="B51" s="46" t="s">
        <v>136</v>
      </c>
      <c r="C51" s="46" t="s">
        <v>137</v>
      </c>
      <c r="D51" s="46" t="s">
        <v>64</v>
      </c>
      <c r="E51" s="115">
        <v>5</v>
      </c>
      <c r="F51" s="15"/>
      <c r="G51" s="15"/>
      <c r="H51" s="24"/>
      <c r="I51" s="24"/>
      <c r="J51" s="19"/>
      <c r="K51" s="19"/>
      <c r="L51" s="24"/>
      <c r="M51" s="34"/>
      <c r="N51" s="24"/>
      <c r="O51" s="3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22">
        <v>70000</v>
      </c>
      <c r="CO51" s="222">
        <v>85000</v>
      </c>
      <c r="CP51" s="222">
        <v>90000</v>
      </c>
      <c r="CQ51" s="34"/>
      <c r="CR51" s="34"/>
      <c r="CS51" s="34"/>
      <c r="CT51" s="34"/>
      <c r="CU51" s="34"/>
      <c r="CV51" s="34"/>
      <c r="CW51" s="34"/>
      <c r="CX51" s="34"/>
      <c r="CY51" s="34"/>
      <c r="CZ51" s="34"/>
      <c r="DA51" s="34"/>
      <c r="DB51" s="34"/>
      <c r="DC51" s="34"/>
      <c r="DD51" s="34"/>
      <c r="DE51" s="63">
        <f>MEDIAN(CN51,CO51,CP51)</f>
        <v>85000</v>
      </c>
      <c r="DF51" s="63">
        <f t="shared" si="15"/>
        <v>81666.666666666672</v>
      </c>
      <c r="DG51" s="64">
        <f t="shared" si="16"/>
        <v>10408.329997330695</v>
      </c>
      <c r="DH51" s="65">
        <f t="shared" si="17"/>
        <v>0.12744893874282481</v>
      </c>
      <c r="DI51" s="287">
        <f t="shared" si="3"/>
        <v>68627.731092436981</v>
      </c>
      <c r="DJ51" s="287">
        <f t="shared" si="4"/>
        <v>13039.268907563026</v>
      </c>
      <c r="DK51" s="285">
        <f>ROUNDUP(IF(DH51&lt;15%,DF51,DE51),0)</f>
        <v>81667</v>
      </c>
      <c r="DL51" s="286">
        <f t="shared" si="2"/>
        <v>408335</v>
      </c>
      <c r="DM51" s="76" t="s">
        <v>65</v>
      </c>
    </row>
    <row r="52" spans="1:117" s="6" customFormat="1" ht="15" thickBot="1" x14ac:dyDescent="0.4">
      <c r="A52" s="434" t="s">
        <v>138</v>
      </c>
      <c r="B52" s="435"/>
      <c r="C52" s="435"/>
      <c r="D52" s="435"/>
      <c r="E52" s="436"/>
      <c r="F52" s="16"/>
      <c r="G52" s="52"/>
      <c r="H52" s="20"/>
      <c r="I52" s="22"/>
      <c r="J52" s="22"/>
      <c r="K52" s="22"/>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c r="CG52" s="25"/>
      <c r="CH52" s="25"/>
      <c r="CI52" s="25"/>
      <c r="CJ52" s="25"/>
      <c r="CK52" s="25"/>
      <c r="CL52" s="25"/>
      <c r="CM52" s="25"/>
      <c r="CN52" s="25"/>
      <c r="CO52" s="25"/>
      <c r="CP52" s="25"/>
      <c r="CQ52" s="25"/>
      <c r="CR52" s="25"/>
      <c r="CS52" s="25"/>
      <c r="CT52" s="25"/>
      <c r="CU52" s="25"/>
      <c r="CV52" s="25"/>
      <c r="CW52" s="25"/>
      <c r="CX52" s="25"/>
      <c r="CY52" s="25"/>
      <c r="CZ52" s="25"/>
      <c r="DA52" s="25"/>
      <c r="DB52" s="25"/>
      <c r="DC52" s="25"/>
      <c r="DD52" s="25"/>
      <c r="DE52" s="282">
        <f>+SUM(DE7:DE43)</f>
        <v>31848624.175785709</v>
      </c>
      <c r="DF52" s="282">
        <f>+SUM(DF7:DF43)</f>
        <v>32384267.156652372</v>
      </c>
      <c r="DG52" s="282">
        <f>+SUM(DG7:DG43)</f>
        <v>5181324.3285808805</v>
      </c>
      <c r="DH52" s="282"/>
      <c r="DI52" s="282"/>
      <c r="DJ52" s="282"/>
      <c r="DK52" s="282">
        <f>+SUM(DK7:DK51)</f>
        <v>33801399</v>
      </c>
      <c r="DL52" s="282">
        <f>+SUM(DL7:DL51)</f>
        <v>408755202</v>
      </c>
      <c r="DM52" s="283"/>
    </row>
    <row r="53" spans="1:117" ht="15" thickBot="1" x14ac:dyDescent="0.4">
      <c r="DL53" s="119"/>
    </row>
    <row r="54" spans="1:117" s="6" customFormat="1" ht="88.5" customHeight="1" thickBot="1" x14ac:dyDescent="0.4">
      <c r="A54" s="431" t="s">
        <v>1040</v>
      </c>
      <c r="B54" s="432"/>
      <c r="C54" s="432"/>
      <c r="D54" s="432"/>
      <c r="E54" s="432"/>
      <c r="F54" s="432"/>
      <c r="G54" s="432"/>
      <c r="H54" s="432"/>
      <c r="I54" s="432"/>
      <c r="J54" s="432"/>
      <c r="K54" s="432"/>
      <c r="L54" s="432"/>
      <c r="M54" s="432"/>
      <c r="N54" s="432"/>
      <c r="O54" s="432"/>
      <c r="P54" s="432"/>
      <c r="Q54" s="432"/>
      <c r="R54" s="432"/>
      <c r="S54" s="432"/>
      <c r="T54" s="432"/>
      <c r="U54" s="432"/>
      <c r="V54" s="432"/>
      <c r="W54" s="432"/>
      <c r="X54" s="432"/>
      <c r="Y54" s="432"/>
      <c r="Z54" s="432"/>
      <c r="AA54" s="432"/>
      <c r="AB54" s="432"/>
      <c r="AC54" s="432"/>
      <c r="AD54" s="432"/>
      <c r="AE54" s="432"/>
      <c r="AF54" s="432"/>
      <c r="AG54" s="432"/>
      <c r="AH54" s="432"/>
      <c r="AI54" s="432"/>
      <c r="AJ54" s="432"/>
      <c r="AK54" s="432"/>
      <c r="AL54" s="432"/>
      <c r="AM54" s="432"/>
      <c r="AN54" s="432"/>
      <c r="AO54" s="432"/>
      <c r="AP54" s="432"/>
      <c r="AQ54" s="432"/>
      <c r="AR54" s="432"/>
      <c r="AS54" s="432"/>
      <c r="AT54" s="432"/>
      <c r="AU54" s="432"/>
      <c r="AV54" s="432"/>
      <c r="AW54" s="432"/>
      <c r="AX54" s="432"/>
      <c r="AY54" s="432"/>
      <c r="AZ54" s="432"/>
      <c r="BA54" s="432"/>
      <c r="BB54" s="432"/>
      <c r="BC54" s="432"/>
      <c r="BD54" s="432"/>
      <c r="BE54" s="432"/>
      <c r="BF54" s="432"/>
      <c r="BG54" s="432"/>
      <c r="BH54" s="432"/>
      <c r="BI54" s="432"/>
      <c r="BJ54" s="432"/>
      <c r="BK54" s="432"/>
      <c r="BL54" s="432"/>
      <c r="BM54" s="432"/>
      <c r="BN54" s="432"/>
      <c r="BO54" s="432"/>
      <c r="BP54" s="432"/>
      <c r="BQ54" s="432"/>
      <c r="BR54" s="432"/>
      <c r="BS54" s="432"/>
      <c r="BT54" s="432"/>
      <c r="BU54" s="432"/>
      <c r="BV54" s="432"/>
      <c r="BW54" s="432"/>
      <c r="BX54" s="432"/>
      <c r="BY54" s="432"/>
      <c r="BZ54" s="432"/>
      <c r="CA54" s="432"/>
      <c r="CB54" s="432"/>
      <c r="CC54" s="433"/>
      <c r="DK54" s="293"/>
      <c r="DL54" s="284"/>
      <c r="DM54" s="293"/>
    </row>
    <row r="55" spans="1:117" x14ac:dyDescent="0.35">
      <c r="DK55" s="49"/>
      <c r="DL55" s="49"/>
    </row>
  </sheetData>
  <autoFilter ref="DI6:DL52" xr:uid="{F575EDC3-0686-4B3C-AA64-921E657A26FF}"/>
  <mergeCells count="63">
    <mergeCell ref="BZ4:CA5"/>
    <mergeCell ref="DE4:DH5"/>
    <mergeCell ref="CD4:CE5"/>
    <mergeCell ref="CB4:CC5"/>
    <mergeCell ref="CN4:CN5"/>
    <mergeCell ref="CO4:CO5"/>
    <mergeCell ref="CP4:CP5"/>
    <mergeCell ref="CX4:CX5"/>
    <mergeCell ref="CZ4:CZ5"/>
    <mergeCell ref="DA4:DA5"/>
    <mergeCell ref="CY4:CY5"/>
    <mergeCell ref="CW4:CW5"/>
    <mergeCell ref="DC4:DC5"/>
    <mergeCell ref="DD4:DD5"/>
    <mergeCell ref="DB4:DB5"/>
    <mergeCell ref="A1:DM1"/>
    <mergeCell ref="A2:DM3"/>
    <mergeCell ref="A4:E5"/>
    <mergeCell ref="DK4:DM5"/>
    <mergeCell ref="CJ4:CK5"/>
    <mergeCell ref="CL4:CM5"/>
    <mergeCell ref="CH4:CI5"/>
    <mergeCell ref="CF4:CG5"/>
    <mergeCell ref="BX4:BY5"/>
    <mergeCell ref="BV4:BW5"/>
    <mergeCell ref="BF4:BG5"/>
    <mergeCell ref="BD4:BE5"/>
    <mergeCell ref="AZ4:BA5"/>
    <mergeCell ref="AP4:AQ5"/>
    <mergeCell ref="CT4:CV5"/>
    <mergeCell ref="CQ4:CS5"/>
    <mergeCell ref="BR4:BS5"/>
    <mergeCell ref="BP4:BQ5"/>
    <mergeCell ref="AJ4:AK5"/>
    <mergeCell ref="AH4:AI5"/>
    <mergeCell ref="L4:M5"/>
    <mergeCell ref="AB4:AC5"/>
    <mergeCell ref="Z4:AA5"/>
    <mergeCell ref="X4:Y5"/>
    <mergeCell ref="V4:W5"/>
    <mergeCell ref="T4:U5"/>
    <mergeCell ref="P4:Q5"/>
    <mergeCell ref="N4:O5"/>
    <mergeCell ref="AN4:AO5"/>
    <mergeCell ref="AL4:AM5"/>
    <mergeCell ref="AT4:AU5"/>
    <mergeCell ref="AR4:AS5"/>
    <mergeCell ref="A54:CC54"/>
    <mergeCell ref="A52:E52"/>
    <mergeCell ref="F4:G5"/>
    <mergeCell ref="H4:I5"/>
    <mergeCell ref="J4:K5"/>
    <mergeCell ref="BN4:BO5"/>
    <mergeCell ref="BL4:BM5"/>
    <mergeCell ref="BJ4:BK5"/>
    <mergeCell ref="BH4:BI5"/>
    <mergeCell ref="BB4:BC5"/>
    <mergeCell ref="AX4:AY5"/>
    <mergeCell ref="AV4:AW5"/>
    <mergeCell ref="AF4:AG5"/>
    <mergeCell ref="AD4:AE5"/>
    <mergeCell ref="R4:S5"/>
    <mergeCell ref="BT4:BU5"/>
  </mergeCells>
  <conditionalFormatting sqref="B43">
    <cfRule type="duplicateValues" dxfId="5" priority="1"/>
  </conditionalFormatting>
  <conditionalFormatting sqref="B44:B45">
    <cfRule type="duplicateValues" dxfId="4" priority="2"/>
  </conditionalFormatting>
  <conditionalFormatting sqref="DH7:DH51">
    <cfRule type="cellIs" dxfId="3" priority="3" operator="greaterThan">
      <formula>0.3</formula>
    </cfRule>
  </conditionalFormatting>
  <pageMargins left="0.7" right="0.7" top="0.75" bottom="0.75" header="0.3" footer="0.3"/>
  <pageSetup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CC608-D1C4-4730-AC19-D5B1C88CBE38}">
  <dimension ref="A1:FK225"/>
  <sheetViews>
    <sheetView zoomScale="62" zoomScaleNormal="85" workbookViewId="0">
      <pane xSplit="3" ySplit="6" topLeftCell="FC216" activePane="bottomRight" state="frozen"/>
      <selection pane="topRight" activeCell="D1" sqref="D1"/>
      <selection pane="bottomLeft" activeCell="A7" sqref="A7"/>
      <selection pane="bottomRight" activeCell="C154" sqref="C154"/>
    </sheetView>
  </sheetViews>
  <sheetFormatPr baseColWidth="10" defaultColWidth="10.81640625" defaultRowHeight="14.5" x14ac:dyDescent="0.35"/>
  <cols>
    <col min="1" max="1" width="10.26953125" style="27" customWidth="1"/>
    <col min="2" max="2" width="19.453125" style="27" customWidth="1"/>
    <col min="3" max="3" width="76.54296875" style="27" customWidth="1"/>
    <col min="4" max="4" width="10.81640625" style="27"/>
    <col min="5" max="5" width="18" style="27" customWidth="1"/>
    <col min="6" max="109" width="17.26953125" style="28" customWidth="1"/>
    <col min="110" max="135" width="17.7265625" style="28" customWidth="1"/>
    <col min="136" max="136" width="23.453125" style="54" customWidth="1"/>
    <col min="137" max="137" width="23.453125" style="28" customWidth="1"/>
    <col min="138" max="138" width="23.453125" style="108" customWidth="1"/>
    <col min="139" max="157" width="23.453125" style="28" customWidth="1"/>
    <col min="158" max="158" width="19.453125" style="27" customWidth="1"/>
    <col min="159" max="159" width="20.453125" style="27" customWidth="1"/>
    <col min="160" max="160" width="16.7265625" style="27" customWidth="1"/>
    <col min="161" max="163" width="27.81640625" style="27" customWidth="1"/>
    <col min="164" max="164" width="14.81640625" style="27" customWidth="1"/>
    <col min="165" max="165" width="20.1796875" style="27" customWidth="1"/>
    <col min="166" max="166" width="51.453125" style="27" customWidth="1"/>
    <col min="167" max="16384" width="10.81640625" style="27"/>
  </cols>
  <sheetData>
    <row r="1" spans="1:166" ht="15" thickBot="1" x14ac:dyDescent="0.4">
      <c r="A1" s="490"/>
      <c r="B1" s="491"/>
      <c r="C1" s="491"/>
      <c r="D1" s="491"/>
      <c r="E1" s="491"/>
      <c r="F1" s="491"/>
      <c r="G1" s="491"/>
      <c r="H1" s="491"/>
      <c r="I1" s="491"/>
      <c r="J1" s="492"/>
    </row>
    <row r="2" spans="1:166" x14ac:dyDescent="0.35">
      <c r="A2" s="448" t="s">
        <v>0</v>
      </c>
      <c r="B2" s="449"/>
      <c r="C2" s="449"/>
      <c r="D2" s="44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c r="BS2" s="449"/>
      <c r="BT2" s="449"/>
      <c r="BU2" s="449"/>
      <c r="BV2" s="449"/>
      <c r="BW2" s="449"/>
      <c r="BX2" s="449"/>
      <c r="BY2" s="449"/>
      <c r="BZ2" s="449"/>
      <c r="CA2" s="449"/>
      <c r="CB2" s="449"/>
      <c r="CC2" s="449"/>
      <c r="CD2" s="449"/>
      <c r="CE2" s="449"/>
      <c r="CF2" s="449"/>
      <c r="CG2" s="449"/>
      <c r="CH2" s="449"/>
      <c r="CI2" s="449"/>
      <c r="CJ2" s="449"/>
      <c r="CK2" s="449"/>
      <c r="CL2" s="449"/>
      <c r="CM2" s="449"/>
      <c r="CN2" s="449"/>
      <c r="CO2" s="449"/>
      <c r="CP2" s="449"/>
      <c r="CQ2" s="449"/>
      <c r="CR2" s="449"/>
      <c r="CS2" s="449"/>
      <c r="CT2" s="449"/>
      <c r="CU2" s="449"/>
      <c r="CV2" s="449"/>
      <c r="CW2" s="449"/>
      <c r="CX2" s="449"/>
      <c r="CY2" s="449"/>
      <c r="CZ2" s="449"/>
      <c r="DA2" s="449"/>
      <c r="DB2" s="449"/>
      <c r="DC2" s="449"/>
      <c r="DD2" s="449"/>
      <c r="DE2" s="449"/>
      <c r="DF2" s="449"/>
      <c r="DG2" s="449"/>
      <c r="DH2" s="449"/>
      <c r="DI2" s="449"/>
      <c r="DJ2" s="449"/>
      <c r="DK2" s="449"/>
      <c r="DL2" s="449"/>
      <c r="DM2" s="449"/>
      <c r="DN2" s="449"/>
      <c r="DO2" s="449"/>
      <c r="DP2" s="449"/>
      <c r="DQ2" s="449"/>
      <c r="DR2" s="449"/>
      <c r="DS2" s="449"/>
      <c r="DT2" s="449"/>
      <c r="DU2" s="449"/>
      <c r="DV2" s="449"/>
      <c r="DW2" s="449"/>
      <c r="DX2" s="449"/>
      <c r="DY2" s="449"/>
      <c r="DZ2" s="449"/>
      <c r="EA2" s="449"/>
      <c r="EB2" s="449"/>
      <c r="EC2" s="449"/>
      <c r="ED2" s="449"/>
      <c r="EE2" s="449"/>
      <c r="EF2" s="449"/>
      <c r="EG2" s="449"/>
      <c r="EH2" s="449"/>
      <c r="EI2" s="449"/>
      <c r="EJ2" s="449"/>
      <c r="EK2" s="449"/>
      <c r="EL2" s="449"/>
      <c r="EM2" s="449"/>
      <c r="EN2" s="449"/>
      <c r="EO2" s="449"/>
      <c r="EP2" s="449"/>
      <c r="EQ2" s="449"/>
      <c r="ER2" s="449"/>
      <c r="ES2" s="449"/>
      <c r="ET2" s="449"/>
      <c r="EU2" s="449"/>
      <c r="EV2" s="449"/>
      <c r="EW2" s="449"/>
      <c r="EX2" s="449"/>
      <c r="EY2" s="449"/>
      <c r="EZ2" s="449"/>
      <c r="FA2" s="449"/>
      <c r="FB2" s="449"/>
      <c r="FC2" s="449"/>
      <c r="FD2" s="449"/>
      <c r="FE2" s="449"/>
      <c r="FF2" s="449"/>
      <c r="FG2" s="449"/>
      <c r="FH2" s="449"/>
      <c r="FI2" s="449"/>
      <c r="FJ2" s="449"/>
    </row>
    <row r="3" spans="1:166" x14ac:dyDescent="0.35">
      <c r="A3" s="448"/>
      <c r="B3" s="449"/>
      <c r="C3" s="449"/>
      <c r="D3" s="449"/>
      <c r="E3" s="449"/>
      <c r="F3" s="449"/>
      <c r="G3" s="449"/>
      <c r="H3" s="449"/>
      <c r="I3" s="449"/>
      <c r="J3" s="449"/>
      <c r="K3" s="449"/>
      <c r="L3" s="449"/>
      <c r="M3" s="449"/>
      <c r="N3" s="449"/>
      <c r="O3" s="449"/>
      <c r="P3" s="449"/>
      <c r="Q3" s="449"/>
      <c r="R3" s="449"/>
      <c r="S3" s="449"/>
      <c r="T3" s="449"/>
      <c r="U3" s="449"/>
      <c r="V3" s="449"/>
      <c r="W3" s="449"/>
      <c r="X3" s="449"/>
      <c r="Y3" s="449"/>
      <c r="Z3" s="449"/>
      <c r="AA3" s="449"/>
      <c r="AB3" s="449"/>
      <c r="AC3" s="449"/>
      <c r="AD3" s="449"/>
      <c r="AE3" s="449"/>
      <c r="AF3" s="449"/>
      <c r="AG3" s="449"/>
      <c r="AH3" s="449"/>
      <c r="AI3" s="449"/>
      <c r="AJ3" s="449"/>
      <c r="AK3" s="449"/>
      <c r="AL3" s="449"/>
      <c r="AM3" s="449"/>
      <c r="AN3" s="449"/>
      <c r="AO3" s="449"/>
      <c r="AP3" s="449"/>
      <c r="AQ3" s="449"/>
      <c r="AR3" s="449"/>
      <c r="AS3" s="449"/>
      <c r="AT3" s="449"/>
      <c r="AU3" s="449"/>
      <c r="AV3" s="449"/>
      <c r="AW3" s="449"/>
      <c r="AX3" s="449"/>
      <c r="AY3" s="449"/>
      <c r="AZ3" s="449"/>
      <c r="BA3" s="449"/>
      <c r="BB3" s="449"/>
      <c r="BC3" s="449"/>
      <c r="BD3" s="449"/>
      <c r="BE3" s="449"/>
      <c r="BF3" s="449"/>
      <c r="BG3" s="449"/>
      <c r="BH3" s="449"/>
      <c r="BI3" s="449"/>
      <c r="BJ3" s="449"/>
      <c r="BK3" s="449"/>
      <c r="BL3" s="449"/>
      <c r="BM3" s="449"/>
      <c r="BN3" s="449"/>
      <c r="BO3" s="449"/>
      <c r="BP3" s="449"/>
      <c r="BQ3" s="449"/>
      <c r="BR3" s="449"/>
      <c r="BS3" s="449"/>
      <c r="BT3" s="449"/>
      <c r="BU3" s="449"/>
      <c r="BV3" s="449"/>
      <c r="BW3" s="449"/>
      <c r="BX3" s="449"/>
      <c r="BY3" s="449"/>
      <c r="BZ3" s="449"/>
      <c r="CA3" s="449"/>
      <c r="CB3" s="449"/>
      <c r="CC3" s="449"/>
      <c r="CD3" s="449"/>
      <c r="CE3" s="449"/>
      <c r="CF3" s="449"/>
      <c r="CG3" s="449"/>
      <c r="CH3" s="449"/>
      <c r="CI3" s="449"/>
      <c r="CJ3" s="449"/>
      <c r="CK3" s="449"/>
      <c r="CL3" s="449"/>
      <c r="CM3" s="449"/>
      <c r="CN3" s="449"/>
      <c r="CO3" s="449"/>
      <c r="CP3" s="449"/>
      <c r="CQ3" s="449"/>
      <c r="CR3" s="449"/>
      <c r="CS3" s="449"/>
      <c r="CT3" s="449"/>
      <c r="CU3" s="449"/>
      <c r="CV3" s="449"/>
      <c r="CW3" s="449"/>
      <c r="CX3" s="449"/>
      <c r="CY3" s="449"/>
      <c r="CZ3" s="449"/>
      <c r="DA3" s="449"/>
      <c r="DB3" s="449"/>
      <c r="DC3" s="449"/>
      <c r="DD3" s="449"/>
      <c r="DE3" s="449"/>
      <c r="DF3" s="449"/>
      <c r="DG3" s="449"/>
      <c r="DH3" s="449"/>
      <c r="DI3" s="449"/>
      <c r="DJ3" s="449"/>
      <c r="DK3" s="449"/>
      <c r="DL3" s="449"/>
      <c r="DM3" s="449"/>
      <c r="DN3" s="449"/>
      <c r="DO3" s="449"/>
      <c r="DP3" s="449"/>
      <c r="DQ3" s="449"/>
      <c r="DR3" s="449"/>
      <c r="DS3" s="449"/>
      <c r="DT3" s="449"/>
      <c r="DU3" s="449"/>
      <c r="DV3" s="449"/>
      <c r="DW3" s="449"/>
      <c r="DX3" s="449"/>
      <c r="DY3" s="449"/>
      <c r="DZ3" s="449"/>
      <c r="EA3" s="449"/>
      <c r="EB3" s="449"/>
      <c r="EC3" s="449"/>
      <c r="ED3" s="449"/>
      <c r="EE3" s="449"/>
      <c r="EF3" s="449"/>
      <c r="EG3" s="449"/>
      <c r="EH3" s="449"/>
      <c r="EI3" s="449"/>
      <c r="EJ3" s="449"/>
      <c r="EK3" s="449"/>
      <c r="EL3" s="449"/>
      <c r="EM3" s="449"/>
      <c r="EN3" s="449"/>
      <c r="EO3" s="449"/>
      <c r="EP3" s="449"/>
      <c r="EQ3" s="449"/>
      <c r="ER3" s="449"/>
      <c r="ES3" s="449"/>
      <c r="ET3" s="449"/>
      <c r="EU3" s="449"/>
      <c r="EV3" s="449"/>
      <c r="EW3" s="449"/>
      <c r="EX3" s="449"/>
      <c r="EY3" s="449"/>
      <c r="EZ3" s="449"/>
      <c r="FA3" s="449"/>
      <c r="FB3" s="449"/>
      <c r="FC3" s="449"/>
      <c r="FD3" s="449"/>
      <c r="FE3" s="449"/>
      <c r="FF3" s="449"/>
      <c r="FG3" s="449"/>
      <c r="FH3" s="449"/>
      <c r="FI3" s="449"/>
      <c r="FJ3" s="449"/>
    </row>
    <row r="4" spans="1:166" ht="39" customHeight="1" x14ac:dyDescent="0.35">
      <c r="A4" s="493" t="s">
        <v>874</v>
      </c>
      <c r="B4" s="494"/>
      <c r="C4" s="494"/>
      <c r="D4" s="494"/>
      <c r="E4" s="495"/>
      <c r="F4" s="499" t="s">
        <v>139</v>
      </c>
      <c r="G4" s="499"/>
      <c r="H4" s="443" t="s">
        <v>140</v>
      </c>
      <c r="I4" s="503"/>
      <c r="J4" s="499" t="s">
        <v>141</v>
      </c>
      <c r="K4" s="499"/>
      <c r="L4" s="500" t="s">
        <v>142</v>
      </c>
      <c r="M4" s="500"/>
      <c r="N4" s="501" t="s">
        <v>143</v>
      </c>
      <c r="O4" s="502"/>
      <c r="P4" s="500" t="s">
        <v>144</v>
      </c>
      <c r="Q4" s="500"/>
      <c r="R4" s="499" t="s">
        <v>145</v>
      </c>
      <c r="S4" s="499"/>
      <c r="T4" s="500" t="s">
        <v>146</v>
      </c>
      <c r="U4" s="500"/>
      <c r="V4" s="501" t="s">
        <v>147</v>
      </c>
      <c r="W4" s="501"/>
      <c r="X4" s="500" t="s">
        <v>148</v>
      </c>
      <c r="Y4" s="500"/>
      <c r="Z4" s="499" t="s">
        <v>149</v>
      </c>
      <c r="AA4" s="499"/>
      <c r="AB4" s="500" t="s">
        <v>150</v>
      </c>
      <c r="AC4" s="500"/>
      <c r="AD4" s="489" t="s">
        <v>12</v>
      </c>
      <c r="AE4" s="489"/>
      <c r="AF4" s="443" t="s">
        <v>151</v>
      </c>
      <c r="AG4" s="443"/>
      <c r="AH4" s="444" t="s">
        <v>152</v>
      </c>
      <c r="AI4" s="444"/>
      <c r="AJ4" s="443" t="s">
        <v>153</v>
      </c>
      <c r="AK4" s="443"/>
      <c r="AL4" s="489" t="s">
        <v>154</v>
      </c>
      <c r="AM4" s="489"/>
      <c r="AN4" s="443" t="s">
        <v>155</v>
      </c>
      <c r="AO4" s="443"/>
      <c r="AP4" s="444" t="s">
        <v>156</v>
      </c>
      <c r="AQ4" s="444"/>
      <c r="AR4" s="443" t="s">
        <v>157</v>
      </c>
      <c r="AS4" s="443"/>
      <c r="AT4" s="444" t="s">
        <v>158</v>
      </c>
      <c r="AU4" s="444"/>
      <c r="AV4" s="443" t="s">
        <v>159</v>
      </c>
      <c r="AW4" s="443"/>
      <c r="AX4" s="489" t="s">
        <v>160</v>
      </c>
      <c r="AY4" s="489"/>
      <c r="AZ4" s="443" t="s">
        <v>161</v>
      </c>
      <c r="BA4" s="443"/>
      <c r="BB4" s="444" t="s">
        <v>162</v>
      </c>
      <c r="BC4" s="444"/>
      <c r="BD4" s="443" t="s">
        <v>163</v>
      </c>
      <c r="BE4" s="443"/>
      <c r="BF4" s="489" t="s">
        <v>164</v>
      </c>
      <c r="BG4" s="489"/>
      <c r="BH4" s="443" t="s">
        <v>165</v>
      </c>
      <c r="BI4" s="443"/>
      <c r="BJ4" s="444" t="s">
        <v>166</v>
      </c>
      <c r="BK4" s="444"/>
      <c r="BL4" s="443" t="s">
        <v>167</v>
      </c>
      <c r="BM4" s="443"/>
      <c r="BN4" s="489" t="s">
        <v>168</v>
      </c>
      <c r="BO4" s="489"/>
      <c r="BP4" s="443" t="s">
        <v>169</v>
      </c>
      <c r="BQ4" s="443"/>
      <c r="BR4" s="444" t="s">
        <v>170</v>
      </c>
      <c r="BS4" s="444"/>
      <c r="BT4" s="443" t="s">
        <v>171</v>
      </c>
      <c r="BU4" s="443"/>
      <c r="BV4" s="444" t="s">
        <v>172</v>
      </c>
      <c r="BW4" s="444"/>
      <c r="BX4" s="443" t="s">
        <v>173</v>
      </c>
      <c r="BY4" s="443"/>
      <c r="BZ4" s="444" t="s">
        <v>174</v>
      </c>
      <c r="CA4" s="444"/>
      <c r="CB4" s="443" t="s">
        <v>175</v>
      </c>
      <c r="CC4" s="443"/>
      <c r="CD4" s="444" t="s">
        <v>176</v>
      </c>
      <c r="CE4" s="444"/>
      <c r="CF4" s="443" t="s">
        <v>177</v>
      </c>
      <c r="CG4" s="443"/>
      <c r="CH4" s="444" t="s">
        <v>178</v>
      </c>
      <c r="CI4" s="444"/>
      <c r="CJ4" s="443" t="s">
        <v>179</v>
      </c>
      <c r="CK4" s="443"/>
      <c r="CL4" s="463"/>
      <c r="CM4" s="483"/>
      <c r="CN4" s="462" t="s">
        <v>180</v>
      </c>
      <c r="CO4" s="462"/>
      <c r="CP4" s="508" t="s">
        <v>39</v>
      </c>
      <c r="CQ4" s="508"/>
      <c r="CR4" s="462" t="s">
        <v>181</v>
      </c>
      <c r="CS4" s="462"/>
      <c r="CT4" s="463" t="s">
        <v>182</v>
      </c>
      <c r="CU4" s="463"/>
      <c r="CV4" s="462" t="s">
        <v>183</v>
      </c>
      <c r="CW4" s="462"/>
      <c r="CX4" s="508" t="s">
        <v>184</v>
      </c>
      <c r="CY4" s="508"/>
      <c r="CZ4" s="462" t="s">
        <v>185</v>
      </c>
      <c r="DA4" s="462"/>
      <c r="DB4" s="444" t="s">
        <v>186</v>
      </c>
      <c r="DC4" s="444"/>
      <c r="DD4" s="479" t="s">
        <v>187</v>
      </c>
      <c r="DE4" s="479"/>
      <c r="DF4" s="444" t="s">
        <v>188</v>
      </c>
      <c r="DG4" s="444"/>
      <c r="DH4" s="443" t="s">
        <v>189</v>
      </c>
      <c r="DI4" s="443"/>
      <c r="DJ4" s="444" t="s">
        <v>190</v>
      </c>
      <c r="DK4" s="444"/>
      <c r="DL4" s="443" t="s">
        <v>191</v>
      </c>
      <c r="DM4" s="443"/>
      <c r="DN4" s="444" t="s">
        <v>192</v>
      </c>
      <c r="DO4" s="444"/>
      <c r="DP4" s="443" t="s">
        <v>193</v>
      </c>
      <c r="DQ4" s="443"/>
      <c r="DR4" s="481" t="s">
        <v>194</v>
      </c>
      <c r="DS4" s="481"/>
      <c r="DT4" s="441" t="s">
        <v>21</v>
      </c>
      <c r="DU4" s="441"/>
      <c r="DV4" s="444" t="s">
        <v>195</v>
      </c>
      <c r="DW4" s="444"/>
      <c r="DX4" s="443" t="s">
        <v>196</v>
      </c>
      <c r="DY4" s="443"/>
      <c r="DZ4" s="444" t="s">
        <v>197</v>
      </c>
      <c r="EA4" s="444"/>
      <c r="EB4" s="443" t="s">
        <v>198</v>
      </c>
      <c r="EC4" s="443"/>
      <c r="ED4" s="444" t="s">
        <v>199</v>
      </c>
      <c r="EE4" s="444"/>
      <c r="EF4" s="480" t="s">
        <v>200</v>
      </c>
      <c r="EG4" s="442" t="s">
        <v>201</v>
      </c>
      <c r="EH4" s="480" t="s">
        <v>202</v>
      </c>
      <c r="EI4" s="464" t="s">
        <v>44</v>
      </c>
      <c r="EJ4" s="443" t="s">
        <v>186</v>
      </c>
      <c r="EK4" s="443"/>
      <c r="EL4" s="444" t="s">
        <v>12</v>
      </c>
      <c r="EM4" s="444"/>
      <c r="EN4" s="504" t="s">
        <v>203</v>
      </c>
      <c r="EO4" s="504"/>
      <c r="EP4" s="482" t="s">
        <v>204</v>
      </c>
      <c r="EQ4" s="482"/>
      <c r="ER4" s="470" t="s">
        <v>899</v>
      </c>
      <c r="ES4" s="470"/>
      <c r="ET4" s="470"/>
      <c r="EU4" s="399" t="s">
        <v>898</v>
      </c>
      <c r="EV4" s="399"/>
      <c r="EW4" s="399"/>
      <c r="EX4" s="509" t="s">
        <v>1068</v>
      </c>
      <c r="EY4" s="511" t="s">
        <v>1069</v>
      </c>
      <c r="EZ4" s="444" t="s">
        <v>457</v>
      </c>
      <c r="FA4" s="505" t="s">
        <v>460</v>
      </c>
      <c r="FB4" s="465" t="s">
        <v>47</v>
      </c>
      <c r="FC4" s="465"/>
      <c r="FD4" s="465"/>
      <c r="FE4" s="466"/>
      <c r="FF4" s="265"/>
      <c r="FG4" s="265"/>
      <c r="FH4" s="456" t="s">
        <v>48</v>
      </c>
      <c r="FI4" s="457"/>
      <c r="FJ4" s="458"/>
    </row>
    <row r="5" spans="1:166" ht="39" customHeight="1" x14ac:dyDescent="0.35">
      <c r="A5" s="496"/>
      <c r="B5" s="497"/>
      <c r="C5" s="497"/>
      <c r="D5" s="497"/>
      <c r="E5" s="498"/>
      <c r="F5" s="499"/>
      <c r="G5" s="499"/>
      <c r="H5" s="503"/>
      <c r="I5" s="503"/>
      <c r="J5" s="499"/>
      <c r="K5" s="499"/>
      <c r="L5" s="500"/>
      <c r="M5" s="500"/>
      <c r="N5" s="502"/>
      <c r="O5" s="502"/>
      <c r="P5" s="500"/>
      <c r="Q5" s="500"/>
      <c r="R5" s="499"/>
      <c r="S5" s="499"/>
      <c r="T5" s="500"/>
      <c r="U5" s="500"/>
      <c r="V5" s="501"/>
      <c r="W5" s="501"/>
      <c r="X5" s="500"/>
      <c r="Y5" s="500"/>
      <c r="Z5" s="499"/>
      <c r="AA5" s="499"/>
      <c r="AB5" s="500"/>
      <c r="AC5" s="500"/>
      <c r="AD5" s="489"/>
      <c r="AE5" s="489"/>
      <c r="AF5" s="443"/>
      <c r="AG5" s="443"/>
      <c r="AH5" s="444"/>
      <c r="AI5" s="444"/>
      <c r="AJ5" s="443"/>
      <c r="AK5" s="443"/>
      <c r="AL5" s="489"/>
      <c r="AM5" s="489"/>
      <c r="AN5" s="443"/>
      <c r="AO5" s="443"/>
      <c r="AP5" s="444"/>
      <c r="AQ5" s="444"/>
      <c r="AR5" s="443"/>
      <c r="AS5" s="443"/>
      <c r="AT5" s="444"/>
      <c r="AU5" s="444"/>
      <c r="AV5" s="443"/>
      <c r="AW5" s="443"/>
      <c r="AX5" s="489"/>
      <c r="AY5" s="489"/>
      <c r="AZ5" s="443"/>
      <c r="BA5" s="443"/>
      <c r="BB5" s="444"/>
      <c r="BC5" s="444"/>
      <c r="BD5" s="443"/>
      <c r="BE5" s="443"/>
      <c r="BF5" s="489"/>
      <c r="BG5" s="489"/>
      <c r="BH5" s="443"/>
      <c r="BI5" s="443"/>
      <c r="BJ5" s="444"/>
      <c r="BK5" s="444"/>
      <c r="BL5" s="443"/>
      <c r="BM5" s="443"/>
      <c r="BN5" s="489"/>
      <c r="BO5" s="489"/>
      <c r="BP5" s="443"/>
      <c r="BQ5" s="443"/>
      <c r="BR5" s="444"/>
      <c r="BS5" s="444"/>
      <c r="BT5" s="443"/>
      <c r="BU5" s="443"/>
      <c r="BV5" s="444"/>
      <c r="BW5" s="444"/>
      <c r="BX5" s="443"/>
      <c r="BY5" s="443"/>
      <c r="BZ5" s="444"/>
      <c r="CA5" s="444"/>
      <c r="CB5" s="443"/>
      <c r="CC5" s="443"/>
      <c r="CD5" s="444"/>
      <c r="CE5" s="444"/>
      <c r="CF5" s="443"/>
      <c r="CG5" s="443"/>
      <c r="CH5" s="444"/>
      <c r="CI5" s="444"/>
      <c r="CJ5" s="443"/>
      <c r="CK5" s="443"/>
      <c r="CL5" s="484"/>
      <c r="CM5" s="485"/>
      <c r="CN5" s="462"/>
      <c r="CO5" s="462"/>
      <c r="CP5" s="508"/>
      <c r="CQ5" s="508"/>
      <c r="CR5" s="462"/>
      <c r="CS5" s="462"/>
      <c r="CT5" s="463"/>
      <c r="CU5" s="463"/>
      <c r="CV5" s="462"/>
      <c r="CW5" s="462"/>
      <c r="CX5" s="508"/>
      <c r="CY5" s="508"/>
      <c r="CZ5" s="462"/>
      <c r="DA5" s="462"/>
      <c r="DB5" s="444"/>
      <c r="DC5" s="444"/>
      <c r="DD5" s="479"/>
      <c r="DE5" s="479"/>
      <c r="DF5" s="444"/>
      <c r="DG5" s="444"/>
      <c r="DH5" s="443"/>
      <c r="DI5" s="443"/>
      <c r="DJ5" s="444"/>
      <c r="DK5" s="444"/>
      <c r="DL5" s="443"/>
      <c r="DM5" s="443"/>
      <c r="DN5" s="444"/>
      <c r="DO5" s="444"/>
      <c r="DP5" s="443"/>
      <c r="DQ5" s="443"/>
      <c r="DR5" s="481"/>
      <c r="DS5" s="481"/>
      <c r="DT5" s="441"/>
      <c r="DU5" s="441"/>
      <c r="DV5" s="444"/>
      <c r="DW5" s="444"/>
      <c r="DX5" s="443"/>
      <c r="DY5" s="443"/>
      <c r="DZ5" s="444"/>
      <c r="EA5" s="444"/>
      <c r="EB5" s="443"/>
      <c r="EC5" s="443"/>
      <c r="ED5" s="444"/>
      <c r="EE5" s="444"/>
      <c r="EF5" s="480"/>
      <c r="EG5" s="442"/>
      <c r="EH5" s="480"/>
      <c r="EI5" s="464"/>
      <c r="EJ5" s="443"/>
      <c r="EK5" s="443"/>
      <c r="EL5" s="444"/>
      <c r="EM5" s="444"/>
      <c r="EN5" s="504"/>
      <c r="EO5" s="504"/>
      <c r="EP5" s="482"/>
      <c r="EQ5" s="482"/>
      <c r="ER5" s="470"/>
      <c r="ES5" s="470"/>
      <c r="ET5" s="470"/>
      <c r="EU5" s="399"/>
      <c r="EV5" s="399"/>
      <c r="EW5" s="399"/>
      <c r="EX5" s="510"/>
      <c r="EY5" s="512"/>
      <c r="EZ5" s="444"/>
      <c r="FA5" s="506"/>
      <c r="FB5" s="467"/>
      <c r="FC5" s="467"/>
      <c r="FD5" s="467"/>
      <c r="FE5" s="468"/>
      <c r="FF5" s="266"/>
      <c r="FG5" s="266"/>
      <c r="FH5" s="459"/>
      <c r="FI5" s="460"/>
      <c r="FJ5" s="461"/>
    </row>
    <row r="6" spans="1:166" s="40" customFormat="1" ht="58" x14ac:dyDescent="0.35">
      <c r="A6" s="304" t="s">
        <v>49</v>
      </c>
      <c r="B6" s="304" t="s">
        <v>50</v>
      </c>
      <c r="C6" s="341" t="s">
        <v>51</v>
      </c>
      <c r="D6" s="305" t="s">
        <v>52</v>
      </c>
      <c r="E6" s="305" t="s">
        <v>53</v>
      </c>
      <c r="F6" s="270" t="s">
        <v>54</v>
      </c>
      <c r="G6" s="268" t="s">
        <v>55</v>
      </c>
      <c r="H6" s="270" t="s">
        <v>54</v>
      </c>
      <c r="I6" s="268" t="s">
        <v>55</v>
      </c>
      <c r="J6" s="270" t="s">
        <v>54</v>
      </c>
      <c r="K6" s="268" t="s">
        <v>55</v>
      </c>
      <c r="L6" s="270" t="s">
        <v>54</v>
      </c>
      <c r="M6" s="268" t="s">
        <v>55</v>
      </c>
      <c r="N6" s="270" t="s">
        <v>54</v>
      </c>
      <c r="O6" s="268" t="s">
        <v>55</v>
      </c>
      <c r="P6" s="270" t="s">
        <v>54</v>
      </c>
      <c r="Q6" s="268" t="s">
        <v>55</v>
      </c>
      <c r="R6" s="270" t="s">
        <v>54</v>
      </c>
      <c r="S6" s="268" t="s">
        <v>55</v>
      </c>
      <c r="T6" s="270" t="s">
        <v>54</v>
      </c>
      <c r="U6" s="268" t="s">
        <v>55</v>
      </c>
      <c r="V6" s="270" t="s">
        <v>54</v>
      </c>
      <c r="W6" s="268" t="s">
        <v>55</v>
      </c>
      <c r="X6" s="270" t="s">
        <v>54</v>
      </c>
      <c r="Y6" s="268" t="s">
        <v>55</v>
      </c>
      <c r="Z6" s="270" t="s">
        <v>54</v>
      </c>
      <c r="AA6" s="268" t="s">
        <v>55</v>
      </c>
      <c r="AB6" s="270" t="s">
        <v>54</v>
      </c>
      <c r="AC6" s="268" t="s">
        <v>55</v>
      </c>
      <c r="AD6" s="270" t="s">
        <v>54</v>
      </c>
      <c r="AE6" s="268" t="s">
        <v>55</v>
      </c>
      <c r="AF6" s="270" t="s">
        <v>54</v>
      </c>
      <c r="AG6" s="268" t="s">
        <v>55</v>
      </c>
      <c r="AH6" s="270" t="s">
        <v>54</v>
      </c>
      <c r="AI6" s="268" t="s">
        <v>55</v>
      </c>
      <c r="AJ6" s="270" t="s">
        <v>54</v>
      </c>
      <c r="AK6" s="268" t="s">
        <v>55</v>
      </c>
      <c r="AL6" s="270" t="s">
        <v>54</v>
      </c>
      <c r="AM6" s="268" t="s">
        <v>55</v>
      </c>
      <c r="AN6" s="270" t="s">
        <v>54</v>
      </c>
      <c r="AO6" s="268" t="s">
        <v>55</v>
      </c>
      <c r="AP6" s="270" t="s">
        <v>54</v>
      </c>
      <c r="AQ6" s="268" t="s">
        <v>55</v>
      </c>
      <c r="AR6" s="270" t="s">
        <v>54</v>
      </c>
      <c r="AS6" s="268" t="s">
        <v>55</v>
      </c>
      <c r="AT6" s="270" t="s">
        <v>54</v>
      </c>
      <c r="AU6" s="268" t="s">
        <v>55</v>
      </c>
      <c r="AV6" s="270" t="s">
        <v>54</v>
      </c>
      <c r="AW6" s="268" t="s">
        <v>55</v>
      </c>
      <c r="AX6" s="270" t="s">
        <v>54</v>
      </c>
      <c r="AY6" s="268" t="s">
        <v>55</v>
      </c>
      <c r="AZ6" s="270" t="s">
        <v>54</v>
      </c>
      <c r="BA6" s="268" t="s">
        <v>55</v>
      </c>
      <c r="BB6" s="270" t="s">
        <v>54</v>
      </c>
      <c r="BC6" s="268" t="s">
        <v>55</v>
      </c>
      <c r="BD6" s="270" t="s">
        <v>54</v>
      </c>
      <c r="BE6" s="268" t="s">
        <v>55</v>
      </c>
      <c r="BF6" s="270" t="s">
        <v>54</v>
      </c>
      <c r="BG6" s="268" t="s">
        <v>55</v>
      </c>
      <c r="BH6" s="270" t="s">
        <v>54</v>
      </c>
      <c r="BI6" s="268" t="s">
        <v>55</v>
      </c>
      <c r="BJ6" s="270" t="s">
        <v>54</v>
      </c>
      <c r="BK6" s="268" t="s">
        <v>55</v>
      </c>
      <c r="BL6" s="270" t="s">
        <v>54</v>
      </c>
      <c r="BM6" s="268" t="s">
        <v>55</v>
      </c>
      <c r="BN6" s="270" t="s">
        <v>54</v>
      </c>
      <c r="BO6" s="268" t="s">
        <v>55</v>
      </c>
      <c r="BP6" s="270" t="s">
        <v>54</v>
      </c>
      <c r="BQ6" s="268" t="s">
        <v>55</v>
      </c>
      <c r="BR6" s="270" t="s">
        <v>54</v>
      </c>
      <c r="BS6" s="268" t="s">
        <v>55</v>
      </c>
      <c r="BT6" s="270" t="s">
        <v>54</v>
      </c>
      <c r="BU6" s="268" t="s">
        <v>55</v>
      </c>
      <c r="BV6" s="270" t="s">
        <v>54</v>
      </c>
      <c r="BW6" s="268" t="s">
        <v>55</v>
      </c>
      <c r="BX6" s="270" t="s">
        <v>54</v>
      </c>
      <c r="BY6" s="268" t="s">
        <v>55</v>
      </c>
      <c r="BZ6" s="270" t="s">
        <v>54</v>
      </c>
      <c r="CA6" s="268" t="s">
        <v>55</v>
      </c>
      <c r="CB6" s="270" t="s">
        <v>54</v>
      </c>
      <c r="CC6" s="268" t="s">
        <v>55</v>
      </c>
      <c r="CD6" s="270" t="s">
        <v>54</v>
      </c>
      <c r="CE6" s="268" t="s">
        <v>55</v>
      </c>
      <c r="CF6" s="270" t="s">
        <v>54</v>
      </c>
      <c r="CG6" s="268" t="s">
        <v>55</v>
      </c>
      <c r="CH6" s="270" t="s">
        <v>54</v>
      </c>
      <c r="CI6" s="268" t="s">
        <v>55</v>
      </c>
      <c r="CJ6" s="270" t="s">
        <v>54</v>
      </c>
      <c r="CK6" s="268" t="s">
        <v>55</v>
      </c>
      <c r="CL6" s="270" t="s">
        <v>54</v>
      </c>
      <c r="CM6" s="268" t="s">
        <v>55</v>
      </c>
      <c r="CN6" s="270" t="s">
        <v>54</v>
      </c>
      <c r="CO6" s="268" t="s">
        <v>55</v>
      </c>
      <c r="CP6" s="270" t="s">
        <v>54</v>
      </c>
      <c r="CQ6" s="268" t="s">
        <v>55</v>
      </c>
      <c r="CR6" s="270" t="s">
        <v>54</v>
      </c>
      <c r="CS6" s="268" t="s">
        <v>55</v>
      </c>
      <c r="CT6" s="270" t="s">
        <v>54</v>
      </c>
      <c r="CU6" s="269" t="s">
        <v>55</v>
      </c>
      <c r="CV6" s="270" t="s">
        <v>54</v>
      </c>
      <c r="CW6" s="268" t="s">
        <v>55</v>
      </c>
      <c r="CX6" s="270" t="s">
        <v>54</v>
      </c>
      <c r="CY6" s="268" t="s">
        <v>55</v>
      </c>
      <c r="CZ6" s="270" t="s">
        <v>54</v>
      </c>
      <c r="DA6" s="268" t="s">
        <v>55</v>
      </c>
      <c r="DB6" s="270" t="s">
        <v>54</v>
      </c>
      <c r="DC6" s="268" t="s">
        <v>55</v>
      </c>
      <c r="DD6" s="270" t="s">
        <v>54</v>
      </c>
      <c r="DE6" s="268" t="s">
        <v>55</v>
      </c>
      <c r="DF6" s="270" t="s">
        <v>54</v>
      </c>
      <c r="DG6" s="268" t="s">
        <v>55</v>
      </c>
      <c r="DH6" s="270" t="s">
        <v>54</v>
      </c>
      <c r="DI6" s="268" t="s">
        <v>55</v>
      </c>
      <c r="DJ6" s="270" t="s">
        <v>54</v>
      </c>
      <c r="DK6" s="268" t="s">
        <v>55</v>
      </c>
      <c r="DL6" s="270" t="s">
        <v>54</v>
      </c>
      <c r="DM6" s="268" t="s">
        <v>55</v>
      </c>
      <c r="DN6" s="270" t="s">
        <v>54</v>
      </c>
      <c r="DO6" s="268" t="s">
        <v>55</v>
      </c>
      <c r="DP6" s="270" t="s">
        <v>54</v>
      </c>
      <c r="DQ6" s="268" t="s">
        <v>55</v>
      </c>
      <c r="DR6" s="270" t="s">
        <v>54</v>
      </c>
      <c r="DS6" s="268" t="s">
        <v>55</v>
      </c>
      <c r="DT6" s="270" t="s">
        <v>54</v>
      </c>
      <c r="DU6" s="268" t="s">
        <v>55</v>
      </c>
      <c r="DV6" s="270" t="s">
        <v>54</v>
      </c>
      <c r="DW6" s="268" t="s">
        <v>55</v>
      </c>
      <c r="DX6" s="270" t="s">
        <v>54</v>
      </c>
      <c r="DY6" s="268" t="s">
        <v>55</v>
      </c>
      <c r="DZ6" s="270" t="s">
        <v>54</v>
      </c>
      <c r="EA6" s="268" t="s">
        <v>55</v>
      </c>
      <c r="EB6" s="270" t="s">
        <v>54</v>
      </c>
      <c r="EC6" s="268" t="s">
        <v>55</v>
      </c>
      <c r="ED6" s="270" t="s">
        <v>54</v>
      </c>
      <c r="EE6" s="268" t="s">
        <v>55</v>
      </c>
      <c r="EF6" s="271" t="s">
        <v>54</v>
      </c>
      <c r="EG6" s="270" t="s">
        <v>54</v>
      </c>
      <c r="EH6" s="271" t="s">
        <v>54</v>
      </c>
      <c r="EI6" s="271" t="s">
        <v>54</v>
      </c>
      <c r="EJ6" s="100" t="s">
        <v>54</v>
      </c>
      <c r="EK6" s="272" t="s">
        <v>55</v>
      </c>
      <c r="EL6" s="100" t="s">
        <v>54</v>
      </c>
      <c r="EM6" s="272" t="s">
        <v>55</v>
      </c>
      <c r="EN6" s="273" t="s">
        <v>205</v>
      </c>
      <c r="EO6" s="274" t="s">
        <v>55</v>
      </c>
      <c r="EP6" s="273" t="s">
        <v>205</v>
      </c>
      <c r="EQ6" s="274" t="s">
        <v>55</v>
      </c>
      <c r="ER6" s="276" t="s">
        <v>895</v>
      </c>
      <c r="ES6" s="276" t="s">
        <v>896</v>
      </c>
      <c r="ET6" s="276" t="s">
        <v>897</v>
      </c>
      <c r="EU6" s="276" t="s">
        <v>895</v>
      </c>
      <c r="EV6" s="276" t="s">
        <v>896</v>
      </c>
      <c r="EW6" s="276" t="s">
        <v>897</v>
      </c>
      <c r="EX6" s="327" t="s">
        <v>657</v>
      </c>
      <c r="EY6" s="327" t="s">
        <v>572</v>
      </c>
      <c r="EZ6" s="100" t="s">
        <v>54</v>
      </c>
      <c r="FA6" s="100" t="s">
        <v>54</v>
      </c>
      <c r="FB6" s="306" t="s">
        <v>206</v>
      </c>
      <c r="FC6" s="307" t="s">
        <v>57</v>
      </c>
      <c r="FD6" s="307" t="s">
        <v>58</v>
      </c>
      <c r="FE6" s="308" t="s">
        <v>59</v>
      </c>
      <c r="FF6" s="85" t="s">
        <v>465</v>
      </c>
      <c r="FG6" s="85" t="s">
        <v>466</v>
      </c>
      <c r="FH6" s="309" t="s">
        <v>60</v>
      </c>
      <c r="FI6" s="309" t="s">
        <v>207</v>
      </c>
      <c r="FJ6" s="309" t="s">
        <v>61</v>
      </c>
    </row>
    <row r="7" spans="1:166" s="40" customFormat="1" ht="125.25" customHeight="1" x14ac:dyDescent="0.35">
      <c r="A7" s="36">
        <v>1</v>
      </c>
      <c r="B7" s="37" t="s">
        <v>208</v>
      </c>
      <c r="C7" s="38" t="s">
        <v>1071</v>
      </c>
      <c r="D7" s="261" t="s">
        <v>127</v>
      </c>
      <c r="E7" s="216">
        <v>70</v>
      </c>
      <c r="F7" s="228"/>
      <c r="G7" s="228"/>
      <c r="H7" s="228"/>
      <c r="I7" s="228"/>
      <c r="J7" s="228"/>
      <c r="K7" s="228"/>
      <c r="L7" s="32"/>
      <c r="M7" s="228"/>
      <c r="N7" s="32"/>
      <c r="O7" s="228"/>
      <c r="P7" s="32"/>
      <c r="Q7" s="228"/>
      <c r="R7" s="32"/>
      <c r="S7" s="228"/>
      <c r="T7" s="32"/>
      <c r="U7" s="228"/>
      <c r="V7" s="32"/>
      <c r="W7" s="228"/>
      <c r="X7" s="32"/>
      <c r="Y7" s="228"/>
      <c r="Z7" s="32"/>
      <c r="AA7" s="228"/>
      <c r="AB7" s="32"/>
      <c r="AC7" s="228"/>
      <c r="AD7" s="228"/>
      <c r="AE7" s="228"/>
      <c r="AF7" s="32"/>
      <c r="AG7" s="228"/>
      <c r="AH7" s="32"/>
      <c r="AI7" s="228"/>
      <c r="AJ7" s="32"/>
      <c r="AK7" s="228"/>
      <c r="AL7" s="32"/>
      <c r="AM7" s="228"/>
      <c r="AN7" s="32"/>
      <c r="AO7" s="228"/>
      <c r="AP7" s="32"/>
      <c r="AQ7" s="228"/>
      <c r="AR7" s="32"/>
      <c r="AS7" s="228"/>
      <c r="AT7" s="32"/>
      <c r="AU7" s="228"/>
      <c r="AV7" s="32"/>
      <c r="AW7" s="228"/>
      <c r="AX7" s="32"/>
      <c r="AY7" s="228"/>
      <c r="AZ7" s="32"/>
      <c r="BA7" s="228"/>
      <c r="BB7" s="32"/>
      <c r="BC7" s="228"/>
      <c r="BD7" s="32"/>
      <c r="BE7" s="228"/>
      <c r="BF7" s="32"/>
      <c r="BG7" s="228"/>
      <c r="BH7" s="32"/>
      <c r="BI7" s="228"/>
      <c r="BJ7" s="32"/>
      <c r="BK7" s="228"/>
      <c r="BL7" s="32"/>
      <c r="BM7" s="228"/>
      <c r="BN7" s="32"/>
      <c r="BO7" s="228"/>
      <c r="BP7" s="32"/>
      <c r="BQ7" s="228"/>
      <c r="BR7" s="32"/>
      <c r="BS7" s="228"/>
      <c r="BT7" s="32"/>
      <c r="BU7" s="228"/>
      <c r="BV7" s="32"/>
      <c r="BW7" s="228"/>
      <c r="BX7" s="32"/>
      <c r="BY7" s="228"/>
      <c r="BZ7" s="32"/>
      <c r="CA7" s="228"/>
      <c r="CB7" s="32"/>
      <c r="CC7" s="228"/>
      <c r="CD7" s="32"/>
      <c r="CE7" s="228"/>
      <c r="CF7" s="32"/>
      <c r="CG7" s="228"/>
      <c r="CH7" s="32"/>
      <c r="CI7" s="228"/>
      <c r="CJ7" s="32"/>
      <c r="CK7" s="228"/>
      <c r="CL7" s="32"/>
      <c r="CM7" s="228"/>
      <c r="CN7" s="32"/>
      <c r="CO7" s="228"/>
      <c r="CP7" s="32"/>
      <c r="CQ7" s="228"/>
      <c r="CR7" s="32"/>
      <c r="CS7" s="228"/>
      <c r="CT7" s="32"/>
      <c r="CU7" s="228"/>
      <c r="CV7" s="32"/>
      <c r="CW7" s="228"/>
      <c r="CX7" s="32"/>
      <c r="CY7" s="228"/>
      <c r="CZ7" s="32"/>
      <c r="DA7" s="228"/>
      <c r="DB7" s="32"/>
      <c r="DC7" s="228"/>
      <c r="DD7" s="32"/>
      <c r="DE7" s="228"/>
      <c r="DF7" s="32"/>
      <c r="DG7" s="228"/>
      <c r="DH7" s="32"/>
      <c r="DI7" s="228"/>
      <c r="DJ7" s="32"/>
      <c r="DK7" s="228"/>
      <c r="DL7" s="32"/>
      <c r="DM7" s="228"/>
      <c r="DN7" s="32"/>
      <c r="DO7" s="228"/>
      <c r="DP7" s="32"/>
      <c r="DQ7" s="228"/>
      <c r="DR7" s="32"/>
      <c r="DS7" s="228"/>
      <c r="DT7" s="32"/>
      <c r="DU7" s="228"/>
      <c r="DV7" s="32"/>
      <c r="DW7" s="228"/>
      <c r="DX7" s="32"/>
      <c r="DY7" s="228"/>
      <c r="DZ7" s="32"/>
      <c r="EA7" s="228"/>
      <c r="EB7" s="32"/>
      <c r="EC7" s="228"/>
      <c r="ED7" s="32"/>
      <c r="EE7" s="241"/>
      <c r="EF7" s="13">
        <v>81000</v>
      </c>
      <c r="EG7" s="310">
        <v>69500</v>
      </c>
      <c r="EH7" s="311">
        <v>75000</v>
      </c>
      <c r="EI7" s="218"/>
      <c r="EJ7" s="218"/>
      <c r="EK7" s="218"/>
      <c r="EL7" s="218"/>
      <c r="EM7" s="218"/>
      <c r="EN7" s="267" t="s">
        <v>209</v>
      </c>
      <c r="EO7" s="267" t="s">
        <v>209</v>
      </c>
      <c r="EP7" s="267" t="s">
        <v>209</v>
      </c>
      <c r="EQ7" s="267" t="s">
        <v>209</v>
      </c>
      <c r="ER7" s="267"/>
      <c r="ES7" s="267"/>
      <c r="ET7" s="267"/>
      <c r="EU7" s="267"/>
      <c r="EV7" s="267"/>
      <c r="EW7" s="267"/>
      <c r="EX7" s="24">
        <f>[1]PAPELERIA!ER6</f>
        <v>0</v>
      </c>
      <c r="EY7" s="24">
        <v>72400</v>
      </c>
      <c r="EZ7" s="34"/>
      <c r="FA7" s="34"/>
      <c r="FB7" s="59">
        <f>MEDIAN(EF7,EG7,EH7)</f>
        <v>75000</v>
      </c>
      <c r="FC7" s="59">
        <f t="shared" ref="FC7:FC43" si="0">AVERAGE(EF7,EG7,EH7)</f>
        <v>75166.666666666672</v>
      </c>
      <c r="FD7" s="60">
        <f t="shared" ref="FD7:FD43" si="1">STDEV(EF7,EG7,EH7)</f>
        <v>5751.8113089124663</v>
      </c>
      <c r="FE7" s="61">
        <f t="shared" ref="FE7:FE70" si="2">FD7/FC7</f>
        <v>7.652077129373569E-2</v>
      </c>
      <c r="FF7" s="88">
        <f t="shared" ref="FF7" si="3">FH7/1.19</f>
        <v>63165.546218487398</v>
      </c>
      <c r="FG7" s="88">
        <f t="shared" ref="FG7" si="4">+FF7*19%</f>
        <v>12001.453781512606</v>
      </c>
      <c r="FH7" s="260">
        <f t="shared" ref="FH7:FH38" si="5">ROUNDUP(IF(FE7&lt;15%,FC7,FB7),0)</f>
        <v>75167</v>
      </c>
      <c r="FI7" s="260">
        <f t="shared" ref="FI7:FI38" si="6">+FH7*E7</f>
        <v>5261690</v>
      </c>
      <c r="FJ7" s="60" t="s">
        <v>65</v>
      </c>
    </row>
    <row r="8" spans="1:166" s="40" customFormat="1" ht="101.5" x14ac:dyDescent="0.35">
      <c r="A8" s="37">
        <v>2</v>
      </c>
      <c r="B8" s="219" t="s">
        <v>210</v>
      </c>
      <c r="C8" s="210" t="s">
        <v>1072</v>
      </c>
      <c r="D8" s="249" t="s">
        <v>127</v>
      </c>
      <c r="E8" s="220">
        <v>100</v>
      </c>
      <c r="F8" s="58"/>
      <c r="G8" s="58"/>
      <c r="H8" s="58"/>
      <c r="I8" s="58"/>
      <c r="J8" s="58"/>
      <c r="K8" s="58"/>
      <c r="L8" s="15"/>
      <c r="M8" s="58"/>
      <c r="N8" s="15"/>
      <c r="O8" s="58"/>
      <c r="P8" s="15"/>
      <c r="Q8" s="58"/>
      <c r="R8" s="15"/>
      <c r="S8" s="58"/>
      <c r="T8" s="15"/>
      <c r="U8" s="58"/>
      <c r="V8" s="15"/>
      <c r="W8" s="58"/>
      <c r="X8" s="15"/>
      <c r="Y8" s="58"/>
      <c r="Z8" s="15"/>
      <c r="AA8" s="58"/>
      <c r="AB8" s="15"/>
      <c r="AC8" s="58"/>
      <c r="AD8" s="58"/>
      <c r="AE8" s="58"/>
      <c r="AF8" s="15"/>
      <c r="AG8" s="58"/>
      <c r="AH8" s="15"/>
      <c r="AI8" s="58"/>
      <c r="AJ8" s="15"/>
      <c r="AK8" s="58"/>
      <c r="AL8" s="15"/>
      <c r="AM8" s="58"/>
      <c r="AN8" s="15"/>
      <c r="AO8" s="58"/>
      <c r="AP8" s="15"/>
      <c r="AQ8" s="58"/>
      <c r="AR8" s="15"/>
      <c r="AS8" s="58"/>
      <c r="AT8" s="15"/>
      <c r="AU8" s="58"/>
      <c r="AV8" s="15"/>
      <c r="AW8" s="58"/>
      <c r="AX8" s="15"/>
      <c r="AY8" s="58"/>
      <c r="AZ8" s="15"/>
      <c r="BA8" s="58"/>
      <c r="BB8" s="15"/>
      <c r="BC8" s="58"/>
      <c r="BD8" s="15"/>
      <c r="BE8" s="58"/>
      <c r="BF8" s="15"/>
      <c r="BG8" s="58"/>
      <c r="BH8" s="15"/>
      <c r="BI8" s="58"/>
      <c r="BJ8" s="15"/>
      <c r="BK8" s="58"/>
      <c r="BL8" s="15"/>
      <c r="BM8" s="58"/>
      <c r="BN8" s="15"/>
      <c r="BO8" s="58"/>
      <c r="BP8" s="15"/>
      <c r="BQ8" s="58"/>
      <c r="BR8" s="15"/>
      <c r="BS8" s="58"/>
      <c r="BT8" s="15"/>
      <c r="BU8" s="58"/>
      <c r="BV8" s="15"/>
      <c r="BW8" s="58"/>
      <c r="BX8" s="15"/>
      <c r="BY8" s="58"/>
      <c r="BZ8" s="15"/>
      <c r="CA8" s="58"/>
      <c r="CB8" s="15"/>
      <c r="CC8" s="58"/>
      <c r="CD8" s="15"/>
      <c r="CE8" s="58"/>
      <c r="CF8" s="15"/>
      <c r="CG8" s="58"/>
      <c r="CH8" s="15"/>
      <c r="CI8" s="58"/>
      <c r="CJ8" s="15"/>
      <c r="CK8" s="58"/>
      <c r="CL8" s="15"/>
      <c r="CM8" s="58"/>
      <c r="CN8" s="15"/>
      <c r="CO8" s="58"/>
      <c r="CP8" s="15"/>
      <c r="CQ8" s="58"/>
      <c r="CR8" s="15"/>
      <c r="CS8" s="58"/>
      <c r="CT8" s="15"/>
      <c r="CU8" s="58"/>
      <c r="CV8" s="15"/>
      <c r="CW8" s="58"/>
      <c r="CX8" s="15"/>
      <c r="CY8" s="58"/>
      <c r="CZ8" s="15"/>
      <c r="DA8" s="58"/>
      <c r="DB8" s="15"/>
      <c r="DC8" s="58"/>
      <c r="DD8" s="15"/>
      <c r="DE8" s="58"/>
      <c r="DF8" s="32"/>
      <c r="DG8" s="58"/>
      <c r="DH8" s="32"/>
      <c r="DI8" s="58"/>
      <c r="DJ8" s="32"/>
      <c r="DK8" s="58"/>
      <c r="DL8" s="32"/>
      <c r="DM8" s="58"/>
      <c r="DN8" s="32"/>
      <c r="DO8" s="58"/>
      <c r="DP8" s="32"/>
      <c r="DQ8" s="58"/>
      <c r="DR8" s="32"/>
      <c r="DS8" s="58"/>
      <c r="DT8" s="32"/>
      <c r="DU8" s="58"/>
      <c r="DV8" s="32"/>
      <c r="DW8" s="58"/>
      <c r="DX8" s="32"/>
      <c r="DY8" s="58"/>
      <c r="DZ8" s="32"/>
      <c r="EA8" s="58"/>
      <c r="EB8" s="32"/>
      <c r="EC8" s="58"/>
      <c r="ED8" s="32"/>
      <c r="EE8" s="217"/>
      <c r="EF8" s="8">
        <v>192000</v>
      </c>
      <c r="EG8" s="312">
        <v>190500</v>
      </c>
      <c r="EH8" s="236">
        <v>180000</v>
      </c>
      <c r="EI8" s="218"/>
      <c r="EJ8" s="218"/>
      <c r="EK8" s="218"/>
      <c r="EL8" s="218"/>
      <c r="EM8" s="218"/>
      <c r="EN8" s="246" t="s">
        <v>209</v>
      </c>
      <c r="EO8" s="246" t="s">
        <v>209</v>
      </c>
      <c r="EP8" s="246" t="s">
        <v>209</v>
      </c>
      <c r="EQ8" s="246" t="s">
        <v>209</v>
      </c>
      <c r="ER8" s="246"/>
      <c r="ES8" s="246"/>
      <c r="ET8" s="246"/>
      <c r="EU8" s="246"/>
      <c r="EV8" s="246"/>
      <c r="EW8" s="246"/>
      <c r="EX8" s="246"/>
      <c r="EY8" s="246"/>
      <c r="EZ8" s="246"/>
      <c r="FA8" s="246"/>
      <c r="FB8" s="59">
        <f t="shared" ref="FB8:FB43" si="7">MEDIAN(EF8,EG8,EH8)</f>
        <v>190500</v>
      </c>
      <c r="FC8" s="59">
        <f t="shared" si="0"/>
        <v>187500</v>
      </c>
      <c r="FD8" s="60">
        <f t="shared" si="1"/>
        <v>6538.3484153110103</v>
      </c>
      <c r="FE8" s="61">
        <f t="shared" si="2"/>
        <v>3.4871191548325388E-2</v>
      </c>
      <c r="FF8" s="88">
        <f t="shared" ref="FF8:FF71" si="8">FH8/1.19</f>
        <v>157563.02521008404</v>
      </c>
      <c r="FG8" s="88">
        <f t="shared" ref="FG8:FG71" si="9">+FF8*19%</f>
        <v>29936.97478991597</v>
      </c>
      <c r="FH8" s="260">
        <f t="shared" si="5"/>
        <v>187500</v>
      </c>
      <c r="FI8" s="260">
        <f t="shared" si="6"/>
        <v>18750000</v>
      </c>
      <c r="FJ8" s="60" t="s">
        <v>65</v>
      </c>
    </row>
    <row r="9" spans="1:166" s="40" customFormat="1" ht="101.5" x14ac:dyDescent="0.35">
      <c r="A9" s="37">
        <v>3</v>
      </c>
      <c r="B9" s="219" t="s">
        <v>210</v>
      </c>
      <c r="C9" s="210" t="s">
        <v>1073</v>
      </c>
      <c r="D9" s="249" t="s">
        <v>127</v>
      </c>
      <c r="E9" s="220">
        <v>100</v>
      </c>
      <c r="F9" s="58"/>
      <c r="G9" s="58"/>
      <c r="H9" s="58"/>
      <c r="I9" s="58"/>
      <c r="J9" s="58"/>
      <c r="K9" s="58"/>
      <c r="L9" s="15"/>
      <c r="M9" s="58"/>
      <c r="N9" s="15"/>
      <c r="O9" s="58"/>
      <c r="P9" s="15"/>
      <c r="Q9" s="58"/>
      <c r="R9" s="15"/>
      <c r="S9" s="58"/>
      <c r="T9" s="15"/>
      <c r="U9" s="58"/>
      <c r="V9" s="15"/>
      <c r="W9" s="58"/>
      <c r="X9" s="15"/>
      <c r="Y9" s="58"/>
      <c r="Z9" s="15"/>
      <c r="AA9" s="58"/>
      <c r="AB9" s="15"/>
      <c r="AC9" s="58"/>
      <c r="AD9" s="58"/>
      <c r="AE9" s="58"/>
      <c r="AF9" s="15"/>
      <c r="AG9" s="58"/>
      <c r="AH9" s="15"/>
      <c r="AI9" s="58"/>
      <c r="AJ9" s="15"/>
      <c r="AK9" s="58"/>
      <c r="AL9" s="15"/>
      <c r="AM9" s="58"/>
      <c r="AN9" s="15"/>
      <c r="AO9" s="58"/>
      <c r="AP9" s="15"/>
      <c r="AQ9" s="58"/>
      <c r="AR9" s="15"/>
      <c r="AS9" s="58"/>
      <c r="AT9" s="15"/>
      <c r="AU9" s="58"/>
      <c r="AV9" s="15"/>
      <c r="AW9" s="58"/>
      <c r="AX9" s="15"/>
      <c r="AY9" s="58"/>
      <c r="AZ9" s="15"/>
      <c r="BA9" s="58"/>
      <c r="BB9" s="15"/>
      <c r="BC9" s="58"/>
      <c r="BD9" s="15"/>
      <c r="BE9" s="58"/>
      <c r="BF9" s="15"/>
      <c r="BG9" s="58"/>
      <c r="BH9" s="15"/>
      <c r="BI9" s="58"/>
      <c r="BJ9" s="15"/>
      <c r="BK9" s="58"/>
      <c r="BL9" s="15"/>
      <c r="BM9" s="58"/>
      <c r="BN9" s="15"/>
      <c r="BO9" s="58"/>
      <c r="BP9" s="15"/>
      <c r="BQ9" s="58"/>
      <c r="BR9" s="15"/>
      <c r="BS9" s="58"/>
      <c r="BT9" s="15"/>
      <c r="BU9" s="58"/>
      <c r="BV9" s="15"/>
      <c r="BW9" s="58"/>
      <c r="BX9" s="15"/>
      <c r="BY9" s="58"/>
      <c r="BZ9" s="15"/>
      <c r="CA9" s="58"/>
      <c r="CB9" s="15"/>
      <c r="CC9" s="58"/>
      <c r="CD9" s="15"/>
      <c r="CE9" s="58"/>
      <c r="CF9" s="15"/>
      <c r="CG9" s="58"/>
      <c r="CH9" s="15"/>
      <c r="CI9" s="58"/>
      <c r="CJ9" s="15"/>
      <c r="CK9" s="58"/>
      <c r="CL9" s="15"/>
      <c r="CM9" s="58"/>
      <c r="CN9" s="15"/>
      <c r="CO9" s="58"/>
      <c r="CP9" s="15"/>
      <c r="CQ9" s="58"/>
      <c r="CR9" s="15"/>
      <c r="CS9" s="58"/>
      <c r="CT9" s="15"/>
      <c r="CU9" s="58"/>
      <c r="CV9" s="15"/>
      <c r="CW9" s="58"/>
      <c r="CX9" s="15"/>
      <c r="CY9" s="58"/>
      <c r="CZ9" s="15"/>
      <c r="DA9" s="58"/>
      <c r="DB9" s="15"/>
      <c r="DC9" s="58"/>
      <c r="DD9" s="15"/>
      <c r="DE9" s="58"/>
      <c r="DF9" s="32"/>
      <c r="DG9" s="58"/>
      <c r="DH9" s="32"/>
      <c r="DI9" s="58"/>
      <c r="DJ9" s="32"/>
      <c r="DK9" s="58"/>
      <c r="DL9" s="32"/>
      <c r="DM9" s="58"/>
      <c r="DN9" s="32"/>
      <c r="DO9" s="58"/>
      <c r="DP9" s="32"/>
      <c r="DQ9" s="58"/>
      <c r="DR9" s="32"/>
      <c r="DS9" s="58"/>
      <c r="DT9" s="32"/>
      <c r="DU9" s="58"/>
      <c r="DV9" s="32"/>
      <c r="DW9" s="58"/>
      <c r="DX9" s="32"/>
      <c r="DY9" s="58"/>
      <c r="DZ9" s="32"/>
      <c r="EA9" s="58"/>
      <c r="EB9" s="32"/>
      <c r="EC9" s="58"/>
      <c r="ED9" s="32"/>
      <c r="EE9" s="217"/>
      <c r="EF9" s="8">
        <v>192000</v>
      </c>
      <c r="EG9" s="312">
        <v>190500</v>
      </c>
      <c r="EH9" s="236">
        <v>180000</v>
      </c>
      <c r="EI9" s="218"/>
      <c r="EJ9" s="218"/>
      <c r="EK9" s="218"/>
      <c r="EL9" s="218"/>
      <c r="EM9" s="218"/>
      <c r="EN9" s="246" t="s">
        <v>209</v>
      </c>
      <c r="EO9" s="246" t="s">
        <v>209</v>
      </c>
      <c r="EP9" s="246" t="s">
        <v>209</v>
      </c>
      <c r="EQ9" s="246" t="s">
        <v>209</v>
      </c>
      <c r="ER9" s="246"/>
      <c r="ES9" s="246"/>
      <c r="ET9" s="246"/>
      <c r="EU9" s="246"/>
      <c r="EV9" s="246"/>
      <c r="EW9" s="246"/>
      <c r="EX9" s="246"/>
      <c r="EY9" s="246"/>
      <c r="EZ9" s="246"/>
      <c r="FA9" s="246"/>
      <c r="FB9" s="59">
        <f t="shared" si="7"/>
        <v>190500</v>
      </c>
      <c r="FC9" s="59">
        <f t="shared" ref="FC9:FC10" si="10">AVERAGE(EF9,EG9,EH9)</f>
        <v>187500</v>
      </c>
      <c r="FD9" s="60">
        <f t="shared" si="1"/>
        <v>6538.3484153110103</v>
      </c>
      <c r="FE9" s="61">
        <f t="shared" si="2"/>
        <v>3.4871191548325388E-2</v>
      </c>
      <c r="FF9" s="88">
        <f t="shared" si="8"/>
        <v>157563.02521008404</v>
      </c>
      <c r="FG9" s="88">
        <f t="shared" si="9"/>
        <v>29936.97478991597</v>
      </c>
      <c r="FH9" s="260">
        <f t="shared" si="5"/>
        <v>187500</v>
      </c>
      <c r="FI9" s="260">
        <f t="shared" si="6"/>
        <v>18750000</v>
      </c>
      <c r="FJ9" s="60" t="s">
        <v>65</v>
      </c>
    </row>
    <row r="10" spans="1:166" s="40" customFormat="1" ht="101.5" x14ac:dyDescent="0.35">
      <c r="A10" s="37">
        <v>4</v>
      </c>
      <c r="B10" s="219" t="s">
        <v>210</v>
      </c>
      <c r="C10" s="210" t="s">
        <v>1074</v>
      </c>
      <c r="D10" s="249" t="s">
        <v>127</v>
      </c>
      <c r="E10" s="220">
        <v>50</v>
      </c>
      <c r="F10" s="58"/>
      <c r="G10" s="58"/>
      <c r="H10" s="58"/>
      <c r="I10" s="58"/>
      <c r="J10" s="58"/>
      <c r="K10" s="58"/>
      <c r="L10" s="15"/>
      <c r="M10" s="58"/>
      <c r="N10" s="15"/>
      <c r="O10" s="58"/>
      <c r="P10" s="15"/>
      <c r="Q10" s="58"/>
      <c r="R10" s="15"/>
      <c r="S10" s="58"/>
      <c r="T10" s="15"/>
      <c r="U10" s="58"/>
      <c r="V10" s="15"/>
      <c r="W10" s="58"/>
      <c r="X10" s="15"/>
      <c r="Y10" s="58"/>
      <c r="Z10" s="15"/>
      <c r="AA10" s="58"/>
      <c r="AB10" s="15"/>
      <c r="AC10" s="58"/>
      <c r="AD10" s="58"/>
      <c r="AE10" s="58"/>
      <c r="AF10" s="15"/>
      <c r="AG10" s="58"/>
      <c r="AH10" s="15"/>
      <c r="AI10" s="58"/>
      <c r="AJ10" s="15"/>
      <c r="AK10" s="58"/>
      <c r="AL10" s="15"/>
      <c r="AM10" s="58"/>
      <c r="AN10" s="15"/>
      <c r="AO10" s="58"/>
      <c r="AP10" s="15"/>
      <c r="AQ10" s="58"/>
      <c r="AR10" s="15"/>
      <c r="AS10" s="58"/>
      <c r="AT10" s="15"/>
      <c r="AU10" s="58"/>
      <c r="AV10" s="15"/>
      <c r="AW10" s="58"/>
      <c r="AX10" s="15"/>
      <c r="AY10" s="58"/>
      <c r="AZ10" s="15"/>
      <c r="BA10" s="58"/>
      <c r="BB10" s="15"/>
      <c r="BC10" s="58"/>
      <c r="BD10" s="15"/>
      <c r="BE10" s="58"/>
      <c r="BF10" s="15"/>
      <c r="BG10" s="58"/>
      <c r="BH10" s="15"/>
      <c r="BI10" s="58"/>
      <c r="BJ10" s="15"/>
      <c r="BK10" s="58"/>
      <c r="BL10" s="15"/>
      <c r="BM10" s="58"/>
      <c r="BN10" s="15"/>
      <c r="BO10" s="58"/>
      <c r="BP10" s="15"/>
      <c r="BQ10" s="58"/>
      <c r="BR10" s="15"/>
      <c r="BS10" s="58"/>
      <c r="BT10" s="15"/>
      <c r="BU10" s="58"/>
      <c r="BV10" s="15"/>
      <c r="BW10" s="58"/>
      <c r="BX10" s="15"/>
      <c r="BY10" s="58"/>
      <c r="BZ10" s="15"/>
      <c r="CA10" s="58"/>
      <c r="CB10" s="15"/>
      <c r="CC10" s="58"/>
      <c r="CD10" s="15"/>
      <c r="CE10" s="58"/>
      <c r="CF10" s="15"/>
      <c r="CG10" s="58"/>
      <c r="CH10" s="15"/>
      <c r="CI10" s="58"/>
      <c r="CJ10" s="15"/>
      <c r="CK10" s="58"/>
      <c r="CL10" s="15"/>
      <c r="CM10" s="58"/>
      <c r="CN10" s="15"/>
      <c r="CO10" s="58"/>
      <c r="CP10" s="15"/>
      <c r="CQ10" s="58"/>
      <c r="CR10" s="15"/>
      <c r="CS10" s="58"/>
      <c r="CT10" s="15"/>
      <c r="CU10" s="58"/>
      <c r="CV10" s="15"/>
      <c r="CW10" s="58"/>
      <c r="CX10" s="15"/>
      <c r="CY10" s="58"/>
      <c r="CZ10" s="15"/>
      <c r="DA10" s="58"/>
      <c r="DB10" s="15"/>
      <c r="DC10" s="58"/>
      <c r="DD10" s="15"/>
      <c r="DE10" s="58"/>
      <c r="DF10" s="32"/>
      <c r="DG10" s="58"/>
      <c r="DH10" s="32"/>
      <c r="DI10" s="58"/>
      <c r="DJ10" s="32"/>
      <c r="DK10" s="58"/>
      <c r="DL10" s="32"/>
      <c r="DM10" s="58"/>
      <c r="DN10" s="32"/>
      <c r="DO10" s="58"/>
      <c r="DP10" s="32"/>
      <c r="DQ10" s="58"/>
      <c r="DR10" s="32"/>
      <c r="DS10" s="58"/>
      <c r="DT10" s="32"/>
      <c r="DU10" s="58"/>
      <c r="DV10" s="32"/>
      <c r="DW10" s="58"/>
      <c r="DX10" s="32"/>
      <c r="DY10" s="58"/>
      <c r="DZ10" s="32"/>
      <c r="EA10" s="58"/>
      <c r="EB10" s="32"/>
      <c r="EC10" s="58"/>
      <c r="ED10" s="32"/>
      <c r="EE10" s="217"/>
      <c r="EF10" s="8">
        <v>192000</v>
      </c>
      <c r="EG10" s="312">
        <v>190500</v>
      </c>
      <c r="EH10" s="236">
        <v>180000</v>
      </c>
      <c r="EI10" s="218"/>
      <c r="EJ10" s="218"/>
      <c r="EK10" s="218"/>
      <c r="EL10" s="218"/>
      <c r="EM10" s="218"/>
      <c r="EN10" s="246" t="s">
        <v>209</v>
      </c>
      <c r="EO10" s="246" t="s">
        <v>209</v>
      </c>
      <c r="EP10" s="246" t="s">
        <v>209</v>
      </c>
      <c r="EQ10" s="246" t="s">
        <v>209</v>
      </c>
      <c r="ER10" s="246"/>
      <c r="ES10" s="246"/>
      <c r="ET10" s="246"/>
      <c r="EU10" s="246"/>
      <c r="EV10" s="246"/>
      <c r="EW10" s="246"/>
      <c r="EX10" s="246"/>
      <c r="EY10" s="246"/>
      <c r="EZ10" s="246"/>
      <c r="FA10" s="246"/>
      <c r="FB10" s="59">
        <f t="shared" si="7"/>
        <v>190500</v>
      </c>
      <c r="FC10" s="59">
        <f t="shared" si="10"/>
        <v>187500</v>
      </c>
      <c r="FD10" s="60">
        <f t="shared" si="1"/>
        <v>6538.3484153110103</v>
      </c>
      <c r="FE10" s="61">
        <f t="shared" si="2"/>
        <v>3.4871191548325388E-2</v>
      </c>
      <c r="FF10" s="88">
        <f t="shared" si="8"/>
        <v>157563.02521008404</v>
      </c>
      <c r="FG10" s="88">
        <f t="shared" si="9"/>
        <v>29936.97478991597</v>
      </c>
      <c r="FH10" s="260">
        <f t="shared" si="5"/>
        <v>187500</v>
      </c>
      <c r="FI10" s="260">
        <f t="shared" si="6"/>
        <v>9375000</v>
      </c>
      <c r="FJ10" s="60" t="s">
        <v>65</v>
      </c>
    </row>
    <row r="11" spans="1:166" s="40" customFormat="1" ht="130.5" x14ac:dyDescent="0.35">
      <c r="A11" s="36">
        <v>5</v>
      </c>
      <c r="B11" s="37" t="s">
        <v>211</v>
      </c>
      <c r="C11" s="38" t="s">
        <v>1075</v>
      </c>
      <c r="D11" s="249" t="s">
        <v>127</v>
      </c>
      <c r="E11" s="220">
        <v>30</v>
      </c>
      <c r="F11" s="58"/>
      <c r="G11" s="58"/>
      <c r="H11" s="58"/>
      <c r="I11" s="58"/>
      <c r="J11" s="58"/>
      <c r="K11" s="58"/>
      <c r="L11" s="15"/>
      <c r="M11" s="58"/>
      <c r="N11" s="15"/>
      <c r="O11" s="58"/>
      <c r="P11" s="15"/>
      <c r="Q11" s="58"/>
      <c r="R11" s="15"/>
      <c r="S11" s="58"/>
      <c r="T11" s="15"/>
      <c r="U11" s="58"/>
      <c r="V11" s="15"/>
      <c r="W11" s="58"/>
      <c r="X11" s="15"/>
      <c r="Y11" s="58"/>
      <c r="Z11" s="15"/>
      <c r="AA11" s="58"/>
      <c r="AB11" s="15"/>
      <c r="AC11" s="58"/>
      <c r="AD11" s="58"/>
      <c r="AE11" s="58"/>
      <c r="AF11" s="15"/>
      <c r="AG11" s="58"/>
      <c r="AH11" s="15"/>
      <c r="AI11" s="58"/>
      <c r="AJ11" s="15"/>
      <c r="AK11" s="58"/>
      <c r="AL11" s="15"/>
      <c r="AM11" s="58"/>
      <c r="AN11" s="15"/>
      <c r="AO11" s="58"/>
      <c r="AP11" s="15"/>
      <c r="AQ11" s="58"/>
      <c r="AR11" s="15"/>
      <c r="AS11" s="58"/>
      <c r="AT11" s="15"/>
      <c r="AU11" s="58"/>
      <c r="AV11" s="15"/>
      <c r="AW11" s="58"/>
      <c r="AX11" s="15"/>
      <c r="AY11" s="58"/>
      <c r="AZ11" s="15"/>
      <c r="BA11" s="58"/>
      <c r="BB11" s="15"/>
      <c r="BC11" s="58"/>
      <c r="BD11" s="15"/>
      <c r="BE11" s="58"/>
      <c r="BF11" s="15"/>
      <c r="BG11" s="58"/>
      <c r="BH11" s="15"/>
      <c r="BI11" s="58"/>
      <c r="BJ11" s="15"/>
      <c r="BK11" s="58"/>
      <c r="BL11" s="15"/>
      <c r="BM11" s="58"/>
      <c r="BN11" s="15"/>
      <c r="BO11" s="58"/>
      <c r="BP11" s="15"/>
      <c r="BQ11" s="58"/>
      <c r="BR11" s="15"/>
      <c r="BS11" s="58"/>
      <c r="BT11" s="15"/>
      <c r="BU11" s="58"/>
      <c r="BV11" s="15"/>
      <c r="BW11" s="58"/>
      <c r="BX11" s="15"/>
      <c r="BY11" s="58"/>
      <c r="BZ11" s="15"/>
      <c r="CA11" s="58"/>
      <c r="CB11" s="15"/>
      <c r="CC11" s="58"/>
      <c r="CD11" s="15"/>
      <c r="CE11" s="58"/>
      <c r="CF11" s="15"/>
      <c r="CG11" s="58"/>
      <c r="CH11" s="15"/>
      <c r="CI11" s="58"/>
      <c r="CJ11" s="15"/>
      <c r="CK11" s="58"/>
      <c r="CL11" s="15"/>
      <c r="CM11" s="58"/>
      <c r="CN11" s="15"/>
      <c r="CO11" s="58"/>
      <c r="CP11" s="15"/>
      <c r="CQ11" s="58"/>
      <c r="CR11" s="15"/>
      <c r="CS11" s="58"/>
      <c r="CT11" s="15"/>
      <c r="CU11" s="58"/>
      <c r="CV11" s="15"/>
      <c r="CW11" s="58"/>
      <c r="CX11" s="15"/>
      <c r="CY11" s="58"/>
      <c r="CZ11" s="15"/>
      <c r="DA11" s="58"/>
      <c r="DB11" s="15"/>
      <c r="DC11" s="58"/>
      <c r="DD11" s="15"/>
      <c r="DE11" s="58"/>
      <c r="DF11" s="32"/>
      <c r="DG11" s="58"/>
      <c r="DH11" s="32"/>
      <c r="DI11" s="58"/>
      <c r="DJ11" s="32"/>
      <c r="DK11" s="58"/>
      <c r="DL11" s="32"/>
      <c r="DM11" s="58"/>
      <c r="DN11" s="32"/>
      <c r="DO11" s="58"/>
      <c r="DP11" s="32"/>
      <c r="DQ11" s="58"/>
      <c r="DR11" s="32"/>
      <c r="DS11" s="58"/>
      <c r="DT11" s="32"/>
      <c r="DU11" s="58"/>
      <c r="DV11" s="32"/>
      <c r="DW11" s="58"/>
      <c r="DX11" s="32"/>
      <c r="DY11" s="58"/>
      <c r="DZ11" s="32"/>
      <c r="EA11" s="58"/>
      <c r="EB11" s="32"/>
      <c r="EC11" s="58"/>
      <c r="ED11" s="32"/>
      <c r="EE11" s="217"/>
      <c r="EF11" s="8">
        <v>37500</v>
      </c>
      <c r="EG11" s="312">
        <v>37500</v>
      </c>
      <c r="EH11" s="236">
        <v>37000</v>
      </c>
      <c r="EI11" s="218"/>
      <c r="EJ11" s="218"/>
      <c r="EK11" s="218"/>
      <c r="EL11" s="218"/>
      <c r="EM11" s="218"/>
      <c r="EN11" s="246" t="s">
        <v>209</v>
      </c>
      <c r="EO11" s="246" t="s">
        <v>209</v>
      </c>
      <c r="EP11" s="246" t="s">
        <v>209</v>
      </c>
      <c r="EQ11" s="246" t="s">
        <v>209</v>
      </c>
      <c r="ER11" s="246"/>
      <c r="ES11" s="246"/>
      <c r="ET11" s="246"/>
      <c r="EU11" s="246"/>
      <c r="EV11" s="246"/>
      <c r="EW11" s="246"/>
      <c r="EX11" s="246"/>
      <c r="EY11" s="246"/>
      <c r="EZ11" s="246"/>
      <c r="FA11" s="246"/>
      <c r="FB11" s="59">
        <f t="shared" si="7"/>
        <v>37500</v>
      </c>
      <c r="FC11" s="59">
        <f t="shared" si="0"/>
        <v>37333.333333333336</v>
      </c>
      <c r="FD11" s="60">
        <f t="shared" si="1"/>
        <v>288.67513459481285</v>
      </c>
      <c r="FE11" s="61">
        <f t="shared" si="2"/>
        <v>7.7323696766467718E-3</v>
      </c>
      <c r="FF11" s="88">
        <f t="shared" si="8"/>
        <v>31373.10924369748</v>
      </c>
      <c r="FG11" s="88">
        <f t="shared" si="9"/>
        <v>5960.8907563025214</v>
      </c>
      <c r="FH11" s="260">
        <f t="shared" si="5"/>
        <v>37334</v>
      </c>
      <c r="FI11" s="260">
        <f t="shared" si="6"/>
        <v>1120020</v>
      </c>
      <c r="FJ11" s="60" t="s">
        <v>65</v>
      </c>
    </row>
    <row r="12" spans="1:166" s="40" customFormat="1" ht="87" x14ac:dyDescent="0.35">
      <c r="A12" s="37">
        <v>6</v>
      </c>
      <c r="B12" s="37" t="s">
        <v>900</v>
      </c>
      <c r="C12" s="38" t="s">
        <v>1076</v>
      </c>
      <c r="D12" s="249" t="s">
        <v>212</v>
      </c>
      <c r="E12" s="220">
        <v>30</v>
      </c>
      <c r="F12" s="58"/>
      <c r="G12" s="58"/>
      <c r="H12" s="58"/>
      <c r="I12" s="58"/>
      <c r="J12" s="58"/>
      <c r="K12" s="58"/>
      <c r="L12" s="15"/>
      <c r="M12" s="58"/>
      <c r="N12" s="15"/>
      <c r="O12" s="58"/>
      <c r="P12" s="15"/>
      <c r="Q12" s="58"/>
      <c r="R12" s="15"/>
      <c r="S12" s="58"/>
      <c r="T12" s="15"/>
      <c r="U12" s="58"/>
      <c r="V12" s="15"/>
      <c r="W12" s="58"/>
      <c r="X12" s="15"/>
      <c r="Y12" s="58"/>
      <c r="Z12" s="15"/>
      <c r="AA12" s="58"/>
      <c r="AB12" s="15"/>
      <c r="AC12" s="58"/>
      <c r="AD12" s="58"/>
      <c r="AE12" s="58"/>
      <c r="AF12" s="15"/>
      <c r="AG12" s="58"/>
      <c r="AH12" s="15"/>
      <c r="AI12" s="58"/>
      <c r="AJ12" s="15"/>
      <c r="AK12" s="58"/>
      <c r="AL12" s="15"/>
      <c r="AM12" s="58"/>
      <c r="AN12" s="15"/>
      <c r="AO12" s="58"/>
      <c r="AP12" s="15"/>
      <c r="AQ12" s="58"/>
      <c r="AR12" s="15"/>
      <c r="AS12" s="58"/>
      <c r="AT12" s="15"/>
      <c r="AU12" s="58"/>
      <c r="AV12" s="15"/>
      <c r="AW12" s="58"/>
      <c r="AX12" s="15"/>
      <c r="AY12" s="58"/>
      <c r="AZ12" s="15"/>
      <c r="BA12" s="58"/>
      <c r="BB12" s="15"/>
      <c r="BC12" s="58"/>
      <c r="BD12" s="15"/>
      <c r="BE12" s="58"/>
      <c r="BF12" s="15"/>
      <c r="BG12" s="58"/>
      <c r="BH12" s="15"/>
      <c r="BI12" s="58"/>
      <c r="BJ12" s="15"/>
      <c r="BK12" s="58"/>
      <c r="BL12" s="15"/>
      <c r="BM12" s="58"/>
      <c r="BN12" s="15"/>
      <c r="BO12" s="58"/>
      <c r="BP12" s="15"/>
      <c r="BQ12" s="58"/>
      <c r="BR12" s="15"/>
      <c r="BS12" s="58"/>
      <c r="BT12" s="15"/>
      <c r="BU12" s="58"/>
      <c r="BV12" s="15"/>
      <c r="BW12" s="58"/>
      <c r="BX12" s="15"/>
      <c r="BY12" s="58"/>
      <c r="BZ12" s="15"/>
      <c r="CA12" s="58"/>
      <c r="CB12" s="15"/>
      <c r="CC12" s="58"/>
      <c r="CD12" s="15"/>
      <c r="CE12" s="58"/>
      <c r="CF12" s="15"/>
      <c r="CG12" s="58"/>
      <c r="CH12" s="15"/>
      <c r="CI12" s="58"/>
      <c r="CJ12" s="15"/>
      <c r="CK12" s="58"/>
      <c r="CL12" s="15"/>
      <c r="CM12" s="58"/>
      <c r="CN12" s="15"/>
      <c r="CO12" s="58"/>
      <c r="CP12" s="15"/>
      <c r="CQ12" s="58"/>
      <c r="CR12" s="15"/>
      <c r="CS12" s="58"/>
      <c r="CT12" s="15"/>
      <c r="CU12" s="58"/>
      <c r="CV12" s="15"/>
      <c r="CW12" s="58"/>
      <c r="CX12" s="15"/>
      <c r="CY12" s="58"/>
      <c r="CZ12" s="15"/>
      <c r="DA12" s="58"/>
      <c r="DB12" s="15"/>
      <c r="DC12" s="58"/>
      <c r="DD12" s="15"/>
      <c r="DE12" s="58"/>
      <c r="DF12" s="32"/>
      <c r="DG12" s="58"/>
      <c r="DH12" s="32"/>
      <c r="DI12" s="58"/>
      <c r="DJ12" s="32"/>
      <c r="DK12" s="58"/>
      <c r="DL12" s="32"/>
      <c r="DM12" s="58"/>
      <c r="DN12" s="32"/>
      <c r="DO12" s="58"/>
      <c r="DP12" s="32"/>
      <c r="DQ12" s="58"/>
      <c r="DR12" s="32"/>
      <c r="DS12" s="58"/>
      <c r="DT12" s="32"/>
      <c r="DU12" s="58"/>
      <c r="DV12" s="32"/>
      <c r="DW12" s="58"/>
      <c r="DX12" s="32"/>
      <c r="DY12" s="58"/>
      <c r="DZ12" s="32"/>
      <c r="EA12" s="58"/>
      <c r="EB12" s="32"/>
      <c r="EC12" s="58"/>
      <c r="ED12" s="32"/>
      <c r="EE12" s="217"/>
      <c r="EF12" s="8">
        <v>145000</v>
      </c>
      <c r="EG12" s="312">
        <v>145200</v>
      </c>
      <c r="EH12" s="236">
        <v>143000</v>
      </c>
      <c r="EI12" s="218"/>
      <c r="EJ12" s="218"/>
      <c r="EK12" s="218"/>
      <c r="EL12" s="218"/>
      <c r="EM12" s="218"/>
      <c r="EN12" s="246" t="s">
        <v>209</v>
      </c>
      <c r="EO12" s="246" t="s">
        <v>209</v>
      </c>
      <c r="EP12" s="246" t="s">
        <v>209</v>
      </c>
      <c r="EQ12" s="246" t="s">
        <v>209</v>
      </c>
      <c r="ER12" s="246"/>
      <c r="ES12" s="246"/>
      <c r="ET12" s="246"/>
      <c r="EU12" s="246"/>
      <c r="EV12" s="246"/>
      <c r="EW12" s="246"/>
      <c r="EX12" s="246"/>
      <c r="EY12" s="246"/>
      <c r="EZ12" s="246"/>
      <c r="FA12" s="246"/>
      <c r="FB12" s="59">
        <f t="shared" si="7"/>
        <v>145000</v>
      </c>
      <c r="FC12" s="59">
        <f t="shared" si="0"/>
        <v>144400</v>
      </c>
      <c r="FD12" s="60">
        <f t="shared" si="1"/>
        <v>1216.552506059644</v>
      </c>
      <c r="FE12" s="61">
        <f t="shared" si="2"/>
        <v>8.4248788508285589E-3</v>
      </c>
      <c r="FF12" s="88">
        <f t="shared" si="8"/>
        <v>121344.53781512605</v>
      </c>
      <c r="FG12" s="88">
        <f t="shared" si="9"/>
        <v>23055.462184873952</v>
      </c>
      <c r="FH12" s="260">
        <f t="shared" si="5"/>
        <v>144400</v>
      </c>
      <c r="FI12" s="260">
        <f t="shared" si="6"/>
        <v>4332000</v>
      </c>
      <c r="FJ12" s="60" t="s">
        <v>65</v>
      </c>
    </row>
    <row r="13" spans="1:166" s="40" customFormat="1" ht="72.5" x14ac:dyDescent="0.35">
      <c r="A13" s="37">
        <v>7</v>
      </c>
      <c r="B13" s="37" t="s">
        <v>901</v>
      </c>
      <c r="C13" s="38" t="s">
        <v>1077</v>
      </c>
      <c r="D13" s="249" t="s">
        <v>212</v>
      </c>
      <c r="E13" s="220">
        <v>25</v>
      </c>
      <c r="F13" s="58"/>
      <c r="G13" s="58"/>
      <c r="H13" s="58"/>
      <c r="I13" s="58"/>
      <c r="J13" s="58"/>
      <c r="K13" s="58"/>
      <c r="L13" s="15"/>
      <c r="M13" s="58"/>
      <c r="N13" s="15"/>
      <c r="O13" s="58"/>
      <c r="P13" s="15"/>
      <c r="Q13" s="58"/>
      <c r="R13" s="15"/>
      <c r="S13" s="58"/>
      <c r="T13" s="15"/>
      <c r="U13" s="58"/>
      <c r="V13" s="15"/>
      <c r="W13" s="58"/>
      <c r="X13" s="15"/>
      <c r="Y13" s="58"/>
      <c r="Z13" s="15"/>
      <c r="AA13" s="58"/>
      <c r="AB13" s="15"/>
      <c r="AC13" s="58"/>
      <c r="AD13" s="58"/>
      <c r="AE13" s="58"/>
      <c r="AF13" s="15"/>
      <c r="AG13" s="58"/>
      <c r="AH13" s="15"/>
      <c r="AI13" s="58"/>
      <c r="AJ13" s="15"/>
      <c r="AK13" s="58"/>
      <c r="AL13" s="15"/>
      <c r="AM13" s="58"/>
      <c r="AN13" s="15"/>
      <c r="AO13" s="58"/>
      <c r="AP13" s="15"/>
      <c r="AQ13" s="58"/>
      <c r="AR13" s="15"/>
      <c r="AS13" s="58"/>
      <c r="AT13" s="15"/>
      <c r="AU13" s="58"/>
      <c r="AV13" s="15"/>
      <c r="AW13" s="58"/>
      <c r="AX13" s="15"/>
      <c r="AY13" s="58"/>
      <c r="AZ13" s="15"/>
      <c r="BA13" s="58"/>
      <c r="BB13" s="15"/>
      <c r="BC13" s="58"/>
      <c r="BD13" s="15"/>
      <c r="BE13" s="58"/>
      <c r="BF13" s="15"/>
      <c r="BG13" s="58"/>
      <c r="BH13" s="15"/>
      <c r="BI13" s="58"/>
      <c r="BJ13" s="15"/>
      <c r="BK13" s="58"/>
      <c r="BL13" s="15"/>
      <c r="BM13" s="58"/>
      <c r="BN13" s="15"/>
      <c r="BO13" s="58"/>
      <c r="BP13" s="15"/>
      <c r="BQ13" s="58"/>
      <c r="BR13" s="15"/>
      <c r="BS13" s="58"/>
      <c r="BT13" s="15"/>
      <c r="BU13" s="58"/>
      <c r="BV13" s="15"/>
      <c r="BW13" s="58"/>
      <c r="BX13" s="15"/>
      <c r="BY13" s="58"/>
      <c r="BZ13" s="15"/>
      <c r="CA13" s="58"/>
      <c r="CB13" s="15"/>
      <c r="CC13" s="58"/>
      <c r="CD13" s="15"/>
      <c r="CE13" s="58"/>
      <c r="CF13" s="15"/>
      <c r="CG13" s="58"/>
      <c r="CH13" s="15"/>
      <c r="CI13" s="58"/>
      <c r="CJ13" s="15"/>
      <c r="CK13" s="58"/>
      <c r="CL13" s="15"/>
      <c r="CM13" s="58"/>
      <c r="CN13" s="15"/>
      <c r="CO13" s="58"/>
      <c r="CP13" s="15"/>
      <c r="CQ13" s="58"/>
      <c r="CR13" s="15"/>
      <c r="CS13" s="58"/>
      <c r="CT13" s="15"/>
      <c r="CU13" s="58"/>
      <c r="CV13" s="15"/>
      <c r="CW13" s="58"/>
      <c r="CX13" s="15"/>
      <c r="CY13" s="58"/>
      <c r="CZ13" s="15"/>
      <c r="DA13" s="58"/>
      <c r="DB13" s="15"/>
      <c r="DC13" s="58"/>
      <c r="DD13" s="15"/>
      <c r="DE13" s="58"/>
      <c r="DF13" s="15"/>
      <c r="DG13" s="58"/>
      <c r="DH13" s="15"/>
      <c r="DI13" s="58"/>
      <c r="DJ13" s="15"/>
      <c r="DK13" s="58"/>
      <c r="DL13" s="15"/>
      <c r="DM13" s="58"/>
      <c r="DN13" s="15"/>
      <c r="DO13" s="58"/>
      <c r="DP13" s="15"/>
      <c r="DQ13" s="58"/>
      <c r="DR13" s="15"/>
      <c r="DS13" s="58"/>
      <c r="DT13" s="15"/>
      <c r="DU13" s="58"/>
      <c r="DV13" s="15"/>
      <c r="DW13" s="58"/>
      <c r="DX13" s="15"/>
      <c r="DY13" s="58"/>
      <c r="DZ13" s="15"/>
      <c r="EA13" s="58"/>
      <c r="EB13" s="15"/>
      <c r="EC13" s="58"/>
      <c r="ED13" s="15"/>
      <c r="EE13" s="217"/>
      <c r="EF13" s="8">
        <v>138000</v>
      </c>
      <c r="EG13" s="312">
        <v>137100</v>
      </c>
      <c r="EH13" s="236">
        <v>135000</v>
      </c>
      <c r="EI13" s="218"/>
      <c r="EJ13" s="218"/>
      <c r="EK13" s="218"/>
      <c r="EL13" s="218"/>
      <c r="EM13" s="218"/>
      <c r="EN13" s="246" t="s">
        <v>209</v>
      </c>
      <c r="EO13" s="246" t="s">
        <v>209</v>
      </c>
      <c r="EP13" s="246" t="s">
        <v>209</v>
      </c>
      <c r="EQ13" s="246" t="s">
        <v>209</v>
      </c>
      <c r="ER13" s="246"/>
      <c r="ES13" s="246"/>
      <c r="ET13" s="246"/>
      <c r="EU13" s="246"/>
      <c r="EV13" s="246"/>
      <c r="EW13" s="246"/>
      <c r="EX13" s="246"/>
      <c r="EY13" s="246"/>
      <c r="EZ13" s="246"/>
      <c r="FA13" s="246"/>
      <c r="FB13" s="59">
        <f t="shared" si="7"/>
        <v>137100</v>
      </c>
      <c r="FC13" s="59">
        <f t="shared" si="0"/>
        <v>136700</v>
      </c>
      <c r="FD13" s="60">
        <f t="shared" si="1"/>
        <v>1539.4804318340653</v>
      </c>
      <c r="FE13" s="62">
        <f t="shared" si="2"/>
        <v>1.1261744197761998E-2</v>
      </c>
      <c r="FF13" s="88">
        <f t="shared" si="8"/>
        <v>114873.94957983194</v>
      </c>
      <c r="FG13" s="88">
        <f t="shared" si="9"/>
        <v>21826.050420168071</v>
      </c>
      <c r="FH13" s="74">
        <f t="shared" si="5"/>
        <v>136700</v>
      </c>
      <c r="FI13" s="260">
        <f t="shared" si="6"/>
        <v>3417500</v>
      </c>
      <c r="FJ13" s="60" t="s">
        <v>65</v>
      </c>
    </row>
    <row r="14" spans="1:166" s="40" customFormat="1" ht="87" x14ac:dyDescent="0.35">
      <c r="A14" s="36">
        <v>8</v>
      </c>
      <c r="B14" s="37" t="s">
        <v>213</v>
      </c>
      <c r="C14" s="38" t="s">
        <v>1078</v>
      </c>
      <c r="D14" s="249" t="s">
        <v>212</v>
      </c>
      <c r="E14" s="220">
        <v>15</v>
      </c>
      <c r="F14" s="58"/>
      <c r="G14" s="58"/>
      <c r="H14" s="58"/>
      <c r="I14" s="58"/>
      <c r="J14" s="58"/>
      <c r="K14" s="58"/>
      <c r="L14" s="15"/>
      <c r="M14" s="58"/>
      <c r="N14" s="15"/>
      <c r="O14" s="58"/>
      <c r="P14" s="15"/>
      <c r="Q14" s="58"/>
      <c r="R14" s="15"/>
      <c r="S14" s="58"/>
      <c r="T14" s="15"/>
      <c r="U14" s="58"/>
      <c r="V14" s="15"/>
      <c r="W14" s="58"/>
      <c r="X14" s="15"/>
      <c r="Y14" s="58"/>
      <c r="Z14" s="15"/>
      <c r="AA14" s="58"/>
      <c r="AB14" s="15"/>
      <c r="AC14" s="58"/>
      <c r="AD14" s="58"/>
      <c r="AE14" s="58"/>
      <c r="AF14" s="15"/>
      <c r="AG14" s="58"/>
      <c r="AH14" s="15"/>
      <c r="AI14" s="58"/>
      <c r="AJ14" s="15"/>
      <c r="AK14" s="58"/>
      <c r="AL14" s="15"/>
      <c r="AM14" s="58"/>
      <c r="AN14" s="15"/>
      <c r="AO14" s="58"/>
      <c r="AP14" s="15"/>
      <c r="AQ14" s="58"/>
      <c r="AR14" s="15"/>
      <c r="AS14" s="58"/>
      <c r="AT14" s="15"/>
      <c r="AU14" s="58"/>
      <c r="AV14" s="15"/>
      <c r="AW14" s="58"/>
      <c r="AX14" s="15"/>
      <c r="AY14" s="58"/>
      <c r="AZ14" s="15"/>
      <c r="BA14" s="58"/>
      <c r="BB14" s="15"/>
      <c r="BC14" s="58"/>
      <c r="BD14" s="15"/>
      <c r="BE14" s="58"/>
      <c r="BF14" s="15"/>
      <c r="BG14" s="58"/>
      <c r="BH14" s="15"/>
      <c r="BI14" s="58"/>
      <c r="BJ14" s="15"/>
      <c r="BK14" s="58"/>
      <c r="BL14" s="15"/>
      <c r="BM14" s="58"/>
      <c r="BN14" s="15"/>
      <c r="BO14" s="58"/>
      <c r="BP14" s="15"/>
      <c r="BQ14" s="58"/>
      <c r="BR14" s="15"/>
      <c r="BS14" s="58"/>
      <c r="BT14" s="15"/>
      <c r="BU14" s="58"/>
      <c r="BV14" s="15"/>
      <c r="BW14" s="58"/>
      <c r="BX14" s="15"/>
      <c r="BY14" s="58"/>
      <c r="BZ14" s="15"/>
      <c r="CA14" s="58"/>
      <c r="CB14" s="15"/>
      <c r="CC14" s="58"/>
      <c r="CD14" s="15"/>
      <c r="CE14" s="58"/>
      <c r="CF14" s="15"/>
      <c r="CG14" s="58"/>
      <c r="CH14" s="15"/>
      <c r="CI14" s="58"/>
      <c r="CJ14" s="15"/>
      <c r="CK14" s="58"/>
      <c r="CL14" s="15"/>
      <c r="CM14" s="58"/>
      <c r="CN14" s="15"/>
      <c r="CO14" s="58"/>
      <c r="CP14" s="15"/>
      <c r="CQ14" s="58"/>
      <c r="CR14" s="15"/>
      <c r="CS14" s="58"/>
      <c r="CT14" s="15"/>
      <c r="CU14" s="58"/>
      <c r="CV14" s="15"/>
      <c r="CW14" s="58"/>
      <c r="CX14" s="15"/>
      <c r="CY14" s="58"/>
      <c r="CZ14" s="15"/>
      <c r="DA14" s="58"/>
      <c r="DB14" s="15"/>
      <c r="DC14" s="58"/>
      <c r="DD14" s="15"/>
      <c r="DE14" s="58"/>
      <c r="DF14" s="15"/>
      <c r="DG14" s="58"/>
      <c r="DH14" s="15"/>
      <c r="DI14" s="58"/>
      <c r="DJ14" s="15"/>
      <c r="DK14" s="58"/>
      <c r="DL14" s="15"/>
      <c r="DM14" s="58"/>
      <c r="DN14" s="15"/>
      <c r="DO14" s="58"/>
      <c r="DP14" s="15"/>
      <c r="DQ14" s="58"/>
      <c r="DR14" s="15"/>
      <c r="DS14" s="58"/>
      <c r="DT14" s="15"/>
      <c r="DU14" s="58"/>
      <c r="DV14" s="15"/>
      <c r="DW14" s="58"/>
      <c r="DX14" s="15"/>
      <c r="DY14" s="58"/>
      <c r="DZ14" s="15"/>
      <c r="EA14" s="58"/>
      <c r="EB14" s="15"/>
      <c r="EC14" s="58"/>
      <c r="ED14" s="15"/>
      <c r="EE14" s="217"/>
      <c r="EF14" s="8">
        <v>132000</v>
      </c>
      <c r="EG14" s="312">
        <v>133000</v>
      </c>
      <c r="EH14" s="236">
        <v>130000</v>
      </c>
      <c r="EI14" s="218"/>
      <c r="EJ14" s="218"/>
      <c r="EK14" s="218"/>
      <c r="EL14" s="218"/>
      <c r="EM14" s="218"/>
      <c r="EN14" s="246" t="s">
        <v>209</v>
      </c>
      <c r="EO14" s="246" t="s">
        <v>209</v>
      </c>
      <c r="EP14" s="246" t="s">
        <v>209</v>
      </c>
      <c r="EQ14" s="246" t="s">
        <v>209</v>
      </c>
      <c r="ER14" s="246"/>
      <c r="ES14" s="246"/>
      <c r="ET14" s="246"/>
      <c r="EU14" s="246"/>
      <c r="EV14" s="246"/>
      <c r="EW14" s="246"/>
      <c r="EX14" s="246"/>
      <c r="EY14" s="246"/>
      <c r="EZ14" s="246"/>
      <c r="FA14" s="246"/>
      <c r="FB14" s="59">
        <f t="shared" si="7"/>
        <v>132000</v>
      </c>
      <c r="FC14" s="59">
        <f t="shared" si="0"/>
        <v>131666.66666666666</v>
      </c>
      <c r="FD14" s="60">
        <f t="shared" si="1"/>
        <v>1527.5252316519466</v>
      </c>
      <c r="FE14" s="62">
        <f t="shared" si="2"/>
        <v>1.1601457455584404E-2</v>
      </c>
      <c r="FF14" s="88">
        <f t="shared" si="8"/>
        <v>110644.53781512605</v>
      </c>
      <c r="FG14" s="88">
        <f t="shared" si="9"/>
        <v>21022.462184873952</v>
      </c>
      <c r="FH14" s="74">
        <f t="shared" si="5"/>
        <v>131667</v>
      </c>
      <c r="FI14" s="260">
        <f t="shared" si="6"/>
        <v>1975005</v>
      </c>
      <c r="FJ14" s="60" t="s">
        <v>65</v>
      </c>
    </row>
    <row r="15" spans="1:166" s="40" customFormat="1" ht="87" x14ac:dyDescent="0.35">
      <c r="A15" s="36">
        <v>9</v>
      </c>
      <c r="B15" s="37" t="s">
        <v>214</v>
      </c>
      <c r="C15" s="38" t="s">
        <v>1079</v>
      </c>
      <c r="D15" s="249" t="s">
        <v>64</v>
      </c>
      <c r="E15" s="220">
        <v>30</v>
      </c>
      <c r="F15" s="58"/>
      <c r="G15" s="58"/>
      <c r="H15" s="58"/>
      <c r="I15" s="58"/>
      <c r="J15" s="58"/>
      <c r="K15" s="58"/>
      <c r="L15" s="15"/>
      <c r="M15" s="58"/>
      <c r="N15" s="15"/>
      <c r="O15" s="58"/>
      <c r="P15" s="15"/>
      <c r="Q15" s="58"/>
      <c r="R15" s="15"/>
      <c r="S15" s="58"/>
      <c r="T15" s="15"/>
      <c r="U15" s="58"/>
      <c r="V15" s="15"/>
      <c r="W15" s="58"/>
      <c r="X15" s="15"/>
      <c r="Y15" s="58"/>
      <c r="Z15" s="15"/>
      <c r="AA15" s="58"/>
      <c r="AB15" s="15"/>
      <c r="AC15" s="58"/>
      <c r="AD15" s="58"/>
      <c r="AE15" s="58"/>
      <c r="AF15" s="15"/>
      <c r="AG15" s="58"/>
      <c r="AH15" s="15"/>
      <c r="AI15" s="58"/>
      <c r="AJ15" s="15"/>
      <c r="AK15" s="58"/>
      <c r="AL15" s="15"/>
      <c r="AM15" s="58"/>
      <c r="AN15" s="15"/>
      <c r="AO15" s="58"/>
      <c r="AP15" s="15"/>
      <c r="AQ15" s="58"/>
      <c r="AR15" s="15"/>
      <c r="AS15" s="58"/>
      <c r="AT15" s="15"/>
      <c r="AU15" s="58"/>
      <c r="AV15" s="15"/>
      <c r="AW15" s="58"/>
      <c r="AX15" s="15"/>
      <c r="AY15" s="58"/>
      <c r="AZ15" s="15"/>
      <c r="BA15" s="58"/>
      <c r="BB15" s="15"/>
      <c r="BC15" s="58"/>
      <c r="BD15" s="15"/>
      <c r="BE15" s="58"/>
      <c r="BF15" s="15"/>
      <c r="BG15" s="58"/>
      <c r="BH15" s="15"/>
      <c r="BI15" s="58"/>
      <c r="BJ15" s="15"/>
      <c r="BK15" s="58"/>
      <c r="BL15" s="15"/>
      <c r="BM15" s="58"/>
      <c r="BN15" s="15"/>
      <c r="BO15" s="58"/>
      <c r="BP15" s="15"/>
      <c r="BQ15" s="58"/>
      <c r="BR15" s="15"/>
      <c r="BS15" s="58"/>
      <c r="BT15" s="15"/>
      <c r="BU15" s="58"/>
      <c r="BV15" s="15"/>
      <c r="BW15" s="58"/>
      <c r="BX15" s="15"/>
      <c r="BY15" s="58"/>
      <c r="BZ15" s="15"/>
      <c r="CA15" s="58"/>
      <c r="CB15" s="15"/>
      <c r="CC15" s="58"/>
      <c r="CD15" s="15"/>
      <c r="CE15" s="58"/>
      <c r="CF15" s="15"/>
      <c r="CG15" s="58"/>
      <c r="CH15" s="15"/>
      <c r="CI15" s="58"/>
      <c r="CJ15" s="15"/>
      <c r="CK15" s="58"/>
      <c r="CL15" s="15"/>
      <c r="CM15" s="58"/>
      <c r="CN15" s="15"/>
      <c r="CO15" s="58"/>
      <c r="CP15" s="15"/>
      <c r="CQ15" s="58"/>
      <c r="CR15" s="15"/>
      <c r="CS15" s="58"/>
      <c r="CT15" s="15"/>
      <c r="CU15" s="58"/>
      <c r="CV15" s="15"/>
      <c r="CW15" s="58"/>
      <c r="CX15" s="15"/>
      <c r="CY15" s="58"/>
      <c r="CZ15" s="15"/>
      <c r="DA15" s="58"/>
      <c r="DB15" s="15"/>
      <c r="DC15" s="58"/>
      <c r="DD15" s="15"/>
      <c r="DE15" s="58"/>
      <c r="DF15" s="15"/>
      <c r="DG15" s="58"/>
      <c r="DH15" s="15"/>
      <c r="DI15" s="58"/>
      <c r="DJ15" s="15"/>
      <c r="DK15" s="58"/>
      <c r="DL15" s="15"/>
      <c r="DM15" s="58"/>
      <c r="DN15" s="15"/>
      <c r="DO15" s="58"/>
      <c r="DP15" s="15"/>
      <c r="DQ15" s="58"/>
      <c r="DR15" s="15"/>
      <c r="DS15" s="58"/>
      <c r="DT15" s="15"/>
      <c r="DU15" s="58"/>
      <c r="DV15" s="15"/>
      <c r="DW15" s="58"/>
      <c r="DX15" s="15"/>
      <c r="DY15" s="58"/>
      <c r="DZ15" s="15"/>
      <c r="EA15" s="58"/>
      <c r="EB15" s="15"/>
      <c r="EC15" s="58"/>
      <c r="ED15" s="15"/>
      <c r="EE15" s="217"/>
      <c r="EF15" s="8">
        <v>63000</v>
      </c>
      <c r="EG15" s="312">
        <v>57200</v>
      </c>
      <c r="EH15" s="236">
        <v>60000</v>
      </c>
      <c r="EI15" s="218"/>
      <c r="EJ15" s="218"/>
      <c r="EK15" s="218"/>
      <c r="EL15" s="218"/>
      <c r="EM15" s="218"/>
      <c r="EN15" s="246" t="s">
        <v>209</v>
      </c>
      <c r="EO15" s="246" t="s">
        <v>209</v>
      </c>
      <c r="EP15" s="246" t="s">
        <v>209</v>
      </c>
      <c r="EQ15" s="246" t="s">
        <v>209</v>
      </c>
      <c r="ER15" s="246"/>
      <c r="ES15" s="246"/>
      <c r="ET15" s="246"/>
      <c r="EU15" s="246"/>
      <c r="EV15" s="246"/>
      <c r="EW15" s="246"/>
      <c r="EX15" s="246"/>
      <c r="EY15" s="246"/>
      <c r="EZ15" s="246"/>
      <c r="FA15" s="246"/>
      <c r="FB15" s="59">
        <f t="shared" si="7"/>
        <v>60000</v>
      </c>
      <c r="FC15" s="59">
        <f t="shared" si="0"/>
        <v>60066.666666666664</v>
      </c>
      <c r="FD15" s="60">
        <f t="shared" si="1"/>
        <v>2900.5746557076122</v>
      </c>
      <c r="FE15" s="62">
        <f t="shared" si="2"/>
        <v>4.8289256199349817E-2</v>
      </c>
      <c r="FF15" s="88">
        <f t="shared" si="8"/>
        <v>50476.470588235294</v>
      </c>
      <c r="FG15" s="88">
        <f t="shared" si="9"/>
        <v>9590.5294117647063</v>
      </c>
      <c r="FH15" s="74">
        <f t="shared" si="5"/>
        <v>60067</v>
      </c>
      <c r="FI15" s="260">
        <f t="shared" si="6"/>
        <v>1802010</v>
      </c>
      <c r="FJ15" s="60" t="s">
        <v>65</v>
      </c>
    </row>
    <row r="16" spans="1:166" s="40" customFormat="1" ht="87" x14ac:dyDescent="0.35">
      <c r="A16" s="37">
        <v>10</v>
      </c>
      <c r="B16" s="37" t="s">
        <v>215</v>
      </c>
      <c r="C16" s="36" t="s">
        <v>1080</v>
      </c>
      <c r="D16" s="249" t="s">
        <v>64</v>
      </c>
      <c r="E16" s="220">
        <v>70</v>
      </c>
      <c r="F16" s="58"/>
      <c r="G16" s="58"/>
      <c r="H16" s="58"/>
      <c r="I16" s="58"/>
      <c r="J16" s="58"/>
      <c r="K16" s="58"/>
      <c r="L16" s="15"/>
      <c r="M16" s="58"/>
      <c r="N16" s="15"/>
      <c r="O16" s="58"/>
      <c r="P16" s="15"/>
      <c r="Q16" s="58"/>
      <c r="R16" s="15"/>
      <c r="S16" s="58"/>
      <c r="T16" s="15"/>
      <c r="U16" s="58"/>
      <c r="V16" s="15"/>
      <c r="W16" s="58"/>
      <c r="X16" s="15"/>
      <c r="Y16" s="58"/>
      <c r="Z16" s="15"/>
      <c r="AA16" s="58"/>
      <c r="AB16" s="15"/>
      <c r="AC16" s="58"/>
      <c r="AD16" s="58"/>
      <c r="AE16" s="58"/>
      <c r="AF16" s="15"/>
      <c r="AG16" s="58"/>
      <c r="AH16" s="15"/>
      <c r="AI16" s="58"/>
      <c r="AJ16" s="15"/>
      <c r="AK16" s="58"/>
      <c r="AL16" s="15"/>
      <c r="AM16" s="58"/>
      <c r="AN16" s="15"/>
      <c r="AO16" s="58"/>
      <c r="AP16" s="15"/>
      <c r="AQ16" s="58"/>
      <c r="AR16" s="15"/>
      <c r="AS16" s="58"/>
      <c r="AT16" s="15"/>
      <c r="AU16" s="58"/>
      <c r="AV16" s="15"/>
      <c r="AW16" s="58"/>
      <c r="AX16" s="15"/>
      <c r="AY16" s="58"/>
      <c r="AZ16" s="15"/>
      <c r="BA16" s="58"/>
      <c r="BB16" s="15"/>
      <c r="BC16" s="58"/>
      <c r="BD16" s="15"/>
      <c r="BE16" s="58"/>
      <c r="BF16" s="15"/>
      <c r="BG16" s="58"/>
      <c r="BH16" s="15"/>
      <c r="BI16" s="58"/>
      <c r="BJ16" s="15"/>
      <c r="BK16" s="58"/>
      <c r="BL16" s="15"/>
      <c r="BM16" s="58"/>
      <c r="BN16" s="15"/>
      <c r="BO16" s="58"/>
      <c r="BP16" s="15"/>
      <c r="BQ16" s="58"/>
      <c r="BR16" s="15"/>
      <c r="BS16" s="58"/>
      <c r="BT16" s="15"/>
      <c r="BU16" s="58"/>
      <c r="BV16" s="15"/>
      <c r="BW16" s="58"/>
      <c r="BX16" s="15"/>
      <c r="BY16" s="58"/>
      <c r="BZ16" s="15"/>
      <c r="CA16" s="58"/>
      <c r="CB16" s="15"/>
      <c r="CC16" s="58"/>
      <c r="CD16" s="15"/>
      <c r="CE16" s="58"/>
      <c r="CF16" s="15"/>
      <c r="CG16" s="58"/>
      <c r="CH16" s="15"/>
      <c r="CI16" s="58"/>
      <c r="CJ16" s="15"/>
      <c r="CK16" s="58"/>
      <c r="CL16" s="15"/>
      <c r="CM16" s="58"/>
      <c r="CN16" s="15"/>
      <c r="CO16" s="58"/>
      <c r="CP16" s="15"/>
      <c r="CQ16" s="58"/>
      <c r="CR16" s="15"/>
      <c r="CS16" s="58"/>
      <c r="CT16" s="15"/>
      <c r="CU16" s="58"/>
      <c r="CV16" s="15"/>
      <c r="CW16" s="58"/>
      <c r="CX16" s="15"/>
      <c r="CY16" s="58"/>
      <c r="CZ16" s="15"/>
      <c r="DA16" s="58"/>
      <c r="DB16" s="15"/>
      <c r="DC16" s="58"/>
      <c r="DD16" s="15"/>
      <c r="DE16" s="58"/>
      <c r="DF16" s="15"/>
      <c r="DG16" s="58"/>
      <c r="DH16" s="15"/>
      <c r="DI16" s="58"/>
      <c r="DJ16" s="15"/>
      <c r="DK16" s="58"/>
      <c r="DL16" s="15"/>
      <c r="DM16" s="58"/>
      <c r="DN16" s="15"/>
      <c r="DO16" s="58"/>
      <c r="DP16" s="15"/>
      <c r="DQ16" s="58"/>
      <c r="DR16" s="15"/>
      <c r="DS16" s="58"/>
      <c r="DT16" s="15"/>
      <c r="DU16" s="58"/>
      <c r="DV16" s="15"/>
      <c r="DW16" s="58"/>
      <c r="DX16" s="15"/>
      <c r="DY16" s="58"/>
      <c r="DZ16" s="15"/>
      <c r="EA16" s="58"/>
      <c r="EB16" s="15"/>
      <c r="EC16" s="58"/>
      <c r="ED16" s="15"/>
      <c r="EE16" s="217"/>
      <c r="EF16" s="8">
        <v>520000</v>
      </c>
      <c r="EG16" s="312">
        <v>488000</v>
      </c>
      <c r="EH16" s="236">
        <v>500000</v>
      </c>
      <c r="EI16" s="218"/>
      <c r="EJ16" s="218"/>
      <c r="EK16" s="218"/>
      <c r="EL16" s="218"/>
      <c r="EM16" s="218"/>
      <c r="EN16" s="246" t="s">
        <v>209</v>
      </c>
      <c r="EO16" s="246" t="s">
        <v>209</v>
      </c>
      <c r="EP16" s="246" t="s">
        <v>209</v>
      </c>
      <c r="EQ16" s="246" t="s">
        <v>209</v>
      </c>
      <c r="ER16" s="246"/>
      <c r="ES16" s="246"/>
      <c r="ET16" s="246"/>
      <c r="EU16" s="246"/>
      <c r="EV16" s="246"/>
      <c r="EW16" s="246"/>
      <c r="EX16" s="246"/>
      <c r="EY16" s="246"/>
      <c r="EZ16" s="246"/>
      <c r="FA16" s="246"/>
      <c r="FB16" s="59">
        <f t="shared" si="7"/>
        <v>500000</v>
      </c>
      <c r="FC16" s="59">
        <f t="shared" si="0"/>
        <v>502666.66666666669</v>
      </c>
      <c r="FD16" s="60">
        <f t="shared" si="1"/>
        <v>16165.807537309522</v>
      </c>
      <c r="FE16" s="62">
        <f t="shared" si="2"/>
        <v>3.2160094570244407E-2</v>
      </c>
      <c r="FF16" s="88">
        <f t="shared" si="8"/>
        <v>422409.24369747902</v>
      </c>
      <c r="FG16" s="88">
        <f t="shared" si="9"/>
        <v>80257.756302521011</v>
      </c>
      <c r="FH16" s="74">
        <f t="shared" si="5"/>
        <v>502667</v>
      </c>
      <c r="FI16" s="260">
        <f t="shared" si="6"/>
        <v>35186690</v>
      </c>
      <c r="FJ16" s="60" t="s">
        <v>65</v>
      </c>
    </row>
    <row r="17" spans="1:167" s="40" customFormat="1" ht="87" x14ac:dyDescent="0.35">
      <c r="A17" s="37">
        <v>11</v>
      </c>
      <c r="B17" s="37" t="s">
        <v>216</v>
      </c>
      <c r="C17" s="36" t="s">
        <v>1081</v>
      </c>
      <c r="D17" s="249" t="s">
        <v>64</v>
      </c>
      <c r="E17" s="220">
        <v>50</v>
      </c>
      <c r="F17" s="58"/>
      <c r="G17" s="58"/>
      <c r="H17" s="58"/>
      <c r="I17" s="58"/>
      <c r="J17" s="58"/>
      <c r="K17" s="58"/>
      <c r="L17" s="15"/>
      <c r="M17" s="58"/>
      <c r="N17" s="15"/>
      <c r="O17" s="58"/>
      <c r="P17" s="15"/>
      <c r="Q17" s="58"/>
      <c r="R17" s="15"/>
      <c r="S17" s="58"/>
      <c r="T17" s="15"/>
      <c r="U17" s="58"/>
      <c r="V17" s="15"/>
      <c r="W17" s="58"/>
      <c r="X17" s="15"/>
      <c r="Y17" s="58"/>
      <c r="Z17" s="15"/>
      <c r="AA17" s="58"/>
      <c r="AB17" s="15"/>
      <c r="AC17" s="58"/>
      <c r="AD17" s="58"/>
      <c r="AE17" s="58"/>
      <c r="AF17" s="15"/>
      <c r="AG17" s="58"/>
      <c r="AH17" s="15"/>
      <c r="AI17" s="58"/>
      <c r="AJ17" s="15"/>
      <c r="AK17" s="58"/>
      <c r="AL17" s="15"/>
      <c r="AM17" s="58"/>
      <c r="AN17" s="15"/>
      <c r="AO17" s="58"/>
      <c r="AP17" s="15"/>
      <c r="AQ17" s="58"/>
      <c r="AR17" s="15"/>
      <c r="AS17" s="58"/>
      <c r="AT17" s="15"/>
      <c r="AU17" s="58"/>
      <c r="AV17" s="15"/>
      <c r="AW17" s="58"/>
      <c r="AX17" s="15"/>
      <c r="AY17" s="58"/>
      <c r="AZ17" s="15"/>
      <c r="BA17" s="58"/>
      <c r="BB17" s="15"/>
      <c r="BC17" s="58"/>
      <c r="BD17" s="15"/>
      <c r="BE17" s="58"/>
      <c r="BF17" s="15"/>
      <c r="BG17" s="58"/>
      <c r="BH17" s="15"/>
      <c r="BI17" s="58"/>
      <c r="BJ17" s="15"/>
      <c r="BK17" s="58"/>
      <c r="BL17" s="15"/>
      <c r="BM17" s="58"/>
      <c r="BN17" s="15"/>
      <c r="BO17" s="58"/>
      <c r="BP17" s="15"/>
      <c r="BQ17" s="58"/>
      <c r="BR17" s="15"/>
      <c r="BS17" s="58"/>
      <c r="BT17" s="15"/>
      <c r="BU17" s="58"/>
      <c r="BV17" s="15"/>
      <c r="BW17" s="58"/>
      <c r="BX17" s="15"/>
      <c r="BY17" s="58"/>
      <c r="BZ17" s="15"/>
      <c r="CA17" s="58"/>
      <c r="CB17" s="15"/>
      <c r="CC17" s="58"/>
      <c r="CD17" s="15"/>
      <c r="CE17" s="58"/>
      <c r="CF17" s="15"/>
      <c r="CG17" s="58"/>
      <c r="CH17" s="15"/>
      <c r="CI17" s="58"/>
      <c r="CJ17" s="15"/>
      <c r="CK17" s="58"/>
      <c r="CL17" s="15"/>
      <c r="CM17" s="58"/>
      <c r="CN17" s="15"/>
      <c r="CO17" s="58"/>
      <c r="CP17" s="15"/>
      <c r="CQ17" s="58"/>
      <c r="CR17" s="15"/>
      <c r="CS17" s="58"/>
      <c r="CT17" s="15"/>
      <c r="CU17" s="58"/>
      <c r="CV17" s="15"/>
      <c r="CW17" s="58"/>
      <c r="CX17" s="15"/>
      <c r="CY17" s="58"/>
      <c r="CZ17" s="15"/>
      <c r="DA17" s="58"/>
      <c r="DB17" s="15"/>
      <c r="DC17" s="58"/>
      <c r="DD17" s="15"/>
      <c r="DE17" s="58"/>
      <c r="DF17" s="15"/>
      <c r="DG17" s="58"/>
      <c r="DH17" s="15"/>
      <c r="DI17" s="58"/>
      <c r="DJ17" s="15"/>
      <c r="DK17" s="58"/>
      <c r="DL17" s="15"/>
      <c r="DM17" s="58"/>
      <c r="DN17" s="15"/>
      <c r="DO17" s="58"/>
      <c r="DP17" s="15"/>
      <c r="DQ17" s="58"/>
      <c r="DR17" s="15"/>
      <c r="DS17" s="58"/>
      <c r="DT17" s="15"/>
      <c r="DU17" s="58"/>
      <c r="DV17" s="15"/>
      <c r="DW17" s="58"/>
      <c r="DX17" s="15"/>
      <c r="DY17" s="58"/>
      <c r="DZ17" s="15"/>
      <c r="EA17" s="58"/>
      <c r="EB17" s="15"/>
      <c r="EC17" s="58"/>
      <c r="ED17" s="15"/>
      <c r="EE17" s="217"/>
      <c r="EF17" s="8">
        <v>150000</v>
      </c>
      <c r="EG17" s="312">
        <v>147500</v>
      </c>
      <c r="EH17" s="236">
        <v>145000</v>
      </c>
      <c r="EI17" s="218"/>
      <c r="EJ17" s="218"/>
      <c r="EK17" s="218"/>
      <c r="EL17" s="218"/>
      <c r="EM17" s="218"/>
      <c r="EN17" s="246" t="s">
        <v>209</v>
      </c>
      <c r="EO17" s="246" t="s">
        <v>209</v>
      </c>
      <c r="EP17" s="246" t="s">
        <v>209</v>
      </c>
      <c r="EQ17" s="246" t="s">
        <v>209</v>
      </c>
      <c r="ER17" s="246"/>
      <c r="ES17" s="246"/>
      <c r="ET17" s="246"/>
      <c r="EU17" s="246"/>
      <c r="EV17" s="246"/>
      <c r="EW17" s="246"/>
      <c r="EX17" s="246"/>
      <c r="EY17" s="246"/>
      <c r="EZ17" s="246"/>
      <c r="FA17" s="246"/>
      <c r="FB17" s="59">
        <f t="shared" si="7"/>
        <v>147500</v>
      </c>
      <c r="FC17" s="59">
        <f t="shared" si="0"/>
        <v>147500</v>
      </c>
      <c r="FD17" s="60">
        <f t="shared" si="1"/>
        <v>2500</v>
      </c>
      <c r="FE17" s="62">
        <f t="shared" si="2"/>
        <v>1.6949152542372881E-2</v>
      </c>
      <c r="FF17" s="88">
        <f t="shared" si="8"/>
        <v>123949.57983193277</v>
      </c>
      <c r="FG17" s="88">
        <f t="shared" si="9"/>
        <v>23550.420168067227</v>
      </c>
      <c r="FH17" s="74">
        <f t="shared" si="5"/>
        <v>147500</v>
      </c>
      <c r="FI17" s="260">
        <f t="shared" si="6"/>
        <v>7375000</v>
      </c>
      <c r="FJ17" s="60" t="s">
        <v>65</v>
      </c>
    </row>
    <row r="18" spans="1:167" s="40" customFormat="1" ht="101.5" x14ac:dyDescent="0.35">
      <c r="A18" s="37">
        <v>12</v>
      </c>
      <c r="B18" s="37" t="s">
        <v>902</v>
      </c>
      <c r="C18" s="38" t="s">
        <v>1082</v>
      </c>
      <c r="D18" s="249" t="s">
        <v>64</v>
      </c>
      <c r="E18" s="220">
        <v>60</v>
      </c>
      <c r="F18" s="58"/>
      <c r="G18" s="58"/>
      <c r="H18" s="58"/>
      <c r="I18" s="58"/>
      <c r="J18" s="58"/>
      <c r="K18" s="58"/>
      <c r="L18" s="15"/>
      <c r="M18" s="58"/>
      <c r="N18" s="15"/>
      <c r="O18" s="58"/>
      <c r="P18" s="15"/>
      <c r="Q18" s="58"/>
      <c r="R18" s="15"/>
      <c r="S18" s="58"/>
      <c r="T18" s="15"/>
      <c r="U18" s="58"/>
      <c r="V18" s="15"/>
      <c r="W18" s="58"/>
      <c r="X18" s="15"/>
      <c r="Y18" s="58"/>
      <c r="Z18" s="15"/>
      <c r="AA18" s="58"/>
      <c r="AB18" s="15"/>
      <c r="AC18" s="58"/>
      <c r="AD18" s="58"/>
      <c r="AE18" s="58"/>
      <c r="AF18" s="15"/>
      <c r="AG18" s="58"/>
      <c r="AH18" s="15"/>
      <c r="AI18" s="58"/>
      <c r="AJ18" s="15"/>
      <c r="AK18" s="58"/>
      <c r="AL18" s="15"/>
      <c r="AM18" s="58"/>
      <c r="AN18" s="15"/>
      <c r="AO18" s="58"/>
      <c r="AP18" s="15"/>
      <c r="AQ18" s="58"/>
      <c r="AR18" s="15"/>
      <c r="AS18" s="58"/>
      <c r="AT18" s="15"/>
      <c r="AU18" s="58"/>
      <c r="AV18" s="15"/>
      <c r="AW18" s="58"/>
      <c r="AX18" s="15"/>
      <c r="AY18" s="58"/>
      <c r="AZ18" s="15"/>
      <c r="BA18" s="58"/>
      <c r="BB18" s="15"/>
      <c r="BC18" s="58"/>
      <c r="BD18" s="15"/>
      <c r="BE18" s="58"/>
      <c r="BF18" s="15"/>
      <c r="BG18" s="58"/>
      <c r="BH18" s="15"/>
      <c r="BI18" s="58"/>
      <c r="BJ18" s="15"/>
      <c r="BK18" s="58"/>
      <c r="BL18" s="15"/>
      <c r="BM18" s="58"/>
      <c r="BN18" s="15"/>
      <c r="BO18" s="58"/>
      <c r="BP18" s="15"/>
      <c r="BQ18" s="58"/>
      <c r="BR18" s="15"/>
      <c r="BS18" s="58"/>
      <c r="BT18" s="15"/>
      <c r="BU18" s="58"/>
      <c r="BV18" s="15"/>
      <c r="BW18" s="58"/>
      <c r="BX18" s="15"/>
      <c r="BY18" s="58"/>
      <c r="BZ18" s="15"/>
      <c r="CA18" s="58"/>
      <c r="CB18" s="15"/>
      <c r="CC18" s="58"/>
      <c r="CD18" s="15"/>
      <c r="CE18" s="58"/>
      <c r="CF18" s="15"/>
      <c r="CG18" s="58"/>
      <c r="CH18" s="15"/>
      <c r="CI18" s="58"/>
      <c r="CJ18" s="15"/>
      <c r="CK18" s="58"/>
      <c r="CL18" s="15"/>
      <c r="CM18" s="58"/>
      <c r="CN18" s="15"/>
      <c r="CO18" s="58"/>
      <c r="CP18" s="15"/>
      <c r="CQ18" s="58"/>
      <c r="CR18" s="15"/>
      <c r="CS18" s="58"/>
      <c r="CT18" s="15"/>
      <c r="CU18" s="58"/>
      <c r="CV18" s="15"/>
      <c r="CW18" s="58"/>
      <c r="CX18" s="15"/>
      <c r="CY18" s="58"/>
      <c r="CZ18" s="15"/>
      <c r="DA18" s="58"/>
      <c r="DB18" s="15"/>
      <c r="DC18" s="58"/>
      <c r="DD18" s="15"/>
      <c r="DE18" s="58"/>
      <c r="DF18" s="15"/>
      <c r="DG18" s="58"/>
      <c r="DH18" s="15"/>
      <c r="DI18" s="58"/>
      <c r="DJ18" s="15"/>
      <c r="DK18" s="58"/>
      <c r="DL18" s="15"/>
      <c r="DM18" s="58"/>
      <c r="DN18" s="15"/>
      <c r="DO18" s="58"/>
      <c r="DP18" s="15"/>
      <c r="DQ18" s="58"/>
      <c r="DR18" s="15"/>
      <c r="DS18" s="58"/>
      <c r="DT18" s="15"/>
      <c r="DU18" s="58"/>
      <c r="DV18" s="15"/>
      <c r="DW18" s="58"/>
      <c r="DX18" s="15"/>
      <c r="DY18" s="58"/>
      <c r="DZ18" s="15"/>
      <c r="EA18" s="58"/>
      <c r="EB18" s="15"/>
      <c r="EC18" s="58"/>
      <c r="ED18" s="15"/>
      <c r="EE18" s="217"/>
      <c r="EF18" s="8">
        <v>77000</v>
      </c>
      <c r="EG18" s="312">
        <v>73200</v>
      </c>
      <c r="EH18" s="236">
        <v>75000</v>
      </c>
      <c r="EI18" s="218"/>
      <c r="EJ18" s="218"/>
      <c r="EK18" s="218"/>
      <c r="EL18" s="218"/>
      <c r="EM18" s="218"/>
      <c r="EN18" s="246" t="s">
        <v>209</v>
      </c>
      <c r="EO18" s="246" t="s">
        <v>209</v>
      </c>
      <c r="EP18" s="246" t="s">
        <v>209</v>
      </c>
      <c r="EQ18" s="246" t="s">
        <v>209</v>
      </c>
      <c r="ER18" s="246"/>
      <c r="ES18" s="246"/>
      <c r="ET18" s="246"/>
      <c r="EU18" s="246"/>
      <c r="EV18" s="246"/>
      <c r="EW18" s="246"/>
      <c r="EX18" s="246"/>
      <c r="EY18" s="246"/>
      <c r="EZ18" s="246"/>
      <c r="FA18" s="246"/>
      <c r="FB18" s="59">
        <f t="shared" si="7"/>
        <v>75000</v>
      </c>
      <c r="FC18" s="59">
        <f t="shared" si="0"/>
        <v>75066.666666666672</v>
      </c>
      <c r="FD18" s="60">
        <f t="shared" si="1"/>
        <v>1900.8769905844338</v>
      </c>
      <c r="FE18" s="65">
        <f t="shared" si="2"/>
        <v>2.532251763655995E-2</v>
      </c>
      <c r="FF18" s="88">
        <f t="shared" si="8"/>
        <v>63081.512605042022</v>
      </c>
      <c r="FG18" s="88">
        <f t="shared" si="9"/>
        <v>11985.487394957985</v>
      </c>
      <c r="FH18" s="74">
        <f t="shared" si="5"/>
        <v>75067</v>
      </c>
      <c r="FI18" s="260">
        <f t="shared" si="6"/>
        <v>4504020</v>
      </c>
      <c r="FJ18" s="60" t="s">
        <v>65</v>
      </c>
    </row>
    <row r="19" spans="1:167" s="40" customFormat="1" ht="72.5" x14ac:dyDescent="0.35">
      <c r="A19" s="36">
        <v>13</v>
      </c>
      <c r="B19" s="37" t="s">
        <v>217</v>
      </c>
      <c r="C19" s="38" t="s">
        <v>1083</v>
      </c>
      <c r="D19" s="249" t="s">
        <v>64</v>
      </c>
      <c r="E19" s="220">
        <v>50</v>
      </c>
      <c r="F19" s="58"/>
      <c r="G19" s="58"/>
      <c r="H19" s="58"/>
      <c r="I19" s="58"/>
      <c r="J19" s="58"/>
      <c r="K19" s="58"/>
      <c r="L19" s="15"/>
      <c r="M19" s="58"/>
      <c r="N19" s="15"/>
      <c r="O19" s="58"/>
      <c r="P19" s="15"/>
      <c r="Q19" s="58"/>
      <c r="R19" s="15"/>
      <c r="S19" s="58"/>
      <c r="T19" s="15"/>
      <c r="U19" s="58"/>
      <c r="V19" s="15"/>
      <c r="W19" s="58"/>
      <c r="X19" s="15"/>
      <c r="Y19" s="58"/>
      <c r="Z19" s="15"/>
      <c r="AA19" s="58"/>
      <c r="AB19" s="15"/>
      <c r="AC19" s="58"/>
      <c r="AD19" s="58"/>
      <c r="AE19" s="58"/>
      <c r="AF19" s="15"/>
      <c r="AG19" s="58"/>
      <c r="AH19" s="15"/>
      <c r="AI19" s="58"/>
      <c r="AJ19" s="15"/>
      <c r="AK19" s="58"/>
      <c r="AL19" s="15"/>
      <c r="AM19" s="58"/>
      <c r="AN19" s="15"/>
      <c r="AO19" s="58"/>
      <c r="AP19" s="15"/>
      <c r="AQ19" s="58"/>
      <c r="AR19" s="15"/>
      <c r="AS19" s="58"/>
      <c r="AT19" s="15"/>
      <c r="AU19" s="58"/>
      <c r="AV19" s="15"/>
      <c r="AW19" s="58"/>
      <c r="AX19" s="15"/>
      <c r="AY19" s="58"/>
      <c r="AZ19" s="15"/>
      <c r="BA19" s="58"/>
      <c r="BB19" s="15"/>
      <c r="BC19" s="58"/>
      <c r="BD19" s="15"/>
      <c r="BE19" s="58"/>
      <c r="BF19" s="15"/>
      <c r="BG19" s="58"/>
      <c r="BH19" s="15"/>
      <c r="BI19" s="58"/>
      <c r="BJ19" s="15"/>
      <c r="BK19" s="58"/>
      <c r="BL19" s="15"/>
      <c r="BM19" s="58"/>
      <c r="BN19" s="15"/>
      <c r="BO19" s="58"/>
      <c r="BP19" s="15"/>
      <c r="BQ19" s="58"/>
      <c r="BR19" s="15"/>
      <c r="BS19" s="58"/>
      <c r="BT19" s="15"/>
      <c r="BU19" s="58"/>
      <c r="BV19" s="15"/>
      <c r="BW19" s="58"/>
      <c r="BX19" s="15"/>
      <c r="BY19" s="58"/>
      <c r="BZ19" s="15"/>
      <c r="CA19" s="58"/>
      <c r="CB19" s="15"/>
      <c r="CC19" s="58"/>
      <c r="CD19" s="15"/>
      <c r="CE19" s="58"/>
      <c r="CF19" s="15"/>
      <c r="CG19" s="58"/>
      <c r="CH19" s="15"/>
      <c r="CI19" s="58"/>
      <c r="CJ19" s="15"/>
      <c r="CK19" s="58"/>
      <c r="CL19" s="15"/>
      <c r="CM19" s="58"/>
      <c r="CN19" s="15"/>
      <c r="CO19" s="58"/>
      <c r="CP19" s="15"/>
      <c r="CQ19" s="58"/>
      <c r="CR19" s="15"/>
      <c r="CS19" s="58"/>
      <c r="CT19" s="15"/>
      <c r="CU19" s="58"/>
      <c r="CV19" s="15"/>
      <c r="CW19" s="58"/>
      <c r="CX19" s="15"/>
      <c r="CY19" s="58"/>
      <c r="CZ19" s="15"/>
      <c r="DA19" s="58"/>
      <c r="DB19" s="15"/>
      <c r="DC19" s="58"/>
      <c r="DD19" s="15"/>
      <c r="DE19" s="58"/>
      <c r="DF19" s="15"/>
      <c r="DG19" s="58"/>
      <c r="DH19" s="15"/>
      <c r="DI19" s="58"/>
      <c r="DJ19" s="15"/>
      <c r="DK19" s="58"/>
      <c r="DL19" s="15"/>
      <c r="DM19" s="58"/>
      <c r="DN19" s="15"/>
      <c r="DO19" s="58"/>
      <c r="DP19" s="15"/>
      <c r="DQ19" s="58"/>
      <c r="DR19" s="15"/>
      <c r="DS19" s="58"/>
      <c r="DT19" s="15"/>
      <c r="DU19" s="58"/>
      <c r="DV19" s="15"/>
      <c r="DW19" s="58"/>
      <c r="DX19" s="15"/>
      <c r="DY19" s="58"/>
      <c r="DZ19" s="15"/>
      <c r="EA19" s="58"/>
      <c r="EB19" s="15"/>
      <c r="EC19" s="58"/>
      <c r="ED19" s="15"/>
      <c r="EE19" s="217"/>
      <c r="EF19" s="8">
        <v>405000</v>
      </c>
      <c r="EG19" s="312">
        <v>365000</v>
      </c>
      <c r="EH19" s="236">
        <v>400000</v>
      </c>
      <c r="EI19" s="218"/>
      <c r="EJ19" s="218"/>
      <c r="EK19" s="218"/>
      <c r="EL19" s="218"/>
      <c r="EM19" s="218"/>
      <c r="EN19" s="246" t="s">
        <v>209</v>
      </c>
      <c r="EO19" s="246" t="s">
        <v>209</v>
      </c>
      <c r="EP19" s="246" t="s">
        <v>209</v>
      </c>
      <c r="EQ19" s="246" t="s">
        <v>209</v>
      </c>
      <c r="ER19" s="246"/>
      <c r="ES19" s="246"/>
      <c r="ET19" s="246"/>
      <c r="EU19" s="246"/>
      <c r="EV19" s="246"/>
      <c r="EW19" s="246"/>
      <c r="EX19" s="246"/>
      <c r="EY19" s="246"/>
      <c r="EZ19" s="246"/>
      <c r="FA19" s="246"/>
      <c r="FB19" s="59">
        <f t="shared" si="7"/>
        <v>400000</v>
      </c>
      <c r="FC19" s="59">
        <f t="shared" si="0"/>
        <v>390000</v>
      </c>
      <c r="FD19" s="60">
        <f t="shared" si="1"/>
        <v>21794.494717703368</v>
      </c>
      <c r="FE19" s="65">
        <f t="shared" si="2"/>
        <v>5.5883319788982998E-2</v>
      </c>
      <c r="FF19" s="88">
        <f t="shared" si="8"/>
        <v>327731.09243697481</v>
      </c>
      <c r="FG19" s="88">
        <f t="shared" si="9"/>
        <v>62268.907563025212</v>
      </c>
      <c r="FH19" s="74">
        <f t="shared" si="5"/>
        <v>390000</v>
      </c>
      <c r="FI19" s="260">
        <f t="shared" si="6"/>
        <v>19500000</v>
      </c>
      <c r="FJ19" s="60" t="s">
        <v>65</v>
      </c>
    </row>
    <row r="20" spans="1:167" s="40" customFormat="1" ht="58" x14ac:dyDescent="0.35">
      <c r="A20" s="37">
        <v>14</v>
      </c>
      <c r="B20" s="37" t="s">
        <v>218</v>
      </c>
      <c r="C20" s="38" t="s">
        <v>1023</v>
      </c>
      <c r="D20" s="249" t="s">
        <v>64</v>
      </c>
      <c r="E20" s="220">
        <v>30</v>
      </c>
      <c r="F20" s="58"/>
      <c r="G20" s="58"/>
      <c r="H20" s="58"/>
      <c r="I20" s="58"/>
      <c r="J20" s="58"/>
      <c r="K20" s="58"/>
      <c r="L20" s="15"/>
      <c r="M20" s="58"/>
      <c r="N20" s="15"/>
      <c r="O20" s="58"/>
      <c r="P20" s="15"/>
      <c r="Q20" s="58"/>
      <c r="R20" s="15"/>
      <c r="S20" s="58"/>
      <c r="T20" s="15"/>
      <c r="U20" s="58"/>
      <c r="V20" s="15"/>
      <c r="W20" s="58"/>
      <c r="X20" s="15"/>
      <c r="Y20" s="58"/>
      <c r="Z20" s="15"/>
      <c r="AA20" s="58"/>
      <c r="AB20" s="15"/>
      <c r="AC20" s="58"/>
      <c r="AD20" s="58"/>
      <c r="AE20" s="58"/>
      <c r="AF20" s="15"/>
      <c r="AG20" s="58"/>
      <c r="AH20" s="15"/>
      <c r="AI20" s="58"/>
      <c r="AJ20" s="15"/>
      <c r="AK20" s="58"/>
      <c r="AL20" s="15"/>
      <c r="AM20" s="58"/>
      <c r="AN20" s="15"/>
      <c r="AO20" s="58"/>
      <c r="AP20" s="15"/>
      <c r="AQ20" s="58"/>
      <c r="AR20" s="15"/>
      <c r="AS20" s="58"/>
      <c r="AT20" s="15"/>
      <c r="AU20" s="58"/>
      <c r="AV20" s="15"/>
      <c r="AW20" s="58"/>
      <c r="AX20" s="15"/>
      <c r="AY20" s="58"/>
      <c r="AZ20" s="15"/>
      <c r="BA20" s="58"/>
      <c r="BB20" s="15"/>
      <c r="BC20" s="58"/>
      <c r="BD20" s="15"/>
      <c r="BE20" s="58"/>
      <c r="BF20" s="15"/>
      <c r="BG20" s="58"/>
      <c r="BH20" s="15"/>
      <c r="BI20" s="58"/>
      <c r="BJ20" s="15"/>
      <c r="BK20" s="58"/>
      <c r="BL20" s="15"/>
      <c r="BM20" s="58"/>
      <c r="BN20" s="15"/>
      <c r="BO20" s="58"/>
      <c r="BP20" s="15"/>
      <c r="BQ20" s="58"/>
      <c r="BR20" s="15"/>
      <c r="BS20" s="58"/>
      <c r="BT20" s="15"/>
      <c r="BU20" s="58"/>
      <c r="BV20" s="15"/>
      <c r="BW20" s="58"/>
      <c r="BX20" s="15"/>
      <c r="BY20" s="58"/>
      <c r="BZ20" s="15"/>
      <c r="CA20" s="58"/>
      <c r="CB20" s="15"/>
      <c r="CC20" s="58"/>
      <c r="CD20" s="15"/>
      <c r="CE20" s="58"/>
      <c r="CF20" s="15"/>
      <c r="CG20" s="58"/>
      <c r="CH20" s="15"/>
      <c r="CI20" s="58"/>
      <c r="CJ20" s="15"/>
      <c r="CK20" s="58"/>
      <c r="CL20" s="15"/>
      <c r="CM20" s="58"/>
      <c r="CN20" s="15"/>
      <c r="CO20" s="58"/>
      <c r="CP20" s="15"/>
      <c r="CQ20" s="58"/>
      <c r="CR20" s="15"/>
      <c r="CS20" s="58"/>
      <c r="CT20" s="15"/>
      <c r="CU20" s="58"/>
      <c r="CV20" s="15"/>
      <c r="CW20" s="58"/>
      <c r="CX20" s="15"/>
      <c r="CY20" s="58"/>
      <c r="CZ20" s="15"/>
      <c r="DA20" s="58"/>
      <c r="DB20" s="15"/>
      <c r="DC20" s="58"/>
      <c r="DD20" s="15"/>
      <c r="DE20" s="58"/>
      <c r="DF20" s="15"/>
      <c r="DG20" s="58"/>
      <c r="DH20" s="15"/>
      <c r="DI20" s="58"/>
      <c r="DJ20" s="15"/>
      <c r="DK20" s="58"/>
      <c r="DL20" s="15"/>
      <c r="DM20" s="58"/>
      <c r="DN20" s="15"/>
      <c r="DO20" s="58"/>
      <c r="DP20" s="15"/>
      <c r="DQ20" s="58"/>
      <c r="DR20" s="15"/>
      <c r="DS20" s="58"/>
      <c r="DT20" s="15"/>
      <c r="DU20" s="58"/>
      <c r="DV20" s="15"/>
      <c r="DW20" s="58"/>
      <c r="DX20" s="15"/>
      <c r="DY20" s="58"/>
      <c r="DZ20" s="15"/>
      <c r="EA20" s="58"/>
      <c r="EB20" s="15"/>
      <c r="EC20" s="58"/>
      <c r="ED20" s="15"/>
      <c r="EE20" s="217"/>
      <c r="EF20" s="8">
        <v>1250000</v>
      </c>
      <c r="EG20" s="312">
        <v>1235000</v>
      </c>
      <c r="EH20" s="236">
        <v>1200000</v>
      </c>
      <c r="EI20" s="218"/>
      <c r="EJ20" s="218"/>
      <c r="EK20" s="218"/>
      <c r="EL20" s="218"/>
      <c r="EM20" s="218"/>
      <c r="EN20" s="246" t="s">
        <v>209</v>
      </c>
      <c r="EO20" s="246" t="s">
        <v>209</v>
      </c>
      <c r="EP20" s="246" t="s">
        <v>209</v>
      </c>
      <c r="EQ20" s="246" t="s">
        <v>209</v>
      </c>
      <c r="ER20" s="246"/>
      <c r="ES20" s="246"/>
      <c r="ET20" s="246"/>
      <c r="EU20" s="246"/>
      <c r="EV20" s="246"/>
      <c r="EW20" s="246"/>
      <c r="EX20" s="246"/>
      <c r="EY20" s="246"/>
      <c r="EZ20" s="246"/>
      <c r="FA20" s="246"/>
      <c r="FB20" s="59">
        <f t="shared" si="7"/>
        <v>1235000</v>
      </c>
      <c r="FC20" s="59">
        <f t="shared" si="0"/>
        <v>1228333.3333333333</v>
      </c>
      <c r="FD20" s="60">
        <f t="shared" si="1"/>
        <v>25658.007197234423</v>
      </c>
      <c r="FE20" s="65">
        <f t="shared" si="2"/>
        <v>2.0888472616473072E-2</v>
      </c>
      <c r="FF20" s="88">
        <f t="shared" si="8"/>
        <v>1032213.4453781513</v>
      </c>
      <c r="FG20" s="88">
        <f t="shared" si="9"/>
        <v>196120.55462184874</v>
      </c>
      <c r="FH20" s="74">
        <f t="shared" si="5"/>
        <v>1228334</v>
      </c>
      <c r="FI20" s="260">
        <f t="shared" si="6"/>
        <v>36850020</v>
      </c>
      <c r="FJ20" s="60" t="s">
        <v>65</v>
      </c>
    </row>
    <row r="21" spans="1:167" s="40" customFormat="1" ht="72.5" x14ac:dyDescent="0.35">
      <c r="A21" s="37">
        <v>15</v>
      </c>
      <c r="B21" s="37" t="s">
        <v>219</v>
      </c>
      <c r="C21" s="38" t="s">
        <v>1024</v>
      </c>
      <c r="D21" s="249" t="s">
        <v>64</v>
      </c>
      <c r="E21" s="220">
        <v>60</v>
      </c>
      <c r="F21" s="58"/>
      <c r="G21" s="58"/>
      <c r="H21" s="58"/>
      <c r="I21" s="58"/>
      <c r="J21" s="58"/>
      <c r="K21" s="58"/>
      <c r="L21" s="15"/>
      <c r="M21" s="58"/>
      <c r="N21" s="15"/>
      <c r="O21" s="58"/>
      <c r="P21" s="15"/>
      <c r="Q21" s="58"/>
      <c r="R21" s="15"/>
      <c r="S21" s="58"/>
      <c r="T21" s="15"/>
      <c r="U21" s="58"/>
      <c r="V21" s="15"/>
      <c r="W21" s="58"/>
      <c r="X21" s="15"/>
      <c r="Y21" s="58"/>
      <c r="Z21" s="15"/>
      <c r="AA21" s="58"/>
      <c r="AB21" s="15"/>
      <c r="AC21" s="58"/>
      <c r="AD21" s="58"/>
      <c r="AE21" s="58"/>
      <c r="AF21" s="15"/>
      <c r="AG21" s="58"/>
      <c r="AH21" s="15"/>
      <c r="AI21" s="58"/>
      <c r="AJ21" s="15"/>
      <c r="AK21" s="58"/>
      <c r="AL21" s="15"/>
      <c r="AM21" s="58"/>
      <c r="AN21" s="15"/>
      <c r="AO21" s="58"/>
      <c r="AP21" s="15"/>
      <c r="AQ21" s="58"/>
      <c r="AR21" s="15"/>
      <c r="AS21" s="58"/>
      <c r="AT21" s="15"/>
      <c r="AU21" s="58"/>
      <c r="AV21" s="15"/>
      <c r="AW21" s="58"/>
      <c r="AX21" s="15"/>
      <c r="AY21" s="58"/>
      <c r="AZ21" s="15"/>
      <c r="BA21" s="58"/>
      <c r="BB21" s="15"/>
      <c r="BC21" s="58"/>
      <c r="BD21" s="15"/>
      <c r="BE21" s="58"/>
      <c r="BF21" s="15"/>
      <c r="BG21" s="58"/>
      <c r="BH21" s="15"/>
      <c r="BI21" s="58"/>
      <c r="BJ21" s="15"/>
      <c r="BK21" s="58"/>
      <c r="BL21" s="15"/>
      <c r="BM21" s="58"/>
      <c r="BN21" s="15"/>
      <c r="BO21" s="58"/>
      <c r="BP21" s="15"/>
      <c r="BQ21" s="58"/>
      <c r="BR21" s="15"/>
      <c r="BS21" s="58"/>
      <c r="BT21" s="15"/>
      <c r="BU21" s="58"/>
      <c r="BV21" s="15"/>
      <c r="BW21" s="58"/>
      <c r="BX21" s="15"/>
      <c r="BY21" s="58"/>
      <c r="BZ21" s="15"/>
      <c r="CA21" s="58"/>
      <c r="CB21" s="15"/>
      <c r="CC21" s="58"/>
      <c r="CD21" s="15"/>
      <c r="CE21" s="58"/>
      <c r="CF21" s="15"/>
      <c r="CG21" s="58"/>
      <c r="CH21" s="15"/>
      <c r="CI21" s="58"/>
      <c r="CJ21" s="15"/>
      <c r="CK21" s="58"/>
      <c r="CL21" s="15"/>
      <c r="CM21" s="58"/>
      <c r="CN21" s="15"/>
      <c r="CO21" s="58"/>
      <c r="CP21" s="15"/>
      <c r="CQ21" s="58"/>
      <c r="CR21" s="15"/>
      <c r="CS21" s="58"/>
      <c r="CT21" s="15"/>
      <c r="CU21" s="58"/>
      <c r="CV21" s="15"/>
      <c r="CW21" s="58"/>
      <c r="CX21" s="15"/>
      <c r="CY21" s="58"/>
      <c r="CZ21" s="15"/>
      <c r="DA21" s="58"/>
      <c r="DB21" s="15"/>
      <c r="DC21" s="58"/>
      <c r="DD21" s="15"/>
      <c r="DE21" s="58"/>
      <c r="DF21" s="15"/>
      <c r="DG21" s="58"/>
      <c r="DH21" s="15"/>
      <c r="DI21" s="58"/>
      <c r="DJ21" s="15"/>
      <c r="DK21" s="58"/>
      <c r="DL21" s="15"/>
      <c r="DM21" s="58"/>
      <c r="DN21" s="15"/>
      <c r="DO21" s="58"/>
      <c r="DP21" s="15"/>
      <c r="DQ21" s="58"/>
      <c r="DR21" s="15"/>
      <c r="DS21" s="58"/>
      <c r="DT21" s="15"/>
      <c r="DU21" s="58"/>
      <c r="DV21" s="15"/>
      <c r="DW21" s="58"/>
      <c r="DX21" s="15"/>
      <c r="DY21" s="58"/>
      <c r="DZ21" s="15"/>
      <c r="EA21" s="58"/>
      <c r="EB21" s="15"/>
      <c r="EC21" s="58"/>
      <c r="ED21" s="15"/>
      <c r="EE21" s="217"/>
      <c r="EF21" s="8">
        <v>5750000</v>
      </c>
      <c r="EG21" s="313">
        <v>5750000</v>
      </c>
      <c r="EH21" s="236">
        <v>5700000</v>
      </c>
      <c r="EI21" s="218"/>
      <c r="EJ21" s="218"/>
      <c r="EK21" s="218"/>
      <c r="EL21" s="218"/>
      <c r="EM21" s="218"/>
      <c r="EN21" s="246" t="s">
        <v>209</v>
      </c>
      <c r="EO21" s="246" t="s">
        <v>209</v>
      </c>
      <c r="EP21" s="246" t="s">
        <v>209</v>
      </c>
      <c r="EQ21" s="246" t="s">
        <v>209</v>
      </c>
      <c r="ER21" s="246"/>
      <c r="ES21" s="246"/>
      <c r="ET21" s="246"/>
      <c r="EU21" s="246"/>
      <c r="EV21" s="246"/>
      <c r="EW21" s="246"/>
      <c r="EX21" s="246"/>
      <c r="EY21" s="246"/>
      <c r="EZ21" s="246"/>
      <c r="FA21" s="246"/>
      <c r="FB21" s="59">
        <f t="shared" si="7"/>
        <v>5750000</v>
      </c>
      <c r="FC21" s="59">
        <f t="shared" si="0"/>
        <v>5733333.333333333</v>
      </c>
      <c r="FD21" s="60">
        <f t="shared" si="1"/>
        <v>28867.513459481288</v>
      </c>
      <c r="FE21" s="65">
        <f t="shared" si="2"/>
        <v>5.0350314173513875E-3</v>
      </c>
      <c r="FF21" s="88">
        <f t="shared" si="8"/>
        <v>4817927.7310924372</v>
      </c>
      <c r="FG21" s="88">
        <f t="shared" si="9"/>
        <v>915406.26890756306</v>
      </c>
      <c r="FH21" s="74">
        <f t="shared" si="5"/>
        <v>5733334</v>
      </c>
      <c r="FI21" s="260">
        <f t="shared" si="6"/>
        <v>344000040</v>
      </c>
      <c r="FJ21" s="60" t="s">
        <v>65</v>
      </c>
    </row>
    <row r="22" spans="1:167" s="71" customFormat="1" ht="58" x14ac:dyDescent="0.35">
      <c r="A22" s="36">
        <v>16</v>
      </c>
      <c r="B22" s="37" t="s">
        <v>220</v>
      </c>
      <c r="C22" s="38" t="s">
        <v>903</v>
      </c>
      <c r="D22" s="249" t="s">
        <v>64</v>
      </c>
      <c r="E22" s="220">
        <v>22</v>
      </c>
      <c r="F22" s="66"/>
      <c r="G22" s="58"/>
      <c r="H22" s="66"/>
      <c r="I22" s="58"/>
      <c r="J22" s="66"/>
      <c r="K22" s="58"/>
      <c r="L22" s="44"/>
      <c r="M22" s="58"/>
      <c r="N22" s="44"/>
      <c r="O22" s="58"/>
      <c r="P22" s="44"/>
      <c r="Q22" s="58"/>
      <c r="R22" s="44"/>
      <c r="S22" s="58"/>
      <c r="T22" s="44"/>
      <c r="U22" s="58"/>
      <c r="V22" s="44"/>
      <c r="W22" s="58"/>
      <c r="X22" s="44"/>
      <c r="Y22" s="58"/>
      <c r="Z22" s="15"/>
      <c r="AA22" s="58"/>
      <c r="AB22" s="15"/>
      <c r="AC22" s="58"/>
      <c r="AD22" s="58"/>
      <c r="AE22" s="58"/>
      <c r="AF22" s="15"/>
      <c r="AG22" s="58"/>
      <c r="AH22" s="15"/>
      <c r="AI22" s="58"/>
      <c r="AJ22" s="15"/>
      <c r="AK22" s="58"/>
      <c r="AL22" s="15"/>
      <c r="AM22" s="58"/>
      <c r="AN22" s="15"/>
      <c r="AO22" s="58"/>
      <c r="AP22" s="15"/>
      <c r="AQ22" s="58"/>
      <c r="AR22" s="15"/>
      <c r="AS22" s="58"/>
      <c r="AT22" s="15"/>
      <c r="AU22" s="58"/>
      <c r="AV22" s="15"/>
      <c r="AW22" s="58"/>
      <c r="AX22" s="15"/>
      <c r="AY22" s="58"/>
      <c r="AZ22" s="15"/>
      <c r="BA22" s="58"/>
      <c r="BB22" s="15"/>
      <c r="BC22" s="58"/>
      <c r="BD22" s="15"/>
      <c r="BE22" s="58"/>
      <c r="BF22" s="15"/>
      <c r="BG22" s="58"/>
      <c r="BH22" s="15"/>
      <c r="BI22" s="58"/>
      <c r="BJ22" s="15"/>
      <c r="BK22" s="58"/>
      <c r="BL22" s="15"/>
      <c r="BM22" s="58"/>
      <c r="BN22" s="15"/>
      <c r="BO22" s="58"/>
      <c r="BP22" s="15"/>
      <c r="BQ22" s="58"/>
      <c r="BR22" s="15"/>
      <c r="BS22" s="58"/>
      <c r="BT22" s="15"/>
      <c r="BU22" s="58"/>
      <c r="BV22" s="15"/>
      <c r="BW22" s="58"/>
      <c r="BX22" s="15"/>
      <c r="BY22" s="58"/>
      <c r="BZ22" s="15"/>
      <c r="CA22" s="58"/>
      <c r="CB22" s="15"/>
      <c r="CC22" s="58"/>
      <c r="CD22" s="15"/>
      <c r="CE22" s="58"/>
      <c r="CF22" s="15"/>
      <c r="CG22" s="58"/>
      <c r="CH22" s="15"/>
      <c r="CI22" s="58"/>
      <c r="CJ22" s="15"/>
      <c r="CK22" s="58"/>
      <c r="CL22" s="15"/>
      <c r="CM22" s="58"/>
      <c r="CN22" s="15"/>
      <c r="CO22" s="58"/>
      <c r="CP22" s="15"/>
      <c r="CQ22" s="58"/>
      <c r="CR22" s="15"/>
      <c r="CS22" s="58"/>
      <c r="CT22" s="15"/>
      <c r="CU22" s="58"/>
      <c r="CV22" s="15"/>
      <c r="CW22" s="58"/>
      <c r="CX22" s="15"/>
      <c r="CY22" s="58"/>
      <c r="CZ22" s="15"/>
      <c r="DA22" s="58"/>
      <c r="DB22" s="15"/>
      <c r="DC22" s="58"/>
      <c r="DD22" s="15"/>
      <c r="DE22" s="58"/>
      <c r="DF22" s="15"/>
      <c r="DG22" s="58"/>
      <c r="DH22" s="15"/>
      <c r="DI22" s="58"/>
      <c r="DJ22" s="15"/>
      <c r="DK22" s="58"/>
      <c r="DL22" s="15"/>
      <c r="DM22" s="58"/>
      <c r="DN22" s="15"/>
      <c r="DO22" s="58"/>
      <c r="DP22" s="15"/>
      <c r="DQ22" s="58"/>
      <c r="DR22" s="15"/>
      <c r="DS22" s="58"/>
      <c r="DT22" s="15"/>
      <c r="DU22" s="58"/>
      <c r="DV22" s="15"/>
      <c r="DW22" s="58"/>
      <c r="DX22" s="15"/>
      <c r="DY22" s="58"/>
      <c r="DZ22" s="15"/>
      <c r="EA22" s="58"/>
      <c r="EB22" s="15"/>
      <c r="EC22" s="58"/>
      <c r="ED22" s="15"/>
      <c r="EE22" s="217"/>
      <c r="EF22" s="8">
        <v>7900000</v>
      </c>
      <c r="EG22" s="312">
        <v>7900000</v>
      </c>
      <c r="EH22" s="236">
        <v>7800000</v>
      </c>
      <c r="EI22" s="218"/>
      <c r="EJ22" s="218"/>
      <c r="EK22" s="218"/>
      <c r="EL22" s="218"/>
      <c r="EM22" s="218"/>
      <c r="EN22" s="246" t="s">
        <v>209</v>
      </c>
      <c r="EO22" s="246" t="s">
        <v>209</v>
      </c>
      <c r="EP22" s="246" t="s">
        <v>209</v>
      </c>
      <c r="EQ22" s="246" t="s">
        <v>209</v>
      </c>
      <c r="ER22" s="246"/>
      <c r="ES22" s="246"/>
      <c r="ET22" s="246"/>
      <c r="EU22" s="246"/>
      <c r="EV22" s="246"/>
      <c r="EW22" s="246"/>
      <c r="EX22" s="246"/>
      <c r="EY22" s="246"/>
      <c r="EZ22" s="246"/>
      <c r="FA22" s="246"/>
      <c r="FB22" s="59">
        <f t="shared" si="7"/>
        <v>7900000</v>
      </c>
      <c r="FC22" s="59">
        <f t="shared" si="0"/>
        <v>7866666.666666667</v>
      </c>
      <c r="FD22" s="60">
        <f t="shared" si="1"/>
        <v>57735.026918962576</v>
      </c>
      <c r="FE22" s="65">
        <f t="shared" si="2"/>
        <v>7.3391983371562594E-3</v>
      </c>
      <c r="FF22" s="88">
        <f t="shared" si="8"/>
        <v>6610644.5378151266</v>
      </c>
      <c r="FG22" s="88">
        <f t="shared" si="9"/>
        <v>1256022.4621848741</v>
      </c>
      <c r="FH22" s="74">
        <f t="shared" si="5"/>
        <v>7866667</v>
      </c>
      <c r="FI22" s="260">
        <f t="shared" si="6"/>
        <v>173066674</v>
      </c>
      <c r="FJ22" s="60" t="s">
        <v>65</v>
      </c>
      <c r="FK22" s="342"/>
    </row>
    <row r="23" spans="1:167" s="40" customFormat="1" ht="43.5" x14ac:dyDescent="0.35">
      <c r="A23" s="36">
        <v>17</v>
      </c>
      <c r="B23" s="37" t="s">
        <v>1084</v>
      </c>
      <c r="C23" s="38" t="s">
        <v>904</v>
      </c>
      <c r="D23" s="249" t="s">
        <v>64</v>
      </c>
      <c r="E23" s="220">
        <v>50</v>
      </c>
      <c r="F23" s="58"/>
      <c r="G23" s="58"/>
      <c r="H23" s="58"/>
      <c r="I23" s="58"/>
      <c r="J23" s="58"/>
      <c r="K23" s="58"/>
      <c r="L23" s="15"/>
      <c r="M23" s="58"/>
      <c r="N23" s="15"/>
      <c r="O23" s="58"/>
      <c r="P23" s="15"/>
      <c r="Q23" s="58"/>
      <c r="R23" s="15"/>
      <c r="S23" s="58"/>
      <c r="T23" s="15"/>
      <c r="U23" s="58"/>
      <c r="V23" s="15"/>
      <c r="W23" s="58"/>
      <c r="X23" s="15"/>
      <c r="Y23" s="58"/>
      <c r="Z23" s="15"/>
      <c r="AA23" s="58"/>
      <c r="AB23" s="15"/>
      <c r="AC23" s="58"/>
      <c r="AD23" s="58"/>
      <c r="AE23" s="58"/>
      <c r="AF23" s="15"/>
      <c r="AG23" s="58"/>
      <c r="AH23" s="15"/>
      <c r="AI23" s="58"/>
      <c r="AJ23" s="15"/>
      <c r="AK23" s="58"/>
      <c r="AL23" s="15"/>
      <c r="AM23" s="58"/>
      <c r="AN23" s="15"/>
      <c r="AO23" s="58"/>
      <c r="AP23" s="15"/>
      <c r="AQ23" s="58"/>
      <c r="AR23" s="15"/>
      <c r="AS23" s="58"/>
      <c r="AT23" s="15"/>
      <c r="AU23" s="58"/>
      <c r="AV23" s="15"/>
      <c r="AW23" s="58"/>
      <c r="AX23" s="15"/>
      <c r="AY23" s="58"/>
      <c r="AZ23" s="15"/>
      <c r="BA23" s="58"/>
      <c r="BB23" s="15"/>
      <c r="BC23" s="58"/>
      <c r="BD23" s="15"/>
      <c r="BE23" s="58"/>
      <c r="BF23" s="15"/>
      <c r="BG23" s="58"/>
      <c r="BH23" s="15"/>
      <c r="BI23" s="58"/>
      <c r="BJ23" s="15"/>
      <c r="BK23" s="58"/>
      <c r="BL23" s="15"/>
      <c r="BM23" s="58"/>
      <c r="BN23" s="15"/>
      <c r="BO23" s="58"/>
      <c r="BP23" s="15"/>
      <c r="BQ23" s="58"/>
      <c r="BR23" s="15"/>
      <c r="BS23" s="58"/>
      <c r="BT23" s="15"/>
      <c r="BU23" s="58"/>
      <c r="BV23" s="15"/>
      <c r="BW23" s="58"/>
      <c r="BX23" s="15"/>
      <c r="BY23" s="58"/>
      <c r="BZ23" s="15"/>
      <c r="CA23" s="58"/>
      <c r="CB23" s="15"/>
      <c r="CC23" s="58"/>
      <c r="CD23" s="15"/>
      <c r="CE23" s="58"/>
      <c r="CF23" s="15"/>
      <c r="CG23" s="58"/>
      <c r="CH23" s="15"/>
      <c r="CI23" s="58"/>
      <c r="CJ23" s="15"/>
      <c r="CK23" s="58"/>
      <c r="CL23" s="15"/>
      <c r="CM23" s="58"/>
      <c r="CN23" s="15"/>
      <c r="CO23" s="58"/>
      <c r="CP23" s="15"/>
      <c r="CQ23" s="58"/>
      <c r="CR23" s="15"/>
      <c r="CS23" s="58"/>
      <c r="CT23" s="15"/>
      <c r="CU23" s="58"/>
      <c r="CV23" s="15"/>
      <c r="CW23" s="58"/>
      <c r="CX23" s="15"/>
      <c r="CY23" s="58"/>
      <c r="CZ23" s="15"/>
      <c r="DA23" s="58"/>
      <c r="DB23" s="15"/>
      <c r="DC23" s="58"/>
      <c r="DD23" s="15"/>
      <c r="DE23" s="58"/>
      <c r="DF23" s="15"/>
      <c r="DG23" s="58"/>
      <c r="DH23" s="15"/>
      <c r="DI23" s="58"/>
      <c r="DJ23" s="15"/>
      <c r="DK23" s="58"/>
      <c r="DL23" s="15"/>
      <c r="DM23" s="58"/>
      <c r="DN23" s="15"/>
      <c r="DO23" s="58"/>
      <c r="DP23" s="15"/>
      <c r="DQ23" s="58"/>
      <c r="DR23" s="15"/>
      <c r="DS23" s="58"/>
      <c r="DT23" s="15"/>
      <c r="DU23" s="58"/>
      <c r="DV23" s="15"/>
      <c r="DW23" s="58"/>
      <c r="DX23" s="15"/>
      <c r="DY23" s="58"/>
      <c r="DZ23" s="15"/>
      <c r="EA23" s="58"/>
      <c r="EB23" s="15"/>
      <c r="EC23" s="58"/>
      <c r="ED23" s="15"/>
      <c r="EE23" s="217"/>
      <c r="EF23" s="8">
        <v>260000</v>
      </c>
      <c r="EG23" s="312">
        <v>256000</v>
      </c>
      <c r="EH23" s="236">
        <v>250000</v>
      </c>
      <c r="EI23" s="218"/>
      <c r="EJ23" s="218"/>
      <c r="EK23" s="218"/>
      <c r="EL23" s="218"/>
      <c r="EM23" s="218"/>
      <c r="EN23" s="246" t="s">
        <v>209</v>
      </c>
      <c r="EO23" s="246" t="s">
        <v>209</v>
      </c>
      <c r="EP23" s="246" t="s">
        <v>209</v>
      </c>
      <c r="EQ23" s="246" t="s">
        <v>209</v>
      </c>
      <c r="ER23" s="246"/>
      <c r="ES23" s="246"/>
      <c r="ET23" s="246"/>
      <c r="EU23" s="246"/>
      <c r="EV23" s="246"/>
      <c r="EW23" s="246"/>
      <c r="EX23" s="246"/>
      <c r="EY23" s="246"/>
      <c r="EZ23" s="246"/>
      <c r="FA23" s="246"/>
      <c r="FB23" s="59">
        <f t="shared" si="7"/>
        <v>256000</v>
      </c>
      <c r="FC23" s="59">
        <f t="shared" si="0"/>
        <v>255333.33333333334</v>
      </c>
      <c r="FD23" s="60">
        <f t="shared" si="1"/>
        <v>5033.2229568471666</v>
      </c>
      <c r="FE23" s="65">
        <f t="shared" si="2"/>
        <v>1.9712361449793079E-2</v>
      </c>
      <c r="FF23" s="88">
        <f t="shared" si="8"/>
        <v>214566.38655462186</v>
      </c>
      <c r="FG23" s="88">
        <f t="shared" si="9"/>
        <v>40767.613445378156</v>
      </c>
      <c r="FH23" s="74">
        <f t="shared" si="5"/>
        <v>255334</v>
      </c>
      <c r="FI23" s="260">
        <f t="shared" si="6"/>
        <v>12766700</v>
      </c>
      <c r="FJ23" s="60" t="s">
        <v>65</v>
      </c>
    </row>
    <row r="24" spans="1:167" s="40" customFormat="1" ht="58" x14ac:dyDescent="0.35">
      <c r="A24" s="37">
        <v>18</v>
      </c>
      <c r="B24" s="37" t="s">
        <v>221</v>
      </c>
      <c r="C24" s="38" t="s">
        <v>905</v>
      </c>
      <c r="D24" s="249" t="s">
        <v>64</v>
      </c>
      <c r="E24" s="220">
        <v>50</v>
      </c>
      <c r="F24" s="58"/>
      <c r="G24" s="58"/>
      <c r="H24" s="58"/>
      <c r="I24" s="58"/>
      <c r="J24" s="58"/>
      <c r="K24" s="58"/>
      <c r="L24" s="15"/>
      <c r="M24" s="58"/>
      <c r="N24" s="15"/>
      <c r="O24" s="58"/>
      <c r="P24" s="15"/>
      <c r="Q24" s="58"/>
      <c r="R24" s="15"/>
      <c r="S24" s="58"/>
      <c r="T24" s="15"/>
      <c r="U24" s="58"/>
      <c r="V24" s="15"/>
      <c r="W24" s="58"/>
      <c r="X24" s="15"/>
      <c r="Y24" s="58"/>
      <c r="Z24" s="15"/>
      <c r="AA24" s="58"/>
      <c r="AB24" s="15"/>
      <c r="AC24" s="58"/>
      <c r="AD24" s="58"/>
      <c r="AE24" s="58"/>
      <c r="AF24" s="15"/>
      <c r="AG24" s="58"/>
      <c r="AH24" s="15"/>
      <c r="AI24" s="58"/>
      <c r="AJ24" s="15"/>
      <c r="AK24" s="58"/>
      <c r="AL24" s="15"/>
      <c r="AM24" s="58"/>
      <c r="AN24" s="15"/>
      <c r="AO24" s="58"/>
      <c r="AP24" s="15"/>
      <c r="AQ24" s="58"/>
      <c r="AR24" s="15"/>
      <c r="AS24" s="58"/>
      <c r="AT24" s="15"/>
      <c r="AU24" s="58"/>
      <c r="AV24" s="15"/>
      <c r="AW24" s="58"/>
      <c r="AX24" s="15"/>
      <c r="AY24" s="58"/>
      <c r="AZ24" s="15"/>
      <c r="BA24" s="58"/>
      <c r="BB24" s="15"/>
      <c r="BC24" s="58"/>
      <c r="BD24" s="15"/>
      <c r="BE24" s="58"/>
      <c r="BF24" s="15"/>
      <c r="BG24" s="58"/>
      <c r="BH24" s="15"/>
      <c r="BI24" s="58"/>
      <c r="BJ24" s="15"/>
      <c r="BK24" s="58"/>
      <c r="BL24" s="15"/>
      <c r="BM24" s="58"/>
      <c r="BN24" s="15"/>
      <c r="BO24" s="58"/>
      <c r="BP24" s="15"/>
      <c r="BQ24" s="58"/>
      <c r="BR24" s="15"/>
      <c r="BS24" s="58"/>
      <c r="BT24" s="15"/>
      <c r="BU24" s="58"/>
      <c r="BV24" s="15"/>
      <c r="BW24" s="58"/>
      <c r="BX24" s="15"/>
      <c r="BY24" s="58"/>
      <c r="BZ24" s="15"/>
      <c r="CA24" s="58"/>
      <c r="CB24" s="15"/>
      <c r="CC24" s="58"/>
      <c r="CD24" s="15"/>
      <c r="CE24" s="58"/>
      <c r="CF24" s="15"/>
      <c r="CG24" s="58"/>
      <c r="CH24" s="15"/>
      <c r="CI24" s="58"/>
      <c r="CJ24" s="15"/>
      <c r="CK24" s="58"/>
      <c r="CL24" s="15"/>
      <c r="CM24" s="58"/>
      <c r="CN24" s="15"/>
      <c r="CO24" s="58"/>
      <c r="CP24" s="15"/>
      <c r="CQ24" s="58"/>
      <c r="CR24" s="15"/>
      <c r="CS24" s="58"/>
      <c r="CT24" s="15"/>
      <c r="CU24" s="58"/>
      <c r="CV24" s="15"/>
      <c r="CW24" s="58"/>
      <c r="CX24" s="15"/>
      <c r="CY24" s="58"/>
      <c r="CZ24" s="15"/>
      <c r="DA24" s="58"/>
      <c r="DB24" s="15"/>
      <c r="DC24" s="58"/>
      <c r="DD24" s="15"/>
      <c r="DE24" s="58"/>
      <c r="DF24" s="15"/>
      <c r="DG24" s="58"/>
      <c r="DH24" s="15"/>
      <c r="DI24" s="58"/>
      <c r="DJ24" s="15"/>
      <c r="DK24" s="58"/>
      <c r="DL24" s="15"/>
      <c r="DM24" s="58"/>
      <c r="DN24" s="15"/>
      <c r="DO24" s="58"/>
      <c r="DP24" s="15"/>
      <c r="DQ24" s="58"/>
      <c r="DR24" s="15"/>
      <c r="DS24" s="58"/>
      <c r="DT24" s="15"/>
      <c r="DU24" s="58"/>
      <c r="DV24" s="15"/>
      <c r="DW24" s="58"/>
      <c r="DX24" s="15"/>
      <c r="DY24" s="58"/>
      <c r="DZ24" s="15"/>
      <c r="EA24" s="58"/>
      <c r="EB24" s="15"/>
      <c r="EC24" s="58"/>
      <c r="ED24" s="15"/>
      <c r="EE24" s="217"/>
      <c r="EF24" s="8">
        <v>1100000</v>
      </c>
      <c r="EG24" s="312">
        <v>950000</v>
      </c>
      <c r="EH24" s="236">
        <v>1000000</v>
      </c>
      <c r="EI24" s="218"/>
      <c r="EJ24" s="218"/>
      <c r="EK24" s="218"/>
      <c r="EL24" s="218"/>
      <c r="EM24" s="218"/>
      <c r="EN24" s="246" t="s">
        <v>209</v>
      </c>
      <c r="EO24" s="246" t="s">
        <v>209</v>
      </c>
      <c r="EP24" s="246" t="s">
        <v>209</v>
      </c>
      <c r="EQ24" s="246" t="s">
        <v>209</v>
      </c>
      <c r="ER24" s="246"/>
      <c r="ES24" s="246"/>
      <c r="ET24" s="246"/>
      <c r="EU24" s="246"/>
      <c r="EV24" s="246"/>
      <c r="EW24" s="246"/>
      <c r="EX24" s="246"/>
      <c r="EY24" s="246"/>
      <c r="EZ24" s="246"/>
      <c r="FA24" s="246"/>
      <c r="FB24" s="59">
        <f t="shared" si="7"/>
        <v>1000000</v>
      </c>
      <c r="FC24" s="59">
        <f t="shared" si="0"/>
        <v>1016666.6666666666</v>
      </c>
      <c r="FD24" s="60">
        <f t="shared" si="1"/>
        <v>76376.261582597333</v>
      </c>
      <c r="FE24" s="65">
        <f t="shared" si="2"/>
        <v>7.5124191720587541E-2</v>
      </c>
      <c r="FF24" s="88">
        <f t="shared" si="8"/>
        <v>854342.01680672274</v>
      </c>
      <c r="FG24" s="88">
        <f t="shared" si="9"/>
        <v>162324.98319327732</v>
      </c>
      <c r="FH24" s="74">
        <f t="shared" si="5"/>
        <v>1016667</v>
      </c>
      <c r="FI24" s="260">
        <f t="shared" si="6"/>
        <v>50833350</v>
      </c>
      <c r="FJ24" s="60" t="s">
        <v>65</v>
      </c>
      <c r="FK24" s="343"/>
    </row>
    <row r="25" spans="1:167" s="40" customFormat="1" ht="72.5" x14ac:dyDescent="0.35">
      <c r="A25" s="37">
        <v>19</v>
      </c>
      <c r="B25" s="37" t="s">
        <v>222</v>
      </c>
      <c r="C25" s="36" t="s">
        <v>1025</v>
      </c>
      <c r="D25" s="249" t="s">
        <v>64</v>
      </c>
      <c r="E25" s="220">
        <v>5</v>
      </c>
      <c r="F25" s="58"/>
      <c r="G25" s="58"/>
      <c r="H25" s="58"/>
      <c r="I25" s="58"/>
      <c r="J25" s="58"/>
      <c r="K25" s="58"/>
      <c r="L25" s="15"/>
      <c r="M25" s="58"/>
      <c r="N25" s="15"/>
      <c r="O25" s="58"/>
      <c r="P25" s="15"/>
      <c r="Q25" s="58"/>
      <c r="R25" s="15"/>
      <c r="S25" s="58"/>
      <c r="T25" s="15"/>
      <c r="U25" s="58"/>
      <c r="V25" s="15"/>
      <c r="W25" s="58"/>
      <c r="X25" s="15"/>
      <c r="Y25" s="58"/>
      <c r="Z25" s="15"/>
      <c r="AA25" s="58"/>
      <c r="AB25" s="15"/>
      <c r="AC25" s="58"/>
      <c r="AD25" s="58"/>
      <c r="AE25" s="58"/>
      <c r="AF25" s="15"/>
      <c r="AG25" s="58"/>
      <c r="AH25" s="15"/>
      <c r="AI25" s="58"/>
      <c r="AJ25" s="15"/>
      <c r="AK25" s="58"/>
      <c r="AL25" s="15"/>
      <c r="AM25" s="58"/>
      <c r="AN25" s="15"/>
      <c r="AO25" s="58"/>
      <c r="AP25" s="15"/>
      <c r="AQ25" s="58"/>
      <c r="AR25" s="15"/>
      <c r="AS25" s="58"/>
      <c r="AT25" s="15"/>
      <c r="AU25" s="58"/>
      <c r="AV25" s="15"/>
      <c r="AW25" s="58"/>
      <c r="AX25" s="15"/>
      <c r="AY25" s="58"/>
      <c r="AZ25" s="15"/>
      <c r="BA25" s="58"/>
      <c r="BB25" s="15"/>
      <c r="BC25" s="58"/>
      <c r="BD25" s="15"/>
      <c r="BE25" s="58"/>
      <c r="BF25" s="15"/>
      <c r="BG25" s="58"/>
      <c r="BH25" s="15"/>
      <c r="BI25" s="58"/>
      <c r="BJ25" s="15"/>
      <c r="BK25" s="58"/>
      <c r="BL25" s="15"/>
      <c r="BM25" s="58"/>
      <c r="BN25" s="15"/>
      <c r="BO25" s="58"/>
      <c r="BP25" s="15"/>
      <c r="BQ25" s="58"/>
      <c r="BR25" s="15"/>
      <c r="BS25" s="58"/>
      <c r="BT25" s="15"/>
      <c r="BU25" s="58"/>
      <c r="BV25" s="15"/>
      <c r="BW25" s="58"/>
      <c r="BX25" s="15"/>
      <c r="BY25" s="58"/>
      <c r="BZ25" s="15"/>
      <c r="CA25" s="58"/>
      <c r="CB25" s="15"/>
      <c r="CC25" s="58"/>
      <c r="CD25" s="15"/>
      <c r="CE25" s="58"/>
      <c r="CF25" s="15"/>
      <c r="CG25" s="58"/>
      <c r="CH25" s="15"/>
      <c r="CI25" s="58"/>
      <c r="CJ25" s="15"/>
      <c r="CK25" s="58"/>
      <c r="CL25" s="15"/>
      <c r="CM25" s="58"/>
      <c r="CN25" s="15"/>
      <c r="CO25" s="58"/>
      <c r="CP25" s="15"/>
      <c r="CQ25" s="58"/>
      <c r="CR25" s="15"/>
      <c r="CS25" s="58"/>
      <c r="CT25" s="15"/>
      <c r="CU25" s="58"/>
      <c r="CV25" s="15"/>
      <c r="CW25" s="58"/>
      <c r="CX25" s="15"/>
      <c r="CY25" s="58"/>
      <c r="CZ25" s="15"/>
      <c r="DA25" s="58"/>
      <c r="DB25" s="15"/>
      <c r="DC25" s="58"/>
      <c r="DD25" s="15"/>
      <c r="DE25" s="58"/>
      <c r="DF25" s="15"/>
      <c r="DG25" s="58"/>
      <c r="DH25" s="15"/>
      <c r="DI25" s="58"/>
      <c r="DJ25" s="15"/>
      <c r="DK25" s="58"/>
      <c r="DL25" s="15"/>
      <c r="DM25" s="58"/>
      <c r="DN25" s="15"/>
      <c r="DO25" s="58"/>
      <c r="DP25" s="15"/>
      <c r="DQ25" s="58"/>
      <c r="DR25" s="15"/>
      <c r="DS25" s="58"/>
      <c r="DT25" s="15"/>
      <c r="DU25" s="58"/>
      <c r="DV25" s="15"/>
      <c r="DW25" s="58"/>
      <c r="DX25" s="15"/>
      <c r="DY25" s="58"/>
      <c r="DZ25" s="15"/>
      <c r="EA25" s="58"/>
      <c r="EB25" s="15"/>
      <c r="EC25" s="58"/>
      <c r="ED25" s="15"/>
      <c r="EE25" s="217"/>
      <c r="EF25" s="8">
        <v>1200000</v>
      </c>
      <c r="EG25" s="312">
        <v>1200000</v>
      </c>
      <c r="EH25" s="236">
        <v>1150000</v>
      </c>
      <c r="EI25" s="218"/>
      <c r="EJ25" s="218"/>
      <c r="EK25" s="218"/>
      <c r="EL25" s="218"/>
      <c r="EM25" s="218"/>
      <c r="EN25" s="246" t="s">
        <v>209</v>
      </c>
      <c r="EO25" s="246" t="s">
        <v>209</v>
      </c>
      <c r="EP25" s="246" t="s">
        <v>209</v>
      </c>
      <c r="EQ25" s="246" t="s">
        <v>209</v>
      </c>
      <c r="ER25" s="246"/>
      <c r="ES25" s="246"/>
      <c r="ET25" s="246"/>
      <c r="EU25" s="246"/>
      <c r="EV25" s="246"/>
      <c r="EW25" s="246"/>
      <c r="EX25" s="246"/>
      <c r="EY25" s="246"/>
      <c r="EZ25" s="246"/>
      <c r="FA25" s="246"/>
      <c r="FB25" s="59">
        <f t="shared" si="7"/>
        <v>1200000</v>
      </c>
      <c r="FC25" s="59">
        <f t="shared" si="0"/>
        <v>1183333.3333333333</v>
      </c>
      <c r="FD25" s="60">
        <f t="shared" si="1"/>
        <v>28867.513459481288</v>
      </c>
      <c r="FE25" s="65">
        <f t="shared" si="2"/>
        <v>2.4395081796744753E-2</v>
      </c>
      <c r="FF25" s="88">
        <f t="shared" si="8"/>
        <v>994398.31932773115</v>
      </c>
      <c r="FG25" s="88">
        <f t="shared" si="9"/>
        <v>188935.68067226891</v>
      </c>
      <c r="FH25" s="74">
        <f t="shared" si="5"/>
        <v>1183334</v>
      </c>
      <c r="FI25" s="260">
        <f t="shared" si="6"/>
        <v>5916670</v>
      </c>
      <c r="FJ25" s="60" t="s">
        <v>65</v>
      </c>
    </row>
    <row r="26" spans="1:167" s="40" customFormat="1" ht="58" x14ac:dyDescent="0.35">
      <c r="A26" s="37">
        <v>20</v>
      </c>
      <c r="B26" s="37" t="s">
        <v>223</v>
      </c>
      <c r="C26" s="36" t="s">
        <v>1026</v>
      </c>
      <c r="D26" s="249" t="s">
        <v>64</v>
      </c>
      <c r="E26" s="220">
        <v>5</v>
      </c>
      <c r="F26" s="58"/>
      <c r="G26" s="58"/>
      <c r="H26" s="58"/>
      <c r="I26" s="58"/>
      <c r="J26" s="58"/>
      <c r="K26" s="58"/>
      <c r="L26" s="15"/>
      <c r="M26" s="58"/>
      <c r="N26" s="15"/>
      <c r="O26" s="58"/>
      <c r="P26" s="15"/>
      <c r="Q26" s="58"/>
      <c r="R26" s="15"/>
      <c r="S26" s="58"/>
      <c r="T26" s="15"/>
      <c r="U26" s="58"/>
      <c r="V26" s="15"/>
      <c r="W26" s="58"/>
      <c r="X26" s="15"/>
      <c r="Y26" s="58"/>
      <c r="Z26" s="15"/>
      <c r="AA26" s="58"/>
      <c r="AB26" s="15"/>
      <c r="AC26" s="58"/>
      <c r="AD26" s="58"/>
      <c r="AE26" s="58"/>
      <c r="AF26" s="15"/>
      <c r="AG26" s="58"/>
      <c r="AH26" s="15"/>
      <c r="AI26" s="58"/>
      <c r="AJ26" s="15"/>
      <c r="AK26" s="58"/>
      <c r="AL26" s="15"/>
      <c r="AM26" s="58"/>
      <c r="AN26" s="15"/>
      <c r="AO26" s="58"/>
      <c r="AP26" s="15"/>
      <c r="AQ26" s="58"/>
      <c r="AR26" s="15"/>
      <c r="AS26" s="58"/>
      <c r="AT26" s="15"/>
      <c r="AU26" s="58"/>
      <c r="AV26" s="15"/>
      <c r="AW26" s="58"/>
      <c r="AX26" s="15"/>
      <c r="AY26" s="58"/>
      <c r="AZ26" s="15"/>
      <c r="BA26" s="58"/>
      <c r="BB26" s="15"/>
      <c r="BC26" s="58"/>
      <c r="BD26" s="15"/>
      <c r="BE26" s="58"/>
      <c r="BF26" s="15"/>
      <c r="BG26" s="58"/>
      <c r="BH26" s="15"/>
      <c r="BI26" s="58"/>
      <c r="BJ26" s="15"/>
      <c r="BK26" s="58"/>
      <c r="BL26" s="15"/>
      <c r="BM26" s="58"/>
      <c r="BN26" s="15"/>
      <c r="BO26" s="58"/>
      <c r="BP26" s="15"/>
      <c r="BQ26" s="58"/>
      <c r="BR26" s="15"/>
      <c r="BS26" s="58"/>
      <c r="BT26" s="15"/>
      <c r="BU26" s="58"/>
      <c r="BV26" s="15"/>
      <c r="BW26" s="58"/>
      <c r="BX26" s="15"/>
      <c r="BY26" s="58"/>
      <c r="BZ26" s="15"/>
      <c r="CA26" s="58"/>
      <c r="CB26" s="15"/>
      <c r="CC26" s="58"/>
      <c r="CD26" s="15"/>
      <c r="CE26" s="58"/>
      <c r="CF26" s="15"/>
      <c r="CG26" s="58"/>
      <c r="CH26" s="15"/>
      <c r="CI26" s="58"/>
      <c r="CJ26" s="15"/>
      <c r="CK26" s="58"/>
      <c r="CL26" s="15"/>
      <c r="CM26" s="58"/>
      <c r="CN26" s="15"/>
      <c r="CO26" s="58"/>
      <c r="CP26" s="15"/>
      <c r="CQ26" s="58"/>
      <c r="CR26" s="15"/>
      <c r="CS26" s="58"/>
      <c r="CT26" s="15"/>
      <c r="CU26" s="58"/>
      <c r="CV26" s="15"/>
      <c r="CW26" s="58"/>
      <c r="CX26" s="15"/>
      <c r="CY26" s="58"/>
      <c r="CZ26" s="15"/>
      <c r="DA26" s="58"/>
      <c r="DB26" s="15"/>
      <c r="DC26" s="58"/>
      <c r="DD26" s="15"/>
      <c r="DE26" s="58"/>
      <c r="DF26" s="15"/>
      <c r="DG26" s="58"/>
      <c r="DH26" s="15"/>
      <c r="DI26" s="58"/>
      <c r="DJ26" s="15"/>
      <c r="DK26" s="58"/>
      <c r="DL26" s="15"/>
      <c r="DM26" s="58"/>
      <c r="DN26" s="15"/>
      <c r="DO26" s="58"/>
      <c r="DP26" s="15"/>
      <c r="DQ26" s="58"/>
      <c r="DR26" s="15"/>
      <c r="DS26" s="58"/>
      <c r="DT26" s="15"/>
      <c r="DU26" s="58"/>
      <c r="DV26" s="15"/>
      <c r="DW26" s="58"/>
      <c r="DX26" s="15"/>
      <c r="DY26" s="58"/>
      <c r="DZ26" s="15"/>
      <c r="EA26" s="58"/>
      <c r="EB26" s="15"/>
      <c r="EC26" s="58"/>
      <c r="ED26" s="15"/>
      <c r="EE26" s="217"/>
      <c r="EF26" s="8">
        <v>2250000</v>
      </c>
      <c r="EG26" s="312">
        <v>2100000</v>
      </c>
      <c r="EH26" s="236">
        <v>2200000</v>
      </c>
      <c r="EI26" s="218"/>
      <c r="EJ26" s="218"/>
      <c r="EK26" s="218"/>
      <c r="EL26" s="218"/>
      <c r="EM26" s="218"/>
      <c r="EN26" s="246" t="s">
        <v>209</v>
      </c>
      <c r="EO26" s="246" t="s">
        <v>209</v>
      </c>
      <c r="EP26" s="246" t="s">
        <v>209</v>
      </c>
      <c r="EQ26" s="246" t="s">
        <v>209</v>
      </c>
      <c r="ER26" s="246"/>
      <c r="ES26" s="246"/>
      <c r="ET26" s="246"/>
      <c r="EU26" s="246"/>
      <c r="EV26" s="246"/>
      <c r="EW26" s="246"/>
      <c r="EX26" s="246"/>
      <c r="EY26" s="246"/>
      <c r="EZ26" s="246"/>
      <c r="FA26" s="246"/>
      <c r="FB26" s="59">
        <f t="shared" si="7"/>
        <v>2200000</v>
      </c>
      <c r="FC26" s="59">
        <f t="shared" si="0"/>
        <v>2183333.3333333335</v>
      </c>
      <c r="FD26" s="60">
        <f t="shared" si="1"/>
        <v>76376.261582597333</v>
      </c>
      <c r="FE26" s="62">
        <f t="shared" si="2"/>
        <v>3.4981493854624728E-2</v>
      </c>
      <c r="FF26" s="88">
        <f t="shared" si="8"/>
        <v>1834734.4537815128</v>
      </c>
      <c r="FG26" s="88">
        <f t="shared" si="9"/>
        <v>348599.54621848743</v>
      </c>
      <c r="FH26" s="74">
        <f t="shared" si="5"/>
        <v>2183334</v>
      </c>
      <c r="FI26" s="260">
        <f t="shared" si="6"/>
        <v>10916670</v>
      </c>
      <c r="FJ26" s="60" t="s">
        <v>65</v>
      </c>
    </row>
    <row r="27" spans="1:167" s="40" customFormat="1" ht="58" x14ac:dyDescent="0.35">
      <c r="A27" s="36">
        <v>21</v>
      </c>
      <c r="B27" s="37" t="s">
        <v>224</v>
      </c>
      <c r="C27" s="36" t="s">
        <v>1027</v>
      </c>
      <c r="D27" s="249" t="s">
        <v>64</v>
      </c>
      <c r="E27" s="220">
        <v>40</v>
      </c>
      <c r="F27" s="58"/>
      <c r="G27" s="58"/>
      <c r="H27" s="58"/>
      <c r="I27" s="58"/>
      <c r="J27" s="58"/>
      <c r="K27" s="58"/>
      <c r="L27" s="15"/>
      <c r="M27" s="58"/>
      <c r="N27" s="15"/>
      <c r="O27" s="58"/>
      <c r="P27" s="15"/>
      <c r="Q27" s="58"/>
      <c r="R27" s="15"/>
      <c r="S27" s="58"/>
      <c r="T27" s="15"/>
      <c r="U27" s="58"/>
      <c r="V27" s="15"/>
      <c r="W27" s="58"/>
      <c r="X27" s="15"/>
      <c r="Y27" s="58"/>
      <c r="Z27" s="15"/>
      <c r="AA27" s="58"/>
      <c r="AB27" s="15"/>
      <c r="AC27" s="58"/>
      <c r="AD27" s="58"/>
      <c r="AE27" s="58"/>
      <c r="AF27" s="15"/>
      <c r="AG27" s="58"/>
      <c r="AH27" s="15"/>
      <c r="AI27" s="58"/>
      <c r="AJ27" s="15"/>
      <c r="AK27" s="58"/>
      <c r="AL27" s="15"/>
      <c r="AM27" s="58"/>
      <c r="AN27" s="15"/>
      <c r="AO27" s="58"/>
      <c r="AP27" s="15"/>
      <c r="AQ27" s="58"/>
      <c r="AR27" s="15"/>
      <c r="AS27" s="58"/>
      <c r="AT27" s="15"/>
      <c r="AU27" s="58"/>
      <c r="AV27" s="15"/>
      <c r="AW27" s="58"/>
      <c r="AX27" s="15"/>
      <c r="AY27" s="58"/>
      <c r="AZ27" s="15"/>
      <c r="BA27" s="58"/>
      <c r="BB27" s="15"/>
      <c r="BC27" s="58"/>
      <c r="BD27" s="15"/>
      <c r="BE27" s="58"/>
      <c r="BF27" s="15"/>
      <c r="BG27" s="58"/>
      <c r="BH27" s="15"/>
      <c r="BI27" s="58"/>
      <c r="BJ27" s="15"/>
      <c r="BK27" s="58"/>
      <c r="BL27" s="15"/>
      <c r="BM27" s="58"/>
      <c r="BN27" s="15"/>
      <c r="BO27" s="58"/>
      <c r="BP27" s="15"/>
      <c r="BQ27" s="58"/>
      <c r="BR27" s="15"/>
      <c r="BS27" s="58"/>
      <c r="BT27" s="15"/>
      <c r="BU27" s="58"/>
      <c r="BV27" s="15"/>
      <c r="BW27" s="58"/>
      <c r="BX27" s="15"/>
      <c r="BY27" s="58"/>
      <c r="BZ27" s="15"/>
      <c r="CA27" s="58"/>
      <c r="CB27" s="15"/>
      <c r="CC27" s="58"/>
      <c r="CD27" s="15"/>
      <c r="CE27" s="58"/>
      <c r="CF27" s="15"/>
      <c r="CG27" s="58"/>
      <c r="CH27" s="15"/>
      <c r="CI27" s="58"/>
      <c r="CJ27" s="15"/>
      <c r="CK27" s="58"/>
      <c r="CL27" s="15"/>
      <c r="CM27" s="58"/>
      <c r="CN27" s="15"/>
      <c r="CO27" s="58"/>
      <c r="CP27" s="15"/>
      <c r="CQ27" s="58"/>
      <c r="CR27" s="15"/>
      <c r="CS27" s="58"/>
      <c r="CT27" s="15"/>
      <c r="CU27" s="58"/>
      <c r="CV27" s="15"/>
      <c r="CW27" s="58"/>
      <c r="CX27" s="15"/>
      <c r="CY27" s="58"/>
      <c r="CZ27" s="15"/>
      <c r="DA27" s="58"/>
      <c r="DB27" s="15"/>
      <c r="DC27" s="58"/>
      <c r="DD27" s="15"/>
      <c r="DE27" s="58"/>
      <c r="DF27" s="15"/>
      <c r="DG27" s="58"/>
      <c r="DH27" s="15"/>
      <c r="DI27" s="58"/>
      <c r="DJ27" s="15"/>
      <c r="DK27" s="58"/>
      <c r="DL27" s="15"/>
      <c r="DM27" s="58"/>
      <c r="DN27" s="15"/>
      <c r="DO27" s="58"/>
      <c r="DP27" s="15"/>
      <c r="DQ27" s="58"/>
      <c r="DR27" s="15"/>
      <c r="DS27" s="58"/>
      <c r="DT27" s="15"/>
      <c r="DU27" s="58"/>
      <c r="DV27" s="15"/>
      <c r="DW27" s="58"/>
      <c r="DX27" s="15"/>
      <c r="DY27" s="58"/>
      <c r="DZ27" s="15"/>
      <c r="EA27" s="58"/>
      <c r="EB27" s="15"/>
      <c r="EC27" s="58"/>
      <c r="ED27" s="15"/>
      <c r="EE27" s="217"/>
      <c r="EF27" s="8">
        <v>3400000</v>
      </c>
      <c r="EG27" s="312">
        <v>3400000</v>
      </c>
      <c r="EH27" s="236">
        <v>3350000</v>
      </c>
      <c r="EI27" s="218"/>
      <c r="EJ27" s="218"/>
      <c r="EK27" s="218"/>
      <c r="EL27" s="218"/>
      <c r="EM27" s="218"/>
      <c r="EN27" s="246" t="s">
        <v>209</v>
      </c>
      <c r="EO27" s="246" t="s">
        <v>209</v>
      </c>
      <c r="EP27" s="246" t="s">
        <v>209</v>
      </c>
      <c r="EQ27" s="246" t="s">
        <v>209</v>
      </c>
      <c r="ER27" s="246"/>
      <c r="ES27" s="246"/>
      <c r="ET27" s="246"/>
      <c r="EU27" s="246"/>
      <c r="EV27" s="246"/>
      <c r="EW27" s="246"/>
      <c r="EX27" s="246"/>
      <c r="EY27" s="246"/>
      <c r="EZ27" s="246"/>
      <c r="FA27" s="246"/>
      <c r="FB27" s="59">
        <f t="shared" si="7"/>
        <v>3400000</v>
      </c>
      <c r="FC27" s="59">
        <f t="shared" si="0"/>
        <v>3383333.3333333335</v>
      </c>
      <c r="FD27" s="60">
        <f t="shared" si="1"/>
        <v>28867.513459481288</v>
      </c>
      <c r="FE27" s="65">
        <f t="shared" si="2"/>
        <v>8.5322699880240258E-3</v>
      </c>
      <c r="FF27" s="88">
        <f t="shared" si="8"/>
        <v>2843137.8151260507</v>
      </c>
      <c r="FG27" s="88">
        <f t="shared" si="9"/>
        <v>540196.18487394962</v>
      </c>
      <c r="FH27" s="74">
        <f t="shared" si="5"/>
        <v>3383334</v>
      </c>
      <c r="FI27" s="260">
        <f t="shared" si="6"/>
        <v>135333360</v>
      </c>
      <c r="FJ27" s="60" t="s">
        <v>65</v>
      </c>
    </row>
    <row r="28" spans="1:167" s="40" customFormat="1" ht="72.5" x14ac:dyDescent="0.35">
      <c r="A28" s="37">
        <v>22</v>
      </c>
      <c r="B28" s="37" t="s">
        <v>225</v>
      </c>
      <c r="C28" s="38" t="s">
        <v>1043</v>
      </c>
      <c r="D28" s="249" t="s">
        <v>64</v>
      </c>
      <c r="E28" s="220">
        <v>89</v>
      </c>
      <c r="F28" s="58"/>
      <c r="G28" s="58"/>
      <c r="H28" s="58"/>
      <c r="I28" s="58"/>
      <c r="J28" s="58"/>
      <c r="K28" s="58"/>
      <c r="L28" s="15"/>
      <c r="M28" s="58"/>
      <c r="N28" s="15"/>
      <c r="O28" s="58"/>
      <c r="P28" s="15"/>
      <c r="Q28" s="58"/>
      <c r="R28" s="15"/>
      <c r="S28" s="58"/>
      <c r="T28" s="15"/>
      <c r="U28" s="58"/>
      <c r="V28" s="15"/>
      <c r="W28" s="58"/>
      <c r="X28" s="15"/>
      <c r="Y28" s="58"/>
      <c r="Z28" s="15"/>
      <c r="AA28" s="58"/>
      <c r="AB28" s="15"/>
      <c r="AC28" s="58"/>
      <c r="AD28" s="58"/>
      <c r="AE28" s="58"/>
      <c r="AF28" s="15"/>
      <c r="AG28" s="58"/>
      <c r="AH28" s="15"/>
      <c r="AI28" s="58"/>
      <c r="AJ28" s="15"/>
      <c r="AK28" s="58"/>
      <c r="AL28" s="15"/>
      <c r="AM28" s="58"/>
      <c r="AN28" s="15"/>
      <c r="AO28" s="58"/>
      <c r="AP28" s="15"/>
      <c r="AQ28" s="58"/>
      <c r="AR28" s="15"/>
      <c r="AS28" s="58"/>
      <c r="AT28" s="15"/>
      <c r="AU28" s="58"/>
      <c r="AV28" s="15"/>
      <c r="AW28" s="58"/>
      <c r="AX28" s="15"/>
      <c r="AY28" s="58"/>
      <c r="AZ28" s="15"/>
      <c r="BA28" s="58"/>
      <c r="BB28" s="15"/>
      <c r="BC28" s="58"/>
      <c r="BD28" s="15"/>
      <c r="BE28" s="58"/>
      <c r="BF28" s="15"/>
      <c r="BG28" s="58"/>
      <c r="BH28" s="15"/>
      <c r="BI28" s="58"/>
      <c r="BJ28" s="15"/>
      <c r="BK28" s="58"/>
      <c r="BL28" s="15"/>
      <c r="BM28" s="58"/>
      <c r="BN28" s="15"/>
      <c r="BO28" s="58"/>
      <c r="BP28" s="15"/>
      <c r="BQ28" s="58"/>
      <c r="BR28" s="15"/>
      <c r="BS28" s="58"/>
      <c r="BT28" s="15"/>
      <c r="BU28" s="58"/>
      <c r="BV28" s="15"/>
      <c r="BW28" s="58"/>
      <c r="BX28" s="15"/>
      <c r="BY28" s="58"/>
      <c r="BZ28" s="15"/>
      <c r="CA28" s="58"/>
      <c r="CB28" s="15"/>
      <c r="CC28" s="58"/>
      <c r="CD28" s="15"/>
      <c r="CE28" s="58"/>
      <c r="CF28" s="15"/>
      <c r="CG28" s="58"/>
      <c r="CH28" s="15"/>
      <c r="CI28" s="58"/>
      <c r="CJ28" s="15"/>
      <c r="CK28" s="58"/>
      <c r="CL28" s="15"/>
      <c r="CM28" s="58"/>
      <c r="CN28" s="15"/>
      <c r="CO28" s="58"/>
      <c r="CP28" s="15"/>
      <c r="CQ28" s="58"/>
      <c r="CR28" s="15"/>
      <c r="CS28" s="58"/>
      <c r="CT28" s="15"/>
      <c r="CU28" s="58"/>
      <c r="CV28" s="15"/>
      <c r="CW28" s="58"/>
      <c r="CX28" s="15"/>
      <c r="CY28" s="58"/>
      <c r="CZ28" s="15"/>
      <c r="DA28" s="58"/>
      <c r="DB28" s="15"/>
      <c r="DC28" s="58"/>
      <c r="DD28" s="15"/>
      <c r="DE28" s="58"/>
      <c r="DF28" s="15"/>
      <c r="DG28" s="58"/>
      <c r="DH28" s="15"/>
      <c r="DI28" s="58"/>
      <c r="DJ28" s="15"/>
      <c r="DK28" s="58"/>
      <c r="DL28" s="15"/>
      <c r="DM28" s="58"/>
      <c r="DN28" s="15"/>
      <c r="DO28" s="58"/>
      <c r="DP28" s="15"/>
      <c r="DQ28" s="58"/>
      <c r="DR28" s="15"/>
      <c r="DS28" s="58"/>
      <c r="DT28" s="15"/>
      <c r="DU28" s="58"/>
      <c r="DV28" s="15"/>
      <c r="DW28" s="58"/>
      <c r="DX28" s="15"/>
      <c r="DY28" s="58"/>
      <c r="DZ28" s="15"/>
      <c r="EA28" s="58"/>
      <c r="EB28" s="15"/>
      <c r="EC28" s="58"/>
      <c r="ED28" s="15"/>
      <c r="EE28" s="217"/>
      <c r="EF28" s="8">
        <v>1400000</v>
      </c>
      <c r="EG28" s="312">
        <v>1400000</v>
      </c>
      <c r="EH28" s="236">
        <v>1390000</v>
      </c>
      <c r="EI28" s="218"/>
      <c r="EJ28" s="218"/>
      <c r="EK28" s="218"/>
      <c r="EL28" s="218"/>
      <c r="EM28" s="218"/>
      <c r="EN28" s="246" t="s">
        <v>209</v>
      </c>
      <c r="EO28" s="246" t="s">
        <v>209</v>
      </c>
      <c r="EP28" s="246" t="s">
        <v>209</v>
      </c>
      <c r="EQ28" s="246" t="s">
        <v>209</v>
      </c>
      <c r="ER28" s="246"/>
      <c r="ES28" s="246"/>
      <c r="ET28" s="246"/>
      <c r="EU28" s="246"/>
      <c r="EV28" s="246"/>
      <c r="EW28" s="246"/>
      <c r="EX28" s="246"/>
      <c r="EY28" s="246"/>
      <c r="EZ28" s="246"/>
      <c r="FA28" s="246"/>
      <c r="FB28" s="59">
        <f t="shared" si="7"/>
        <v>1400000</v>
      </c>
      <c r="FC28" s="59">
        <f t="shared" si="0"/>
        <v>1396666.6666666667</v>
      </c>
      <c r="FD28" s="60">
        <f t="shared" si="1"/>
        <v>5773.5026918962576</v>
      </c>
      <c r="FE28" s="65">
        <f t="shared" si="2"/>
        <v>4.1337728104269148E-3</v>
      </c>
      <c r="FF28" s="88">
        <f t="shared" si="8"/>
        <v>1173669.7478991598</v>
      </c>
      <c r="FG28" s="88">
        <f t="shared" si="9"/>
        <v>222997.25210084036</v>
      </c>
      <c r="FH28" s="74">
        <f t="shared" si="5"/>
        <v>1396667</v>
      </c>
      <c r="FI28" s="260">
        <f t="shared" si="6"/>
        <v>124303363</v>
      </c>
      <c r="FJ28" s="60" t="s">
        <v>65</v>
      </c>
    </row>
    <row r="29" spans="1:167" s="40" customFormat="1" ht="72.5" x14ac:dyDescent="0.35">
      <c r="A29" s="37">
        <v>23</v>
      </c>
      <c r="B29" s="37" t="s">
        <v>226</v>
      </c>
      <c r="C29" s="36" t="s">
        <v>1090</v>
      </c>
      <c r="D29" s="249" t="s">
        <v>64</v>
      </c>
      <c r="E29" s="220">
        <v>76</v>
      </c>
      <c r="F29" s="58"/>
      <c r="G29" s="58"/>
      <c r="H29" s="58"/>
      <c r="I29" s="58"/>
      <c r="J29" s="58"/>
      <c r="K29" s="58"/>
      <c r="L29" s="15"/>
      <c r="M29" s="58"/>
      <c r="N29" s="15"/>
      <c r="O29" s="58"/>
      <c r="P29" s="15"/>
      <c r="Q29" s="58"/>
      <c r="R29" s="15"/>
      <c r="S29" s="58"/>
      <c r="T29" s="15"/>
      <c r="U29" s="58"/>
      <c r="V29" s="15"/>
      <c r="W29" s="58"/>
      <c r="X29" s="15"/>
      <c r="Y29" s="58"/>
      <c r="Z29" s="15"/>
      <c r="AA29" s="58"/>
      <c r="AB29" s="15"/>
      <c r="AC29" s="58"/>
      <c r="AD29" s="58"/>
      <c r="AE29" s="58"/>
      <c r="AF29" s="15"/>
      <c r="AG29" s="58"/>
      <c r="AH29" s="15"/>
      <c r="AI29" s="58"/>
      <c r="AJ29" s="15"/>
      <c r="AK29" s="58"/>
      <c r="AL29" s="15"/>
      <c r="AM29" s="58"/>
      <c r="AN29" s="15"/>
      <c r="AO29" s="58"/>
      <c r="AP29" s="15"/>
      <c r="AQ29" s="58"/>
      <c r="AR29" s="15"/>
      <c r="AS29" s="58"/>
      <c r="AT29" s="15"/>
      <c r="AU29" s="58"/>
      <c r="AV29" s="15"/>
      <c r="AW29" s="58"/>
      <c r="AX29" s="15"/>
      <c r="AY29" s="58"/>
      <c r="AZ29" s="15"/>
      <c r="BA29" s="58"/>
      <c r="BB29" s="15"/>
      <c r="BC29" s="58"/>
      <c r="BD29" s="15"/>
      <c r="BE29" s="58"/>
      <c r="BF29" s="15"/>
      <c r="BG29" s="58"/>
      <c r="BH29" s="15"/>
      <c r="BI29" s="58"/>
      <c r="BJ29" s="15"/>
      <c r="BK29" s="58"/>
      <c r="BL29" s="15"/>
      <c r="BM29" s="58"/>
      <c r="BN29" s="15"/>
      <c r="BO29" s="58"/>
      <c r="BP29" s="15"/>
      <c r="BQ29" s="58"/>
      <c r="BR29" s="15"/>
      <c r="BS29" s="58"/>
      <c r="BT29" s="15"/>
      <c r="BU29" s="58"/>
      <c r="BV29" s="15"/>
      <c r="BW29" s="58"/>
      <c r="BX29" s="15"/>
      <c r="BY29" s="58"/>
      <c r="BZ29" s="15"/>
      <c r="CA29" s="58"/>
      <c r="CB29" s="15"/>
      <c r="CC29" s="58"/>
      <c r="CD29" s="15"/>
      <c r="CE29" s="58"/>
      <c r="CF29" s="15"/>
      <c r="CG29" s="58"/>
      <c r="CH29" s="15"/>
      <c r="CI29" s="58"/>
      <c r="CJ29" s="15"/>
      <c r="CK29" s="58"/>
      <c r="CL29" s="15"/>
      <c r="CM29" s="58"/>
      <c r="CN29" s="15"/>
      <c r="CO29" s="58"/>
      <c r="CP29" s="15"/>
      <c r="CQ29" s="58"/>
      <c r="CR29" s="15"/>
      <c r="CS29" s="58"/>
      <c r="CT29" s="15"/>
      <c r="CU29" s="58"/>
      <c r="CV29" s="15"/>
      <c r="CW29" s="58"/>
      <c r="CX29" s="15"/>
      <c r="CY29" s="58"/>
      <c r="CZ29" s="15"/>
      <c r="DA29" s="58"/>
      <c r="DB29" s="15"/>
      <c r="DC29" s="58"/>
      <c r="DD29" s="15"/>
      <c r="DE29" s="58"/>
      <c r="DF29" s="15"/>
      <c r="DG29" s="58"/>
      <c r="DH29" s="15"/>
      <c r="DI29" s="58"/>
      <c r="DJ29" s="15"/>
      <c r="DK29" s="58"/>
      <c r="DL29" s="15"/>
      <c r="DM29" s="58"/>
      <c r="DN29" s="15"/>
      <c r="DO29" s="58"/>
      <c r="DP29" s="15"/>
      <c r="DQ29" s="58"/>
      <c r="DR29" s="15"/>
      <c r="DS29" s="58"/>
      <c r="DT29" s="15"/>
      <c r="DU29" s="58"/>
      <c r="DV29" s="15"/>
      <c r="DW29" s="58"/>
      <c r="DX29" s="15"/>
      <c r="DY29" s="58"/>
      <c r="DZ29" s="15"/>
      <c r="EA29" s="58"/>
      <c r="EB29" s="15"/>
      <c r="EC29" s="58"/>
      <c r="ED29" s="15"/>
      <c r="EE29" s="217"/>
      <c r="EF29" s="8">
        <v>3400000</v>
      </c>
      <c r="EG29" s="312">
        <v>3200000</v>
      </c>
      <c r="EH29" s="236">
        <v>3300000</v>
      </c>
      <c r="EI29" s="218"/>
      <c r="EJ29" s="218"/>
      <c r="EK29" s="218"/>
      <c r="EL29" s="218"/>
      <c r="EM29" s="218"/>
      <c r="EN29" s="246" t="s">
        <v>209</v>
      </c>
      <c r="EO29" s="246" t="s">
        <v>209</v>
      </c>
      <c r="EP29" s="246" t="s">
        <v>209</v>
      </c>
      <c r="EQ29" s="246" t="s">
        <v>209</v>
      </c>
      <c r="ER29" s="246"/>
      <c r="ES29" s="246"/>
      <c r="ET29" s="246"/>
      <c r="EU29" s="246"/>
      <c r="EV29" s="246"/>
      <c r="EW29" s="246"/>
      <c r="EX29" s="246"/>
      <c r="EY29" s="246"/>
      <c r="EZ29" s="246"/>
      <c r="FA29" s="246"/>
      <c r="FB29" s="59">
        <f t="shared" si="7"/>
        <v>3300000</v>
      </c>
      <c r="FC29" s="59">
        <f t="shared" si="0"/>
        <v>3300000</v>
      </c>
      <c r="FD29" s="60">
        <f t="shared" si="1"/>
        <v>100000</v>
      </c>
      <c r="FE29" s="65">
        <f t="shared" si="2"/>
        <v>3.0303030303030304E-2</v>
      </c>
      <c r="FF29" s="88">
        <f t="shared" si="8"/>
        <v>2773109.2436974789</v>
      </c>
      <c r="FG29" s="88">
        <f t="shared" si="9"/>
        <v>526890.75630252098</v>
      </c>
      <c r="FH29" s="74">
        <f t="shared" si="5"/>
        <v>3300000</v>
      </c>
      <c r="FI29" s="260">
        <f t="shared" si="6"/>
        <v>250800000</v>
      </c>
      <c r="FJ29" s="60" t="s">
        <v>65</v>
      </c>
    </row>
    <row r="30" spans="1:167" s="40" customFormat="1" ht="58" x14ac:dyDescent="0.35">
      <c r="A30" s="36">
        <v>24</v>
      </c>
      <c r="B30" s="37" t="s">
        <v>227</v>
      </c>
      <c r="C30" s="36" t="s">
        <v>906</v>
      </c>
      <c r="D30" s="249" t="s">
        <v>64</v>
      </c>
      <c r="E30" s="220">
        <v>1</v>
      </c>
      <c r="F30" s="58"/>
      <c r="G30" s="58"/>
      <c r="H30" s="58"/>
      <c r="I30" s="58"/>
      <c r="J30" s="58"/>
      <c r="K30" s="58"/>
      <c r="L30" s="15"/>
      <c r="M30" s="58"/>
      <c r="N30" s="15"/>
      <c r="O30" s="58"/>
      <c r="P30" s="15"/>
      <c r="Q30" s="58"/>
      <c r="R30" s="15"/>
      <c r="S30" s="58"/>
      <c r="T30" s="15"/>
      <c r="U30" s="58"/>
      <c r="V30" s="15"/>
      <c r="W30" s="58"/>
      <c r="X30" s="15"/>
      <c r="Y30" s="58"/>
      <c r="Z30" s="15"/>
      <c r="AA30" s="58"/>
      <c r="AB30" s="15"/>
      <c r="AC30" s="58"/>
      <c r="AD30" s="58"/>
      <c r="AE30" s="58"/>
      <c r="AF30" s="15"/>
      <c r="AG30" s="58"/>
      <c r="AH30" s="15"/>
      <c r="AI30" s="58"/>
      <c r="AJ30" s="15"/>
      <c r="AK30" s="58"/>
      <c r="AL30" s="15"/>
      <c r="AM30" s="58"/>
      <c r="AN30" s="15"/>
      <c r="AO30" s="58"/>
      <c r="AP30" s="15"/>
      <c r="AQ30" s="58"/>
      <c r="AR30" s="15"/>
      <c r="AS30" s="58"/>
      <c r="AT30" s="15"/>
      <c r="AU30" s="58"/>
      <c r="AV30" s="15"/>
      <c r="AW30" s="58"/>
      <c r="AX30" s="15"/>
      <c r="AY30" s="58"/>
      <c r="AZ30" s="15"/>
      <c r="BA30" s="58"/>
      <c r="BB30" s="15"/>
      <c r="BC30" s="58"/>
      <c r="BD30" s="15"/>
      <c r="BE30" s="58"/>
      <c r="BF30" s="15"/>
      <c r="BG30" s="58"/>
      <c r="BH30" s="15"/>
      <c r="BI30" s="58"/>
      <c r="BJ30" s="15"/>
      <c r="BK30" s="58"/>
      <c r="BL30" s="15"/>
      <c r="BM30" s="58"/>
      <c r="BN30" s="15"/>
      <c r="BO30" s="58"/>
      <c r="BP30" s="15"/>
      <c r="BQ30" s="58"/>
      <c r="BR30" s="15"/>
      <c r="BS30" s="58"/>
      <c r="BT30" s="15"/>
      <c r="BU30" s="58"/>
      <c r="BV30" s="15"/>
      <c r="BW30" s="58"/>
      <c r="BX30" s="15"/>
      <c r="BY30" s="58"/>
      <c r="BZ30" s="15"/>
      <c r="CA30" s="58"/>
      <c r="CB30" s="15"/>
      <c r="CC30" s="58"/>
      <c r="CD30" s="15"/>
      <c r="CE30" s="58"/>
      <c r="CF30" s="15"/>
      <c r="CG30" s="58"/>
      <c r="CH30" s="15"/>
      <c r="CI30" s="58"/>
      <c r="CJ30" s="15"/>
      <c r="CK30" s="58"/>
      <c r="CL30" s="15"/>
      <c r="CM30" s="58"/>
      <c r="CN30" s="15"/>
      <c r="CO30" s="58"/>
      <c r="CP30" s="15"/>
      <c r="CQ30" s="58"/>
      <c r="CR30" s="15"/>
      <c r="CS30" s="58"/>
      <c r="CT30" s="15"/>
      <c r="CU30" s="58"/>
      <c r="CV30" s="15"/>
      <c r="CW30" s="58"/>
      <c r="CX30" s="15"/>
      <c r="CY30" s="58"/>
      <c r="CZ30" s="15"/>
      <c r="DA30" s="58"/>
      <c r="DB30" s="15"/>
      <c r="DC30" s="58"/>
      <c r="DD30" s="15"/>
      <c r="DE30" s="58"/>
      <c r="DF30" s="15"/>
      <c r="DG30" s="58"/>
      <c r="DH30" s="15"/>
      <c r="DI30" s="58"/>
      <c r="DJ30" s="15"/>
      <c r="DK30" s="58"/>
      <c r="DL30" s="15"/>
      <c r="DM30" s="58"/>
      <c r="DN30" s="15"/>
      <c r="DO30" s="58"/>
      <c r="DP30" s="15"/>
      <c r="DQ30" s="58"/>
      <c r="DR30" s="15"/>
      <c r="DS30" s="58"/>
      <c r="DT30" s="15"/>
      <c r="DU30" s="58"/>
      <c r="DV30" s="15"/>
      <c r="DW30" s="58"/>
      <c r="DX30" s="15"/>
      <c r="DY30" s="58"/>
      <c r="DZ30" s="15"/>
      <c r="EA30" s="58"/>
      <c r="EB30" s="15"/>
      <c r="EC30" s="58"/>
      <c r="ED30" s="15"/>
      <c r="EE30" s="217"/>
      <c r="EF30" s="8">
        <v>4350000</v>
      </c>
      <c r="EG30" s="312">
        <v>4200000</v>
      </c>
      <c r="EH30" s="236">
        <v>4300000</v>
      </c>
      <c r="EI30" s="218"/>
      <c r="EJ30" s="218"/>
      <c r="EK30" s="218"/>
      <c r="EL30" s="218"/>
      <c r="EM30" s="218"/>
      <c r="EN30" s="246" t="s">
        <v>209</v>
      </c>
      <c r="EO30" s="246" t="s">
        <v>209</v>
      </c>
      <c r="EP30" s="246" t="s">
        <v>209</v>
      </c>
      <c r="EQ30" s="246" t="s">
        <v>209</v>
      </c>
      <c r="ER30" s="246"/>
      <c r="ES30" s="246"/>
      <c r="ET30" s="246"/>
      <c r="EU30" s="246"/>
      <c r="EV30" s="246"/>
      <c r="EW30" s="246"/>
      <c r="EX30" s="246"/>
      <c r="EY30" s="246"/>
      <c r="EZ30" s="246"/>
      <c r="FA30" s="246"/>
      <c r="FB30" s="59">
        <f t="shared" si="7"/>
        <v>4300000</v>
      </c>
      <c r="FC30" s="59">
        <f t="shared" si="0"/>
        <v>4283333.333333333</v>
      </c>
      <c r="FD30" s="60">
        <f t="shared" si="1"/>
        <v>76376.261582597333</v>
      </c>
      <c r="FE30" s="65">
        <f t="shared" si="2"/>
        <v>1.7831033832512999E-2</v>
      </c>
      <c r="FF30" s="88">
        <f t="shared" si="8"/>
        <v>3599440.3361344538</v>
      </c>
      <c r="FG30" s="88">
        <f t="shared" si="9"/>
        <v>683893.66386554623</v>
      </c>
      <c r="FH30" s="74">
        <f t="shared" si="5"/>
        <v>4283334</v>
      </c>
      <c r="FI30" s="260">
        <f t="shared" si="6"/>
        <v>4283334</v>
      </c>
      <c r="FJ30" s="60" t="s">
        <v>65</v>
      </c>
    </row>
    <row r="31" spans="1:167" s="40" customFormat="1" ht="58" x14ac:dyDescent="0.35">
      <c r="A31" s="36">
        <v>25</v>
      </c>
      <c r="B31" s="37" t="s">
        <v>228</v>
      </c>
      <c r="C31" s="36" t="s">
        <v>907</v>
      </c>
      <c r="D31" s="249" t="s">
        <v>64</v>
      </c>
      <c r="E31" s="220">
        <v>2</v>
      </c>
      <c r="F31" s="58"/>
      <c r="G31" s="58"/>
      <c r="H31" s="58"/>
      <c r="I31" s="58"/>
      <c r="J31" s="58"/>
      <c r="K31" s="58"/>
      <c r="L31" s="15"/>
      <c r="M31" s="58"/>
      <c r="N31" s="15"/>
      <c r="O31" s="58"/>
      <c r="P31" s="15"/>
      <c r="Q31" s="58"/>
      <c r="R31" s="15"/>
      <c r="S31" s="58"/>
      <c r="T31" s="15"/>
      <c r="U31" s="58"/>
      <c r="V31" s="15"/>
      <c r="W31" s="58"/>
      <c r="X31" s="15"/>
      <c r="Y31" s="58"/>
      <c r="Z31" s="15"/>
      <c r="AA31" s="58"/>
      <c r="AB31" s="15"/>
      <c r="AC31" s="58"/>
      <c r="AD31" s="58"/>
      <c r="AE31" s="58"/>
      <c r="AF31" s="15"/>
      <c r="AG31" s="58"/>
      <c r="AH31" s="15"/>
      <c r="AI31" s="58"/>
      <c r="AJ31" s="15"/>
      <c r="AK31" s="58"/>
      <c r="AL31" s="15"/>
      <c r="AM31" s="58"/>
      <c r="AN31" s="15"/>
      <c r="AO31" s="58"/>
      <c r="AP31" s="15"/>
      <c r="AQ31" s="58"/>
      <c r="AR31" s="15"/>
      <c r="AS31" s="58"/>
      <c r="AT31" s="15"/>
      <c r="AU31" s="58"/>
      <c r="AV31" s="15"/>
      <c r="AW31" s="58"/>
      <c r="AX31" s="15"/>
      <c r="AY31" s="58"/>
      <c r="AZ31" s="15"/>
      <c r="BA31" s="58"/>
      <c r="BB31" s="15"/>
      <c r="BC31" s="58"/>
      <c r="BD31" s="15"/>
      <c r="BE31" s="58"/>
      <c r="BF31" s="15"/>
      <c r="BG31" s="58"/>
      <c r="BH31" s="15"/>
      <c r="BI31" s="58"/>
      <c r="BJ31" s="15"/>
      <c r="BK31" s="58"/>
      <c r="BL31" s="15"/>
      <c r="BM31" s="58"/>
      <c r="BN31" s="15"/>
      <c r="BO31" s="58"/>
      <c r="BP31" s="15"/>
      <c r="BQ31" s="58"/>
      <c r="BR31" s="15"/>
      <c r="BS31" s="58"/>
      <c r="BT31" s="15"/>
      <c r="BU31" s="58"/>
      <c r="BV31" s="15"/>
      <c r="BW31" s="58"/>
      <c r="BX31" s="15"/>
      <c r="BY31" s="58"/>
      <c r="BZ31" s="15"/>
      <c r="CA31" s="58"/>
      <c r="CB31" s="15"/>
      <c r="CC31" s="58"/>
      <c r="CD31" s="15"/>
      <c r="CE31" s="58"/>
      <c r="CF31" s="15"/>
      <c r="CG31" s="58"/>
      <c r="CH31" s="15"/>
      <c r="CI31" s="58"/>
      <c r="CJ31" s="15"/>
      <c r="CK31" s="58"/>
      <c r="CL31" s="15"/>
      <c r="CM31" s="58"/>
      <c r="CN31" s="15"/>
      <c r="CO31" s="58"/>
      <c r="CP31" s="15"/>
      <c r="CQ31" s="58"/>
      <c r="CR31" s="15"/>
      <c r="CS31" s="58"/>
      <c r="CT31" s="15"/>
      <c r="CU31" s="58"/>
      <c r="CV31" s="15"/>
      <c r="CW31" s="58"/>
      <c r="CX31" s="15"/>
      <c r="CY31" s="58"/>
      <c r="CZ31" s="15"/>
      <c r="DA31" s="58"/>
      <c r="DB31" s="15"/>
      <c r="DC31" s="58"/>
      <c r="DD31" s="15"/>
      <c r="DE31" s="58"/>
      <c r="DF31" s="15"/>
      <c r="DG31" s="58"/>
      <c r="DH31" s="15"/>
      <c r="DI31" s="58"/>
      <c r="DJ31" s="15"/>
      <c r="DK31" s="58"/>
      <c r="DL31" s="15"/>
      <c r="DM31" s="58"/>
      <c r="DN31" s="15"/>
      <c r="DO31" s="58"/>
      <c r="DP31" s="15"/>
      <c r="DQ31" s="58"/>
      <c r="DR31" s="15"/>
      <c r="DS31" s="58"/>
      <c r="DT31" s="15"/>
      <c r="DU31" s="58"/>
      <c r="DV31" s="15"/>
      <c r="DW31" s="58"/>
      <c r="DX31" s="15"/>
      <c r="DY31" s="58"/>
      <c r="DZ31" s="15"/>
      <c r="EA31" s="58"/>
      <c r="EB31" s="15"/>
      <c r="EC31" s="58"/>
      <c r="ED31" s="15"/>
      <c r="EE31" s="217"/>
      <c r="EF31" s="8">
        <v>378000</v>
      </c>
      <c r="EG31" s="312">
        <v>375000</v>
      </c>
      <c r="EH31" s="236">
        <v>373000</v>
      </c>
      <c r="EI31" s="218"/>
      <c r="EJ31" s="218"/>
      <c r="EK31" s="218"/>
      <c r="EL31" s="218"/>
      <c r="EM31" s="218"/>
      <c r="EN31" s="246" t="s">
        <v>209</v>
      </c>
      <c r="EO31" s="246" t="s">
        <v>209</v>
      </c>
      <c r="EP31" s="246" t="s">
        <v>209</v>
      </c>
      <c r="EQ31" s="246" t="s">
        <v>209</v>
      </c>
      <c r="ER31" s="246"/>
      <c r="ES31" s="246"/>
      <c r="ET31" s="246"/>
      <c r="EU31" s="246"/>
      <c r="EV31" s="246"/>
      <c r="EW31" s="246"/>
      <c r="EX31" s="246"/>
      <c r="EY31" s="246"/>
      <c r="EZ31" s="246"/>
      <c r="FA31" s="246"/>
      <c r="FB31" s="59">
        <f t="shared" si="7"/>
        <v>375000</v>
      </c>
      <c r="FC31" s="59">
        <f t="shared" si="0"/>
        <v>375333.33333333331</v>
      </c>
      <c r="FD31" s="60">
        <f t="shared" si="1"/>
        <v>2516.6114784235833</v>
      </c>
      <c r="FE31" s="65">
        <f t="shared" si="2"/>
        <v>6.7050039389615901E-3</v>
      </c>
      <c r="FF31" s="88">
        <f t="shared" si="8"/>
        <v>315406.72268907563</v>
      </c>
      <c r="FG31" s="88">
        <f t="shared" si="9"/>
        <v>59927.277310924372</v>
      </c>
      <c r="FH31" s="74">
        <f t="shared" si="5"/>
        <v>375334</v>
      </c>
      <c r="FI31" s="260">
        <f t="shared" si="6"/>
        <v>750668</v>
      </c>
      <c r="FJ31" s="60" t="s">
        <v>65</v>
      </c>
    </row>
    <row r="32" spans="1:167" s="40" customFormat="1" ht="58" x14ac:dyDescent="0.35">
      <c r="A32" s="37">
        <v>26</v>
      </c>
      <c r="B32" s="37" t="s">
        <v>229</v>
      </c>
      <c r="C32" s="36" t="s">
        <v>908</v>
      </c>
      <c r="D32" s="249" t="s">
        <v>64</v>
      </c>
      <c r="E32" s="220">
        <v>2</v>
      </c>
      <c r="F32" s="58"/>
      <c r="G32" s="58"/>
      <c r="H32" s="58"/>
      <c r="I32" s="58"/>
      <c r="J32" s="58"/>
      <c r="K32" s="58"/>
      <c r="L32" s="15"/>
      <c r="M32" s="58"/>
      <c r="N32" s="15"/>
      <c r="O32" s="58"/>
      <c r="P32" s="15"/>
      <c r="Q32" s="58"/>
      <c r="R32" s="15"/>
      <c r="S32" s="58"/>
      <c r="T32" s="15"/>
      <c r="U32" s="58"/>
      <c r="V32" s="15"/>
      <c r="W32" s="58"/>
      <c r="X32" s="15"/>
      <c r="Y32" s="58"/>
      <c r="Z32" s="15"/>
      <c r="AA32" s="58"/>
      <c r="AB32" s="15"/>
      <c r="AC32" s="58"/>
      <c r="AD32" s="58"/>
      <c r="AE32" s="58"/>
      <c r="AF32" s="15"/>
      <c r="AG32" s="58"/>
      <c r="AH32" s="15"/>
      <c r="AI32" s="58"/>
      <c r="AJ32" s="15"/>
      <c r="AK32" s="58"/>
      <c r="AL32" s="15"/>
      <c r="AM32" s="58"/>
      <c r="AN32" s="15"/>
      <c r="AO32" s="58"/>
      <c r="AP32" s="15"/>
      <c r="AQ32" s="58"/>
      <c r="AR32" s="15"/>
      <c r="AS32" s="58"/>
      <c r="AT32" s="15"/>
      <c r="AU32" s="58"/>
      <c r="AV32" s="15"/>
      <c r="AW32" s="58"/>
      <c r="AX32" s="15"/>
      <c r="AY32" s="58"/>
      <c r="AZ32" s="15"/>
      <c r="BA32" s="58"/>
      <c r="BB32" s="15"/>
      <c r="BC32" s="58"/>
      <c r="BD32" s="15"/>
      <c r="BE32" s="58"/>
      <c r="BF32" s="15"/>
      <c r="BG32" s="58"/>
      <c r="BH32" s="15"/>
      <c r="BI32" s="58"/>
      <c r="BJ32" s="15"/>
      <c r="BK32" s="58"/>
      <c r="BL32" s="15"/>
      <c r="BM32" s="58"/>
      <c r="BN32" s="15"/>
      <c r="BO32" s="58"/>
      <c r="BP32" s="15"/>
      <c r="BQ32" s="58"/>
      <c r="BR32" s="15"/>
      <c r="BS32" s="58"/>
      <c r="BT32" s="15"/>
      <c r="BU32" s="58"/>
      <c r="BV32" s="15"/>
      <c r="BW32" s="58"/>
      <c r="BX32" s="15"/>
      <c r="BY32" s="58"/>
      <c r="BZ32" s="15"/>
      <c r="CA32" s="58"/>
      <c r="CB32" s="15"/>
      <c r="CC32" s="58"/>
      <c r="CD32" s="15"/>
      <c r="CE32" s="58"/>
      <c r="CF32" s="15"/>
      <c r="CG32" s="58"/>
      <c r="CH32" s="15"/>
      <c r="CI32" s="58"/>
      <c r="CJ32" s="15"/>
      <c r="CK32" s="58"/>
      <c r="CL32" s="15"/>
      <c r="CM32" s="58"/>
      <c r="CN32" s="15"/>
      <c r="CO32" s="58"/>
      <c r="CP32" s="15"/>
      <c r="CQ32" s="58"/>
      <c r="CR32" s="15"/>
      <c r="CS32" s="58"/>
      <c r="CT32" s="15"/>
      <c r="CU32" s="58"/>
      <c r="CV32" s="15"/>
      <c r="CW32" s="58"/>
      <c r="CX32" s="15"/>
      <c r="CY32" s="58"/>
      <c r="CZ32" s="15"/>
      <c r="DA32" s="58"/>
      <c r="DB32" s="15"/>
      <c r="DC32" s="58"/>
      <c r="DD32" s="15"/>
      <c r="DE32" s="58"/>
      <c r="DF32" s="15"/>
      <c r="DG32" s="58"/>
      <c r="DH32" s="15"/>
      <c r="DI32" s="58"/>
      <c r="DJ32" s="15"/>
      <c r="DK32" s="58"/>
      <c r="DL32" s="15"/>
      <c r="DM32" s="58"/>
      <c r="DN32" s="15"/>
      <c r="DO32" s="58"/>
      <c r="DP32" s="15"/>
      <c r="DQ32" s="58"/>
      <c r="DR32" s="15"/>
      <c r="DS32" s="58"/>
      <c r="DT32" s="15"/>
      <c r="DU32" s="58"/>
      <c r="DV32" s="15"/>
      <c r="DW32" s="58"/>
      <c r="DX32" s="15"/>
      <c r="DY32" s="58"/>
      <c r="DZ32" s="15"/>
      <c r="EA32" s="58"/>
      <c r="EB32" s="15"/>
      <c r="EC32" s="58"/>
      <c r="ED32" s="15"/>
      <c r="EE32" s="217"/>
      <c r="EF32" s="8">
        <v>340000</v>
      </c>
      <c r="EG32" s="312">
        <v>348000</v>
      </c>
      <c r="EH32" s="236">
        <v>350000</v>
      </c>
      <c r="EI32" s="218"/>
      <c r="EJ32" s="218"/>
      <c r="EK32" s="218"/>
      <c r="EL32" s="218"/>
      <c r="EM32" s="218"/>
      <c r="EN32" s="246" t="s">
        <v>209</v>
      </c>
      <c r="EO32" s="246" t="s">
        <v>209</v>
      </c>
      <c r="EP32" s="246" t="s">
        <v>209</v>
      </c>
      <c r="EQ32" s="246" t="s">
        <v>209</v>
      </c>
      <c r="ER32" s="246"/>
      <c r="ES32" s="246"/>
      <c r="ET32" s="246"/>
      <c r="EU32" s="246"/>
      <c r="EV32" s="246"/>
      <c r="EW32" s="246"/>
      <c r="EX32" s="246"/>
      <c r="EY32" s="246"/>
      <c r="EZ32" s="246"/>
      <c r="FA32" s="246"/>
      <c r="FB32" s="59">
        <f t="shared" si="7"/>
        <v>348000</v>
      </c>
      <c r="FC32" s="59">
        <f t="shared" si="0"/>
        <v>346000</v>
      </c>
      <c r="FD32" s="60">
        <f t="shared" si="1"/>
        <v>5291.502622129181</v>
      </c>
      <c r="FE32" s="65">
        <f t="shared" si="2"/>
        <v>1.5293360179564107E-2</v>
      </c>
      <c r="FF32" s="88">
        <f t="shared" si="8"/>
        <v>290756.30252100842</v>
      </c>
      <c r="FG32" s="88">
        <f t="shared" si="9"/>
        <v>55243.697478991598</v>
      </c>
      <c r="FH32" s="74">
        <f t="shared" si="5"/>
        <v>346000</v>
      </c>
      <c r="FI32" s="260">
        <f t="shared" si="6"/>
        <v>692000</v>
      </c>
      <c r="FJ32" s="60" t="s">
        <v>65</v>
      </c>
    </row>
    <row r="33" spans="1:166" s="40" customFormat="1" ht="43.5" x14ac:dyDescent="0.35">
      <c r="A33" s="37">
        <v>27</v>
      </c>
      <c r="B33" s="37" t="s">
        <v>230</v>
      </c>
      <c r="C33" s="36" t="s">
        <v>909</v>
      </c>
      <c r="D33" s="249" t="s">
        <v>64</v>
      </c>
      <c r="E33" s="220">
        <v>3</v>
      </c>
      <c r="F33" s="58"/>
      <c r="G33" s="58"/>
      <c r="H33" s="58"/>
      <c r="I33" s="58"/>
      <c r="J33" s="58"/>
      <c r="K33" s="58"/>
      <c r="L33" s="15"/>
      <c r="M33" s="58"/>
      <c r="N33" s="15"/>
      <c r="O33" s="58"/>
      <c r="P33" s="15"/>
      <c r="Q33" s="58"/>
      <c r="R33" s="15"/>
      <c r="S33" s="58"/>
      <c r="T33" s="15"/>
      <c r="U33" s="58"/>
      <c r="V33" s="15"/>
      <c r="W33" s="58"/>
      <c r="X33" s="15"/>
      <c r="Y33" s="58"/>
      <c r="Z33" s="15"/>
      <c r="AA33" s="58"/>
      <c r="AB33" s="15"/>
      <c r="AC33" s="58"/>
      <c r="AD33" s="58"/>
      <c r="AE33" s="58"/>
      <c r="AF33" s="15"/>
      <c r="AG33" s="58"/>
      <c r="AH33" s="15"/>
      <c r="AI33" s="58"/>
      <c r="AJ33" s="15"/>
      <c r="AK33" s="58"/>
      <c r="AL33" s="15"/>
      <c r="AM33" s="58"/>
      <c r="AN33" s="15"/>
      <c r="AO33" s="58"/>
      <c r="AP33" s="15"/>
      <c r="AQ33" s="58"/>
      <c r="AR33" s="15"/>
      <c r="AS33" s="58"/>
      <c r="AT33" s="15"/>
      <c r="AU33" s="58"/>
      <c r="AV33" s="15"/>
      <c r="AW33" s="58"/>
      <c r="AX33" s="15"/>
      <c r="AY33" s="58"/>
      <c r="AZ33" s="15"/>
      <c r="BA33" s="58"/>
      <c r="BB33" s="15"/>
      <c r="BC33" s="58"/>
      <c r="BD33" s="15"/>
      <c r="BE33" s="58"/>
      <c r="BF33" s="15"/>
      <c r="BG33" s="58"/>
      <c r="BH33" s="15"/>
      <c r="BI33" s="58"/>
      <c r="BJ33" s="15"/>
      <c r="BK33" s="58"/>
      <c r="BL33" s="15"/>
      <c r="BM33" s="58"/>
      <c r="BN33" s="15"/>
      <c r="BO33" s="58"/>
      <c r="BP33" s="15"/>
      <c r="BQ33" s="58"/>
      <c r="BR33" s="15"/>
      <c r="BS33" s="58"/>
      <c r="BT33" s="15"/>
      <c r="BU33" s="58"/>
      <c r="BV33" s="15"/>
      <c r="BW33" s="58"/>
      <c r="BX33" s="15"/>
      <c r="BY33" s="58"/>
      <c r="BZ33" s="15"/>
      <c r="CA33" s="58"/>
      <c r="CB33" s="15"/>
      <c r="CC33" s="58"/>
      <c r="CD33" s="15"/>
      <c r="CE33" s="58"/>
      <c r="CF33" s="15"/>
      <c r="CG33" s="58"/>
      <c r="CH33" s="15"/>
      <c r="CI33" s="58"/>
      <c r="CJ33" s="15"/>
      <c r="CK33" s="58"/>
      <c r="CL33" s="15"/>
      <c r="CM33" s="58"/>
      <c r="CN33" s="15"/>
      <c r="CO33" s="58"/>
      <c r="CP33" s="15"/>
      <c r="CQ33" s="58"/>
      <c r="CR33" s="15"/>
      <c r="CS33" s="58"/>
      <c r="CT33" s="15"/>
      <c r="CU33" s="58"/>
      <c r="CV33" s="15"/>
      <c r="CW33" s="58"/>
      <c r="CX33" s="15"/>
      <c r="CY33" s="58"/>
      <c r="CZ33" s="15"/>
      <c r="DA33" s="58"/>
      <c r="DB33" s="15"/>
      <c r="DC33" s="58"/>
      <c r="DD33" s="15"/>
      <c r="DE33" s="58"/>
      <c r="DF33" s="15"/>
      <c r="DG33" s="58"/>
      <c r="DH33" s="15"/>
      <c r="DI33" s="58"/>
      <c r="DJ33" s="15"/>
      <c r="DK33" s="58"/>
      <c r="DL33" s="15"/>
      <c r="DM33" s="58"/>
      <c r="DN33" s="15"/>
      <c r="DO33" s="58"/>
      <c r="DP33" s="15"/>
      <c r="DQ33" s="58"/>
      <c r="DR33" s="15"/>
      <c r="DS33" s="58"/>
      <c r="DT33" s="15"/>
      <c r="DU33" s="58"/>
      <c r="DV33" s="15"/>
      <c r="DW33" s="58"/>
      <c r="DX33" s="15"/>
      <c r="DY33" s="58"/>
      <c r="DZ33" s="15"/>
      <c r="EA33" s="58"/>
      <c r="EB33" s="15"/>
      <c r="EC33" s="58"/>
      <c r="ED33" s="15"/>
      <c r="EE33" s="217"/>
      <c r="EF33" s="8">
        <v>60000</v>
      </c>
      <c r="EG33" s="312">
        <v>60000</v>
      </c>
      <c r="EH33" s="236">
        <v>62000</v>
      </c>
      <c r="EI33" s="218"/>
      <c r="EJ33" s="218"/>
      <c r="EK33" s="218"/>
      <c r="EL33" s="218"/>
      <c r="EM33" s="218"/>
      <c r="EN33" s="246" t="s">
        <v>209</v>
      </c>
      <c r="EO33" s="246" t="s">
        <v>209</v>
      </c>
      <c r="EP33" s="246" t="s">
        <v>209</v>
      </c>
      <c r="EQ33" s="246" t="s">
        <v>209</v>
      </c>
      <c r="ER33" s="246"/>
      <c r="ES33" s="246"/>
      <c r="ET33" s="246"/>
      <c r="EU33" s="246"/>
      <c r="EV33" s="246"/>
      <c r="EW33" s="246"/>
      <c r="EX33" s="246"/>
      <c r="EY33" s="246"/>
      <c r="EZ33" s="246"/>
      <c r="FA33" s="246"/>
      <c r="FB33" s="59">
        <f t="shared" si="7"/>
        <v>60000</v>
      </c>
      <c r="FC33" s="59">
        <f t="shared" si="0"/>
        <v>60666.666666666664</v>
      </c>
      <c r="FD33" s="60">
        <f t="shared" si="1"/>
        <v>1154.7005383792516</v>
      </c>
      <c r="FE33" s="65">
        <f t="shared" si="2"/>
        <v>1.9033525357899754E-2</v>
      </c>
      <c r="FF33" s="88">
        <f t="shared" si="8"/>
        <v>50980.672268907569</v>
      </c>
      <c r="FG33" s="88">
        <f t="shared" si="9"/>
        <v>9686.3277310924386</v>
      </c>
      <c r="FH33" s="74">
        <f t="shared" si="5"/>
        <v>60667</v>
      </c>
      <c r="FI33" s="260">
        <f t="shared" si="6"/>
        <v>182001</v>
      </c>
      <c r="FJ33" s="60" t="s">
        <v>65</v>
      </c>
    </row>
    <row r="34" spans="1:166" s="40" customFormat="1" ht="58" x14ac:dyDescent="0.35">
      <c r="A34" s="37">
        <v>28</v>
      </c>
      <c r="B34" s="37" t="s">
        <v>231</v>
      </c>
      <c r="C34" s="36" t="s">
        <v>910</v>
      </c>
      <c r="D34" s="249" t="s">
        <v>64</v>
      </c>
      <c r="E34" s="220">
        <v>3</v>
      </c>
      <c r="F34" s="58"/>
      <c r="G34" s="58"/>
      <c r="H34" s="58"/>
      <c r="I34" s="58"/>
      <c r="J34" s="58"/>
      <c r="K34" s="58"/>
      <c r="L34" s="15"/>
      <c r="M34" s="58"/>
      <c r="N34" s="15"/>
      <c r="O34" s="58"/>
      <c r="P34" s="15"/>
      <c r="Q34" s="58"/>
      <c r="R34" s="15"/>
      <c r="S34" s="58"/>
      <c r="T34" s="15"/>
      <c r="U34" s="58"/>
      <c r="V34" s="15"/>
      <c r="W34" s="58"/>
      <c r="X34" s="15"/>
      <c r="Y34" s="58"/>
      <c r="Z34" s="15"/>
      <c r="AA34" s="58"/>
      <c r="AB34" s="15"/>
      <c r="AC34" s="58"/>
      <c r="AD34" s="58"/>
      <c r="AE34" s="58"/>
      <c r="AF34" s="15"/>
      <c r="AG34" s="58"/>
      <c r="AH34" s="15"/>
      <c r="AI34" s="58"/>
      <c r="AJ34" s="15"/>
      <c r="AK34" s="58"/>
      <c r="AL34" s="15"/>
      <c r="AM34" s="58"/>
      <c r="AN34" s="15"/>
      <c r="AO34" s="58"/>
      <c r="AP34" s="15"/>
      <c r="AQ34" s="58"/>
      <c r="AR34" s="15"/>
      <c r="AS34" s="58"/>
      <c r="AT34" s="15"/>
      <c r="AU34" s="58"/>
      <c r="AV34" s="15"/>
      <c r="AW34" s="58"/>
      <c r="AX34" s="15"/>
      <c r="AY34" s="58"/>
      <c r="AZ34" s="15"/>
      <c r="BA34" s="58"/>
      <c r="BB34" s="15"/>
      <c r="BC34" s="58"/>
      <c r="BD34" s="15"/>
      <c r="BE34" s="58"/>
      <c r="BF34" s="15"/>
      <c r="BG34" s="58"/>
      <c r="BH34" s="15"/>
      <c r="BI34" s="58"/>
      <c r="BJ34" s="15"/>
      <c r="BK34" s="58"/>
      <c r="BL34" s="15"/>
      <c r="BM34" s="58"/>
      <c r="BN34" s="15"/>
      <c r="BO34" s="58"/>
      <c r="BP34" s="15"/>
      <c r="BQ34" s="58"/>
      <c r="BR34" s="15"/>
      <c r="BS34" s="58"/>
      <c r="BT34" s="15"/>
      <c r="BU34" s="58"/>
      <c r="BV34" s="15"/>
      <c r="BW34" s="58"/>
      <c r="BX34" s="15"/>
      <c r="BY34" s="58"/>
      <c r="BZ34" s="15"/>
      <c r="CA34" s="58"/>
      <c r="CB34" s="15"/>
      <c r="CC34" s="58"/>
      <c r="CD34" s="15"/>
      <c r="CE34" s="58"/>
      <c r="CF34" s="15"/>
      <c r="CG34" s="58"/>
      <c r="CH34" s="15"/>
      <c r="CI34" s="58"/>
      <c r="CJ34" s="15"/>
      <c r="CK34" s="58"/>
      <c r="CL34" s="15"/>
      <c r="CM34" s="58"/>
      <c r="CN34" s="15"/>
      <c r="CO34" s="58"/>
      <c r="CP34" s="15"/>
      <c r="CQ34" s="58"/>
      <c r="CR34" s="15"/>
      <c r="CS34" s="58"/>
      <c r="CT34" s="15"/>
      <c r="CU34" s="58"/>
      <c r="CV34" s="15"/>
      <c r="CW34" s="58"/>
      <c r="CX34" s="15"/>
      <c r="CY34" s="58"/>
      <c r="CZ34" s="15"/>
      <c r="DA34" s="58"/>
      <c r="DB34" s="15"/>
      <c r="DC34" s="58"/>
      <c r="DD34" s="15"/>
      <c r="DE34" s="58"/>
      <c r="DF34" s="15"/>
      <c r="DG34" s="58"/>
      <c r="DH34" s="15"/>
      <c r="DI34" s="58"/>
      <c r="DJ34" s="15"/>
      <c r="DK34" s="58"/>
      <c r="DL34" s="15"/>
      <c r="DM34" s="58"/>
      <c r="DN34" s="15"/>
      <c r="DO34" s="58"/>
      <c r="DP34" s="15"/>
      <c r="DQ34" s="58"/>
      <c r="DR34" s="15"/>
      <c r="DS34" s="58"/>
      <c r="DT34" s="15"/>
      <c r="DU34" s="58"/>
      <c r="DV34" s="15"/>
      <c r="DW34" s="58"/>
      <c r="DX34" s="48"/>
      <c r="DY34" s="58"/>
      <c r="DZ34" s="15"/>
      <c r="EA34" s="58"/>
      <c r="EB34" s="15"/>
      <c r="EC34" s="58"/>
      <c r="ED34" s="15"/>
      <c r="EE34" s="217"/>
      <c r="EF34" s="8">
        <v>246000</v>
      </c>
      <c r="EG34" s="312">
        <v>245000</v>
      </c>
      <c r="EH34" s="236">
        <v>250000</v>
      </c>
      <c r="EI34" s="218"/>
      <c r="EJ34" s="218"/>
      <c r="EK34" s="218"/>
      <c r="EL34" s="218"/>
      <c r="EM34" s="218"/>
      <c r="EN34" s="246" t="s">
        <v>209</v>
      </c>
      <c r="EO34" s="246" t="s">
        <v>209</v>
      </c>
      <c r="EP34" s="246" t="s">
        <v>209</v>
      </c>
      <c r="EQ34" s="246" t="s">
        <v>209</v>
      </c>
      <c r="ER34" s="246"/>
      <c r="ES34" s="246"/>
      <c r="ET34" s="246"/>
      <c r="EU34" s="246"/>
      <c r="EV34" s="246"/>
      <c r="EW34" s="246"/>
      <c r="EX34" s="246"/>
      <c r="EY34" s="246"/>
      <c r="EZ34" s="246"/>
      <c r="FA34" s="246"/>
      <c r="FB34" s="59">
        <f t="shared" si="7"/>
        <v>246000</v>
      </c>
      <c r="FC34" s="59">
        <f t="shared" si="0"/>
        <v>247000</v>
      </c>
      <c r="FD34" s="60">
        <f t="shared" si="1"/>
        <v>2645.7513110645905</v>
      </c>
      <c r="FE34" s="65">
        <f t="shared" si="2"/>
        <v>1.0711543769492269E-2</v>
      </c>
      <c r="FF34" s="88">
        <f t="shared" si="8"/>
        <v>207563.02521008404</v>
      </c>
      <c r="FG34" s="88">
        <f t="shared" si="9"/>
        <v>39436.97478991597</v>
      </c>
      <c r="FH34" s="74">
        <f t="shared" si="5"/>
        <v>247000</v>
      </c>
      <c r="FI34" s="260">
        <f t="shared" si="6"/>
        <v>741000</v>
      </c>
      <c r="FJ34" s="60" t="s">
        <v>65</v>
      </c>
    </row>
    <row r="35" spans="1:166" s="40" customFormat="1" ht="72.5" x14ac:dyDescent="0.35">
      <c r="A35" s="36">
        <v>29</v>
      </c>
      <c r="B35" s="37" t="s">
        <v>232</v>
      </c>
      <c r="C35" s="36" t="s">
        <v>1028</v>
      </c>
      <c r="D35" s="249" t="s">
        <v>64</v>
      </c>
      <c r="E35" s="220">
        <v>3</v>
      </c>
      <c r="F35" s="58"/>
      <c r="G35" s="58"/>
      <c r="H35" s="58"/>
      <c r="I35" s="58"/>
      <c r="J35" s="58"/>
      <c r="K35" s="58"/>
      <c r="L35" s="15"/>
      <c r="M35" s="58"/>
      <c r="N35" s="15"/>
      <c r="O35" s="58"/>
      <c r="P35" s="15"/>
      <c r="Q35" s="58"/>
      <c r="R35" s="15"/>
      <c r="S35" s="58"/>
      <c r="T35" s="15"/>
      <c r="U35" s="58"/>
      <c r="V35" s="15"/>
      <c r="W35" s="58"/>
      <c r="X35" s="15"/>
      <c r="Y35" s="58"/>
      <c r="Z35" s="15"/>
      <c r="AA35" s="58"/>
      <c r="AB35" s="15"/>
      <c r="AC35" s="58"/>
      <c r="AD35" s="58"/>
      <c r="AE35" s="58"/>
      <c r="AF35" s="15"/>
      <c r="AG35" s="58"/>
      <c r="AH35" s="15"/>
      <c r="AI35" s="58"/>
      <c r="AJ35" s="15"/>
      <c r="AK35" s="58"/>
      <c r="AL35" s="15"/>
      <c r="AM35" s="58"/>
      <c r="AN35" s="15"/>
      <c r="AO35" s="58"/>
      <c r="AP35" s="15"/>
      <c r="AQ35" s="58"/>
      <c r="AR35" s="15"/>
      <c r="AS35" s="58"/>
      <c r="AT35" s="15"/>
      <c r="AU35" s="58"/>
      <c r="AV35" s="15"/>
      <c r="AW35" s="58"/>
      <c r="AX35" s="15"/>
      <c r="AY35" s="58"/>
      <c r="AZ35" s="15"/>
      <c r="BA35" s="58"/>
      <c r="BB35" s="15"/>
      <c r="BC35" s="58"/>
      <c r="BD35" s="15"/>
      <c r="BE35" s="58"/>
      <c r="BF35" s="15"/>
      <c r="BG35" s="58"/>
      <c r="BH35" s="15"/>
      <c r="BI35" s="58"/>
      <c r="BJ35" s="15"/>
      <c r="BK35" s="58"/>
      <c r="BL35" s="15"/>
      <c r="BM35" s="58"/>
      <c r="BN35" s="15"/>
      <c r="BO35" s="58"/>
      <c r="BP35" s="15"/>
      <c r="BQ35" s="58"/>
      <c r="BR35" s="15"/>
      <c r="BS35" s="58"/>
      <c r="BT35" s="15"/>
      <c r="BU35" s="58"/>
      <c r="BV35" s="15"/>
      <c r="BW35" s="58"/>
      <c r="BX35" s="15"/>
      <c r="BY35" s="58"/>
      <c r="BZ35" s="15"/>
      <c r="CA35" s="58"/>
      <c r="CB35" s="15"/>
      <c r="CC35" s="58"/>
      <c r="CD35" s="15"/>
      <c r="CE35" s="58"/>
      <c r="CF35" s="15"/>
      <c r="CG35" s="58"/>
      <c r="CH35" s="15"/>
      <c r="CI35" s="58"/>
      <c r="CJ35" s="15"/>
      <c r="CK35" s="58"/>
      <c r="CL35" s="15"/>
      <c r="CM35" s="58"/>
      <c r="CN35" s="15"/>
      <c r="CO35" s="58"/>
      <c r="CP35" s="15"/>
      <c r="CQ35" s="58"/>
      <c r="CR35" s="15"/>
      <c r="CS35" s="58"/>
      <c r="CT35" s="15"/>
      <c r="CU35" s="58"/>
      <c r="CV35" s="15"/>
      <c r="CW35" s="58"/>
      <c r="CX35" s="15"/>
      <c r="CY35" s="58"/>
      <c r="CZ35" s="15"/>
      <c r="DA35" s="58"/>
      <c r="DB35" s="15"/>
      <c r="DC35" s="58"/>
      <c r="DD35" s="15"/>
      <c r="DE35" s="58"/>
      <c r="DF35" s="15"/>
      <c r="DG35" s="58"/>
      <c r="DH35" s="15"/>
      <c r="DI35" s="58"/>
      <c r="DJ35" s="15"/>
      <c r="DK35" s="58"/>
      <c r="DL35" s="15"/>
      <c r="DM35" s="58"/>
      <c r="DN35" s="15"/>
      <c r="DO35" s="58"/>
      <c r="DP35" s="15"/>
      <c r="DQ35" s="58"/>
      <c r="DR35" s="15"/>
      <c r="DS35" s="58"/>
      <c r="DT35" s="15"/>
      <c r="DU35" s="58"/>
      <c r="DV35" s="15"/>
      <c r="DW35" s="58"/>
      <c r="DX35" s="15"/>
      <c r="DY35" s="58"/>
      <c r="DZ35" s="15"/>
      <c r="EA35" s="58"/>
      <c r="EB35" s="15"/>
      <c r="EC35" s="58"/>
      <c r="ED35" s="15"/>
      <c r="EE35" s="217"/>
      <c r="EF35" s="8">
        <v>3500000</v>
      </c>
      <c r="EG35" s="312">
        <v>3500000</v>
      </c>
      <c r="EH35" s="236">
        <v>3400000</v>
      </c>
      <c r="EI35" s="218"/>
      <c r="EJ35" s="218"/>
      <c r="EK35" s="218"/>
      <c r="EL35" s="218"/>
      <c r="EM35" s="218"/>
      <c r="EN35" s="246" t="s">
        <v>209</v>
      </c>
      <c r="EO35" s="246" t="s">
        <v>209</v>
      </c>
      <c r="EP35" s="246" t="s">
        <v>209</v>
      </c>
      <c r="EQ35" s="246" t="s">
        <v>209</v>
      </c>
      <c r="ER35" s="246"/>
      <c r="ES35" s="246"/>
      <c r="ET35" s="246"/>
      <c r="EU35" s="246"/>
      <c r="EV35" s="246"/>
      <c r="EW35" s="246"/>
      <c r="EX35" s="246"/>
      <c r="EY35" s="246"/>
      <c r="EZ35" s="246"/>
      <c r="FA35" s="246"/>
      <c r="FB35" s="59">
        <f t="shared" si="7"/>
        <v>3500000</v>
      </c>
      <c r="FC35" s="59">
        <f t="shared" si="0"/>
        <v>3466666.6666666665</v>
      </c>
      <c r="FD35" s="60">
        <f t="shared" si="1"/>
        <v>57735.026918962576</v>
      </c>
      <c r="FE35" s="65">
        <f t="shared" si="2"/>
        <v>1.6654334688162284E-2</v>
      </c>
      <c r="FF35" s="88">
        <f t="shared" si="8"/>
        <v>2913165.5462184874</v>
      </c>
      <c r="FG35" s="88">
        <f t="shared" si="9"/>
        <v>553501.45378151257</v>
      </c>
      <c r="FH35" s="74">
        <f t="shared" si="5"/>
        <v>3466667</v>
      </c>
      <c r="FI35" s="260">
        <f t="shared" si="6"/>
        <v>10400001</v>
      </c>
      <c r="FJ35" s="60" t="s">
        <v>65</v>
      </c>
    </row>
    <row r="36" spans="1:166" s="40" customFormat="1" ht="72.5" x14ac:dyDescent="0.35">
      <c r="A36" s="37">
        <v>30</v>
      </c>
      <c r="B36" s="37" t="s">
        <v>233</v>
      </c>
      <c r="C36" s="36" t="s">
        <v>1029</v>
      </c>
      <c r="D36" s="249" t="s">
        <v>64</v>
      </c>
      <c r="E36" s="220">
        <v>3</v>
      </c>
      <c r="F36" s="58"/>
      <c r="G36" s="58"/>
      <c r="H36" s="58"/>
      <c r="I36" s="58"/>
      <c r="J36" s="58"/>
      <c r="K36" s="58"/>
      <c r="L36" s="15"/>
      <c r="M36" s="58"/>
      <c r="N36" s="15"/>
      <c r="O36" s="58"/>
      <c r="P36" s="15"/>
      <c r="Q36" s="58"/>
      <c r="R36" s="15"/>
      <c r="S36" s="58"/>
      <c r="T36" s="15"/>
      <c r="U36" s="58"/>
      <c r="V36" s="15"/>
      <c r="W36" s="58"/>
      <c r="X36" s="15"/>
      <c r="Y36" s="58"/>
      <c r="Z36" s="15"/>
      <c r="AA36" s="58"/>
      <c r="AB36" s="15"/>
      <c r="AC36" s="58"/>
      <c r="AD36" s="58"/>
      <c r="AE36" s="58"/>
      <c r="AF36" s="15"/>
      <c r="AG36" s="58"/>
      <c r="AH36" s="15"/>
      <c r="AI36" s="58"/>
      <c r="AJ36" s="15"/>
      <c r="AK36" s="58"/>
      <c r="AL36" s="15"/>
      <c r="AM36" s="58"/>
      <c r="AN36" s="15"/>
      <c r="AO36" s="58"/>
      <c r="AP36" s="15"/>
      <c r="AQ36" s="58"/>
      <c r="AR36" s="15"/>
      <c r="AS36" s="58"/>
      <c r="AT36" s="15"/>
      <c r="AU36" s="58"/>
      <c r="AV36" s="15"/>
      <c r="AW36" s="58"/>
      <c r="AX36" s="15"/>
      <c r="AY36" s="58"/>
      <c r="AZ36" s="15"/>
      <c r="BA36" s="58"/>
      <c r="BB36" s="15"/>
      <c r="BC36" s="58"/>
      <c r="BD36" s="15"/>
      <c r="BE36" s="58"/>
      <c r="BF36" s="15"/>
      <c r="BG36" s="58"/>
      <c r="BH36" s="15"/>
      <c r="BI36" s="58"/>
      <c r="BJ36" s="15"/>
      <c r="BK36" s="58"/>
      <c r="BL36" s="15"/>
      <c r="BM36" s="58"/>
      <c r="BN36" s="15"/>
      <c r="BO36" s="58"/>
      <c r="BP36" s="15"/>
      <c r="BQ36" s="58"/>
      <c r="BR36" s="15"/>
      <c r="BS36" s="58"/>
      <c r="BT36" s="15"/>
      <c r="BU36" s="58"/>
      <c r="BV36" s="15"/>
      <c r="BW36" s="58"/>
      <c r="BX36" s="15"/>
      <c r="BY36" s="58"/>
      <c r="BZ36" s="15"/>
      <c r="CA36" s="58"/>
      <c r="CB36" s="15"/>
      <c r="CC36" s="58"/>
      <c r="CD36" s="15"/>
      <c r="CE36" s="58"/>
      <c r="CF36" s="15"/>
      <c r="CG36" s="58"/>
      <c r="CH36" s="15"/>
      <c r="CI36" s="58"/>
      <c r="CJ36" s="15"/>
      <c r="CK36" s="58"/>
      <c r="CL36" s="15"/>
      <c r="CM36" s="58"/>
      <c r="CN36" s="15"/>
      <c r="CO36" s="58"/>
      <c r="CP36" s="15"/>
      <c r="CQ36" s="58"/>
      <c r="CR36" s="15"/>
      <c r="CS36" s="58"/>
      <c r="CT36" s="15"/>
      <c r="CU36" s="58"/>
      <c r="CV36" s="15"/>
      <c r="CW36" s="58"/>
      <c r="CX36" s="15"/>
      <c r="CY36" s="58"/>
      <c r="CZ36" s="15"/>
      <c r="DA36" s="58"/>
      <c r="DB36" s="15"/>
      <c r="DC36" s="58"/>
      <c r="DD36" s="15"/>
      <c r="DE36" s="58"/>
      <c r="DF36" s="15"/>
      <c r="DG36" s="58"/>
      <c r="DH36" s="15"/>
      <c r="DI36" s="58"/>
      <c r="DJ36" s="15"/>
      <c r="DK36" s="58"/>
      <c r="DL36" s="15"/>
      <c r="DM36" s="58"/>
      <c r="DN36" s="15"/>
      <c r="DO36" s="58"/>
      <c r="DP36" s="15"/>
      <c r="DQ36" s="58"/>
      <c r="DR36" s="15"/>
      <c r="DS36" s="58"/>
      <c r="DT36" s="15"/>
      <c r="DU36" s="58"/>
      <c r="DV36" s="15"/>
      <c r="DW36" s="58"/>
      <c r="DX36" s="15"/>
      <c r="DY36" s="58"/>
      <c r="DZ36" s="15"/>
      <c r="EA36" s="58"/>
      <c r="EB36" s="15"/>
      <c r="EC36" s="58"/>
      <c r="ED36" s="15"/>
      <c r="EE36" s="217"/>
      <c r="EF36" s="8">
        <v>3100000</v>
      </c>
      <c r="EG36" s="312">
        <v>2900000</v>
      </c>
      <c r="EH36" s="236">
        <v>3000000</v>
      </c>
      <c r="EI36" s="218"/>
      <c r="EJ36" s="218"/>
      <c r="EK36" s="218"/>
      <c r="EL36" s="218"/>
      <c r="EM36" s="218"/>
      <c r="EN36" s="246" t="s">
        <v>209</v>
      </c>
      <c r="EO36" s="246" t="s">
        <v>209</v>
      </c>
      <c r="EP36" s="246" t="s">
        <v>209</v>
      </c>
      <c r="EQ36" s="246" t="s">
        <v>209</v>
      </c>
      <c r="ER36" s="246"/>
      <c r="ES36" s="246"/>
      <c r="ET36" s="246"/>
      <c r="EU36" s="246"/>
      <c r="EV36" s="246"/>
      <c r="EW36" s="246"/>
      <c r="EX36" s="246"/>
      <c r="EY36" s="246"/>
      <c r="EZ36" s="246"/>
      <c r="FA36" s="246"/>
      <c r="FB36" s="59">
        <f t="shared" si="7"/>
        <v>3000000</v>
      </c>
      <c r="FC36" s="59">
        <f t="shared" si="0"/>
        <v>3000000</v>
      </c>
      <c r="FD36" s="60">
        <f t="shared" si="1"/>
        <v>100000</v>
      </c>
      <c r="FE36" s="65">
        <f t="shared" si="2"/>
        <v>3.3333333333333333E-2</v>
      </c>
      <c r="FF36" s="88">
        <f t="shared" si="8"/>
        <v>2521008.4033613447</v>
      </c>
      <c r="FG36" s="88">
        <f t="shared" si="9"/>
        <v>478991.59663865552</v>
      </c>
      <c r="FH36" s="74">
        <f t="shared" si="5"/>
        <v>3000000</v>
      </c>
      <c r="FI36" s="260">
        <f t="shared" si="6"/>
        <v>9000000</v>
      </c>
      <c r="FJ36" s="60" t="s">
        <v>65</v>
      </c>
    </row>
    <row r="37" spans="1:166" s="40" customFormat="1" ht="87" x14ac:dyDescent="0.35">
      <c r="A37" s="37">
        <v>31</v>
      </c>
      <c r="B37" s="37" t="s">
        <v>234</v>
      </c>
      <c r="C37" s="36" t="s">
        <v>911</v>
      </c>
      <c r="D37" s="249" t="s">
        <v>64</v>
      </c>
      <c r="E37" s="220">
        <v>6</v>
      </c>
      <c r="F37" s="58"/>
      <c r="G37" s="58"/>
      <c r="H37" s="58"/>
      <c r="I37" s="58"/>
      <c r="J37" s="58"/>
      <c r="K37" s="58"/>
      <c r="L37" s="15"/>
      <c r="M37" s="58"/>
      <c r="N37" s="15"/>
      <c r="O37" s="58"/>
      <c r="P37" s="15"/>
      <c r="Q37" s="58"/>
      <c r="R37" s="15"/>
      <c r="S37" s="58"/>
      <c r="T37" s="15"/>
      <c r="U37" s="58"/>
      <c r="V37" s="15"/>
      <c r="W37" s="58"/>
      <c r="X37" s="15"/>
      <c r="Y37" s="58"/>
      <c r="Z37" s="15"/>
      <c r="AA37" s="58"/>
      <c r="AB37" s="15"/>
      <c r="AC37" s="58"/>
      <c r="AD37" s="58"/>
      <c r="AE37" s="58"/>
      <c r="AF37" s="15"/>
      <c r="AG37" s="58"/>
      <c r="AH37" s="15"/>
      <c r="AI37" s="58"/>
      <c r="AJ37" s="15"/>
      <c r="AK37" s="58"/>
      <c r="AL37" s="15"/>
      <c r="AM37" s="58"/>
      <c r="AN37" s="15"/>
      <c r="AO37" s="58"/>
      <c r="AP37" s="15"/>
      <c r="AQ37" s="58"/>
      <c r="AR37" s="15"/>
      <c r="AS37" s="58"/>
      <c r="AT37" s="15"/>
      <c r="AU37" s="58"/>
      <c r="AV37" s="15"/>
      <c r="AW37" s="58"/>
      <c r="AX37" s="15"/>
      <c r="AY37" s="58"/>
      <c r="AZ37" s="15"/>
      <c r="BA37" s="58"/>
      <c r="BB37" s="15"/>
      <c r="BC37" s="58"/>
      <c r="BD37" s="15"/>
      <c r="BE37" s="58"/>
      <c r="BF37" s="15"/>
      <c r="BG37" s="58"/>
      <c r="BH37" s="15"/>
      <c r="BI37" s="58"/>
      <c r="BJ37" s="15"/>
      <c r="BK37" s="58"/>
      <c r="BL37" s="15"/>
      <c r="BM37" s="58"/>
      <c r="BN37" s="15"/>
      <c r="BO37" s="58"/>
      <c r="BP37" s="15"/>
      <c r="BQ37" s="58"/>
      <c r="BR37" s="15"/>
      <c r="BS37" s="58"/>
      <c r="BT37" s="15"/>
      <c r="BU37" s="58"/>
      <c r="BV37" s="15"/>
      <c r="BW37" s="58"/>
      <c r="BX37" s="15"/>
      <c r="BY37" s="58"/>
      <c r="BZ37" s="15"/>
      <c r="CA37" s="58"/>
      <c r="CB37" s="15"/>
      <c r="CC37" s="58"/>
      <c r="CD37" s="15"/>
      <c r="CE37" s="58"/>
      <c r="CF37" s="15"/>
      <c r="CG37" s="58"/>
      <c r="CH37" s="15"/>
      <c r="CI37" s="58"/>
      <c r="CJ37" s="15"/>
      <c r="CK37" s="58"/>
      <c r="CL37" s="15"/>
      <c r="CM37" s="58"/>
      <c r="CN37" s="15"/>
      <c r="CO37" s="58"/>
      <c r="CP37" s="15"/>
      <c r="CQ37" s="58"/>
      <c r="CR37" s="15"/>
      <c r="CS37" s="58"/>
      <c r="CT37" s="15"/>
      <c r="CU37" s="58"/>
      <c r="CV37" s="15"/>
      <c r="CW37" s="58"/>
      <c r="CX37" s="15"/>
      <c r="CY37" s="58"/>
      <c r="CZ37" s="15"/>
      <c r="DA37" s="58"/>
      <c r="DB37" s="15"/>
      <c r="DC37" s="58"/>
      <c r="DD37" s="15"/>
      <c r="DE37" s="58"/>
      <c r="DF37" s="15"/>
      <c r="DG37" s="58"/>
      <c r="DH37" s="15"/>
      <c r="DI37" s="58"/>
      <c r="DJ37" s="15"/>
      <c r="DK37" s="58"/>
      <c r="DL37" s="15"/>
      <c r="DM37" s="58"/>
      <c r="DN37" s="15"/>
      <c r="DO37" s="58"/>
      <c r="DP37" s="15"/>
      <c r="DQ37" s="58"/>
      <c r="DR37" s="15"/>
      <c r="DS37" s="58"/>
      <c r="DT37" s="15"/>
      <c r="DU37" s="58"/>
      <c r="DV37" s="15"/>
      <c r="DW37" s="58"/>
      <c r="DX37" s="15"/>
      <c r="DY37" s="58"/>
      <c r="DZ37" s="15"/>
      <c r="EA37" s="58"/>
      <c r="EB37" s="15"/>
      <c r="EC37" s="58"/>
      <c r="ED37" s="15"/>
      <c r="EE37" s="217"/>
      <c r="EF37" s="8">
        <v>2500000</v>
      </c>
      <c r="EG37" s="312">
        <v>2410000</v>
      </c>
      <c r="EH37" s="236">
        <v>2470000</v>
      </c>
      <c r="EI37" s="218"/>
      <c r="EJ37" s="218"/>
      <c r="EK37" s="218"/>
      <c r="EL37" s="218"/>
      <c r="EM37" s="218"/>
      <c r="EN37" s="246" t="s">
        <v>209</v>
      </c>
      <c r="EO37" s="246" t="s">
        <v>209</v>
      </c>
      <c r="EP37" s="246" t="s">
        <v>209</v>
      </c>
      <c r="EQ37" s="246" t="s">
        <v>209</v>
      </c>
      <c r="ER37" s="246"/>
      <c r="ES37" s="246"/>
      <c r="ET37" s="246"/>
      <c r="EU37" s="246"/>
      <c r="EV37" s="246"/>
      <c r="EW37" s="246"/>
      <c r="EX37" s="246"/>
      <c r="EY37" s="246"/>
      <c r="EZ37" s="246"/>
      <c r="FA37" s="246"/>
      <c r="FB37" s="59">
        <f t="shared" si="7"/>
        <v>2470000</v>
      </c>
      <c r="FC37" s="59">
        <f t="shared" si="0"/>
        <v>2460000</v>
      </c>
      <c r="FD37" s="60">
        <f t="shared" si="1"/>
        <v>45825.756949558403</v>
      </c>
      <c r="FE37" s="65">
        <f t="shared" si="2"/>
        <v>1.8628356483560326E-2</v>
      </c>
      <c r="FF37" s="88">
        <f t="shared" si="8"/>
        <v>2067226.8907563025</v>
      </c>
      <c r="FG37" s="88">
        <f t="shared" si="9"/>
        <v>392773.10924369749</v>
      </c>
      <c r="FH37" s="74">
        <f t="shared" si="5"/>
        <v>2460000</v>
      </c>
      <c r="FI37" s="260">
        <f t="shared" si="6"/>
        <v>14760000</v>
      </c>
      <c r="FJ37" s="60" t="s">
        <v>65</v>
      </c>
    </row>
    <row r="38" spans="1:166" s="40" customFormat="1" ht="58" x14ac:dyDescent="0.35">
      <c r="A38" s="36">
        <v>32</v>
      </c>
      <c r="B38" s="37" t="s">
        <v>235</v>
      </c>
      <c r="C38" s="36" t="s">
        <v>912</v>
      </c>
      <c r="D38" s="249" t="s">
        <v>64</v>
      </c>
      <c r="E38" s="220">
        <v>6</v>
      </c>
      <c r="F38" s="58"/>
      <c r="G38" s="58"/>
      <c r="H38" s="58"/>
      <c r="I38" s="58"/>
      <c r="J38" s="58"/>
      <c r="K38" s="58"/>
      <c r="L38" s="15"/>
      <c r="M38" s="58"/>
      <c r="N38" s="15"/>
      <c r="O38" s="58"/>
      <c r="P38" s="15"/>
      <c r="Q38" s="58"/>
      <c r="R38" s="15"/>
      <c r="S38" s="58"/>
      <c r="T38" s="15"/>
      <c r="U38" s="58"/>
      <c r="V38" s="15"/>
      <c r="W38" s="58"/>
      <c r="X38" s="15"/>
      <c r="Y38" s="58"/>
      <c r="Z38" s="15"/>
      <c r="AA38" s="58"/>
      <c r="AB38" s="15"/>
      <c r="AC38" s="58"/>
      <c r="AD38" s="58"/>
      <c r="AE38" s="58"/>
      <c r="AF38" s="15"/>
      <c r="AG38" s="58"/>
      <c r="AH38" s="15"/>
      <c r="AI38" s="58"/>
      <c r="AJ38" s="15"/>
      <c r="AK38" s="58"/>
      <c r="AL38" s="15"/>
      <c r="AM38" s="58"/>
      <c r="AN38" s="15"/>
      <c r="AO38" s="58"/>
      <c r="AP38" s="15"/>
      <c r="AQ38" s="58"/>
      <c r="AR38" s="15"/>
      <c r="AS38" s="58"/>
      <c r="AT38" s="15"/>
      <c r="AU38" s="58"/>
      <c r="AV38" s="15"/>
      <c r="AW38" s="58"/>
      <c r="AX38" s="15"/>
      <c r="AY38" s="58"/>
      <c r="AZ38" s="15"/>
      <c r="BA38" s="58"/>
      <c r="BB38" s="15"/>
      <c r="BC38" s="58"/>
      <c r="BD38" s="15"/>
      <c r="BE38" s="58"/>
      <c r="BF38" s="15"/>
      <c r="BG38" s="58"/>
      <c r="BH38" s="15"/>
      <c r="BI38" s="58"/>
      <c r="BJ38" s="15"/>
      <c r="BK38" s="58"/>
      <c r="BL38" s="15"/>
      <c r="BM38" s="58"/>
      <c r="BN38" s="15"/>
      <c r="BO38" s="58"/>
      <c r="BP38" s="15"/>
      <c r="BQ38" s="58"/>
      <c r="BR38" s="15"/>
      <c r="BS38" s="58"/>
      <c r="BT38" s="15"/>
      <c r="BU38" s="58"/>
      <c r="BV38" s="15"/>
      <c r="BW38" s="58"/>
      <c r="BX38" s="15"/>
      <c r="BY38" s="58"/>
      <c r="BZ38" s="15"/>
      <c r="CA38" s="58"/>
      <c r="CB38" s="15"/>
      <c r="CC38" s="58"/>
      <c r="CD38" s="15"/>
      <c r="CE38" s="58"/>
      <c r="CF38" s="15"/>
      <c r="CG38" s="58"/>
      <c r="CH38" s="15"/>
      <c r="CI38" s="58"/>
      <c r="CJ38" s="15"/>
      <c r="CK38" s="58"/>
      <c r="CL38" s="15"/>
      <c r="CM38" s="58"/>
      <c r="CN38" s="15"/>
      <c r="CO38" s="58"/>
      <c r="CP38" s="15"/>
      <c r="CQ38" s="58"/>
      <c r="CR38" s="15"/>
      <c r="CS38" s="58"/>
      <c r="CT38" s="15"/>
      <c r="CU38" s="58"/>
      <c r="CV38" s="15"/>
      <c r="CW38" s="58"/>
      <c r="CX38" s="15"/>
      <c r="CY38" s="58"/>
      <c r="CZ38" s="15"/>
      <c r="DA38" s="58"/>
      <c r="DB38" s="15"/>
      <c r="DC38" s="58"/>
      <c r="DD38" s="15"/>
      <c r="DE38" s="58"/>
      <c r="DF38" s="15"/>
      <c r="DG38" s="58"/>
      <c r="DH38" s="15"/>
      <c r="DI38" s="58"/>
      <c r="DJ38" s="15"/>
      <c r="DK38" s="58"/>
      <c r="DL38" s="15"/>
      <c r="DM38" s="58"/>
      <c r="DN38" s="15"/>
      <c r="DO38" s="58"/>
      <c r="DP38" s="15"/>
      <c r="DQ38" s="58"/>
      <c r="DR38" s="15"/>
      <c r="DS38" s="58"/>
      <c r="DT38" s="15"/>
      <c r="DU38" s="58"/>
      <c r="DV38" s="15"/>
      <c r="DW38" s="58"/>
      <c r="DX38" s="15"/>
      <c r="DY38" s="58"/>
      <c r="DZ38" s="15"/>
      <c r="EA38" s="58"/>
      <c r="EB38" s="15"/>
      <c r="EC38" s="58"/>
      <c r="ED38" s="15"/>
      <c r="EE38" s="217"/>
      <c r="EF38" s="8">
        <v>1300000</v>
      </c>
      <c r="EG38" s="312">
        <v>1040000</v>
      </c>
      <c r="EH38" s="236">
        <v>1200000</v>
      </c>
      <c r="EI38" s="218"/>
      <c r="EJ38" s="218"/>
      <c r="EK38" s="218"/>
      <c r="EL38" s="218"/>
      <c r="EM38" s="218"/>
      <c r="EN38" s="246" t="s">
        <v>209</v>
      </c>
      <c r="EO38" s="246" t="s">
        <v>209</v>
      </c>
      <c r="EP38" s="246" t="s">
        <v>209</v>
      </c>
      <c r="EQ38" s="246" t="s">
        <v>209</v>
      </c>
      <c r="ER38" s="246"/>
      <c r="ES38" s="246"/>
      <c r="ET38" s="246"/>
      <c r="EU38" s="246"/>
      <c r="EV38" s="246"/>
      <c r="EW38" s="246"/>
      <c r="EX38" s="246"/>
      <c r="EY38" s="246"/>
      <c r="EZ38" s="246"/>
      <c r="FA38" s="246"/>
      <c r="FB38" s="59">
        <f t="shared" si="7"/>
        <v>1200000</v>
      </c>
      <c r="FC38" s="59">
        <f t="shared" si="0"/>
        <v>1180000</v>
      </c>
      <c r="FD38" s="60">
        <f t="shared" si="1"/>
        <v>131148.77048604001</v>
      </c>
      <c r="FE38" s="65">
        <f t="shared" si="2"/>
        <v>0.11114302583562713</v>
      </c>
      <c r="FF38" s="88">
        <f t="shared" si="8"/>
        <v>991596.63865546219</v>
      </c>
      <c r="FG38" s="88">
        <f t="shared" si="9"/>
        <v>188403.36134453781</v>
      </c>
      <c r="FH38" s="74">
        <f t="shared" si="5"/>
        <v>1180000</v>
      </c>
      <c r="FI38" s="260">
        <f t="shared" si="6"/>
        <v>7080000</v>
      </c>
      <c r="FJ38" s="60" t="s">
        <v>65</v>
      </c>
    </row>
    <row r="39" spans="1:166" s="40" customFormat="1" ht="58" x14ac:dyDescent="0.35">
      <c r="A39" s="36">
        <v>33</v>
      </c>
      <c r="B39" s="37" t="s">
        <v>236</v>
      </c>
      <c r="C39" s="36" t="s">
        <v>913</v>
      </c>
      <c r="D39" s="249" t="s">
        <v>64</v>
      </c>
      <c r="E39" s="220">
        <v>6</v>
      </c>
      <c r="F39" s="58"/>
      <c r="G39" s="58"/>
      <c r="H39" s="58"/>
      <c r="I39" s="58"/>
      <c r="J39" s="58"/>
      <c r="K39" s="58"/>
      <c r="L39" s="15"/>
      <c r="M39" s="58"/>
      <c r="N39" s="15"/>
      <c r="O39" s="58"/>
      <c r="P39" s="15"/>
      <c r="Q39" s="58"/>
      <c r="R39" s="15"/>
      <c r="S39" s="58"/>
      <c r="T39" s="15"/>
      <c r="U39" s="58"/>
      <c r="V39" s="15"/>
      <c r="W39" s="58"/>
      <c r="X39" s="15"/>
      <c r="Y39" s="58"/>
      <c r="Z39" s="15"/>
      <c r="AA39" s="58"/>
      <c r="AB39" s="15"/>
      <c r="AC39" s="58"/>
      <c r="AD39" s="58"/>
      <c r="AE39" s="58"/>
      <c r="AF39" s="15"/>
      <c r="AG39" s="58"/>
      <c r="AH39" s="15"/>
      <c r="AI39" s="58"/>
      <c r="AJ39" s="15"/>
      <c r="AK39" s="58"/>
      <c r="AL39" s="15"/>
      <c r="AM39" s="58"/>
      <c r="AN39" s="15"/>
      <c r="AO39" s="58"/>
      <c r="AP39" s="15"/>
      <c r="AQ39" s="58"/>
      <c r="AR39" s="15"/>
      <c r="AS39" s="58"/>
      <c r="AT39" s="15"/>
      <c r="AU39" s="58"/>
      <c r="AV39" s="15"/>
      <c r="AW39" s="58"/>
      <c r="AX39" s="15"/>
      <c r="AY39" s="58"/>
      <c r="AZ39" s="15"/>
      <c r="BA39" s="58"/>
      <c r="BB39" s="15"/>
      <c r="BC39" s="58"/>
      <c r="BD39" s="15"/>
      <c r="BE39" s="58"/>
      <c r="BF39" s="15"/>
      <c r="BG39" s="58"/>
      <c r="BH39" s="15"/>
      <c r="BI39" s="58"/>
      <c r="BJ39" s="15"/>
      <c r="BK39" s="58"/>
      <c r="BL39" s="15"/>
      <c r="BM39" s="58"/>
      <c r="BN39" s="15"/>
      <c r="BO39" s="58"/>
      <c r="BP39" s="15"/>
      <c r="BQ39" s="58"/>
      <c r="BR39" s="15"/>
      <c r="BS39" s="58"/>
      <c r="BT39" s="15"/>
      <c r="BU39" s="58"/>
      <c r="BV39" s="15"/>
      <c r="BW39" s="58"/>
      <c r="BX39" s="15"/>
      <c r="BY39" s="58"/>
      <c r="BZ39" s="15"/>
      <c r="CA39" s="58"/>
      <c r="CB39" s="15"/>
      <c r="CC39" s="58"/>
      <c r="CD39" s="15"/>
      <c r="CE39" s="58"/>
      <c r="CF39" s="15"/>
      <c r="CG39" s="58"/>
      <c r="CH39" s="15"/>
      <c r="CI39" s="58"/>
      <c r="CJ39" s="15"/>
      <c r="CK39" s="58"/>
      <c r="CL39" s="15"/>
      <c r="CM39" s="58"/>
      <c r="CN39" s="15"/>
      <c r="CO39" s="58"/>
      <c r="CP39" s="15"/>
      <c r="CQ39" s="58"/>
      <c r="CR39" s="15"/>
      <c r="CS39" s="58"/>
      <c r="CT39" s="15"/>
      <c r="CU39" s="58"/>
      <c r="CV39" s="15"/>
      <c r="CW39" s="58"/>
      <c r="CX39" s="15"/>
      <c r="CY39" s="58"/>
      <c r="CZ39" s="15"/>
      <c r="DA39" s="58"/>
      <c r="DB39" s="15"/>
      <c r="DC39" s="58"/>
      <c r="DD39" s="15"/>
      <c r="DE39" s="58"/>
      <c r="DF39" s="15"/>
      <c r="DG39" s="58"/>
      <c r="DH39" s="15"/>
      <c r="DI39" s="58"/>
      <c r="DJ39" s="15"/>
      <c r="DK39" s="58"/>
      <c r="DL39" s="15"/>
      <c r="DM39" s="58"/>
      <c r="DN39" s="15"/>
      <c r="DO39" s="58"/>
      <c r="DP39" s="15"/>
      <c r="DQ39" s="58"/>
      <c r="DR39" s="15"/>
      <c r="DS39" s="58"/>
      <c r="DT39" s="15"/>
      <c r="DU39" s="58"/>
      <c r="DV39" s="15"/>
      <c r="DW39" s="58"/>
      <c r="DX39" s="15"/>
      <c r="DY39" s="58"/>
      <c r="DZ39" s="15"/>
      <c r="EA39" s="58"/>
      <c r="EB39" s="15"/>
      <c r="EC39" s="58"/>
      <c r="ED39" s="15"/>
      <c r="EE39" s="217"/>
      <c r="EF39" s="8">
        <v>850000</v>
      </c>
      <c r="EG39" s="312">
        <v>720000</v>
      </c>
      <c r="EH39" s="236">
        <v>800000</v>
      </c>
      <c r="EI39" s="218"/>
      <c r="EJ39" s="218"/>
      <c r="EK39" s="218"/>
      <c r="EL39" s="218"/>
      <c r="EM39" s="218"/>
      <c r="EN39" s="246" t="s">
        <v>209</v>
      </c>
      <c r="EO39" s="246" t="s">
        <v>209</v>
      </c>
      <c r="EP39" s="246" t="s">
        <v>209</v>
      </c>
      <c r="EQ39" s="246" t="s">
        <v>209</v>
      </c>
      <c r="ER39" s="246"/>
      <c r="ES39" s="246"/>
      <c r="ET39" s="246"/>
      <c r="EU39" s="246"/>
      <c r="EV39" s="246"/>
      <c r="EW39" s="246"/>
      <c r="EX39" s="246"/>
      <c r="EY39" s="246"/>
      <c r="EZ39" s="246"/>
      <c r="FA39" s="246"/>
      <c r="FB39" s="59">
        <f t="shared" si="7"/>
        <v>800000</v>
      </c>
      <c r="FC39" s="59">
        <f t="shared" si="0"/>
        <v>790000</v>
      </c>
      <c r="FD39" s="60">
        <f t="shared" si="1"/>
        <v>65574.385243020006</v>
      </c>
      <c r="FE39" s="65">
        <f t="shared" si="2"/>
        <v>8.300555094053165E-2</v>
      </c>
      <c r="FF39" s="88">
        <f t="shared" si="8"/>
        <v>663865.54621848743</v>
      </c>
      <c r="FG39" s="88">
        <f t="shared" si="9"/>
        <v>126134.45378151261</v>
      </c>
      <c r="FH39" s="74">
        <f t="shared" ref="FH39:FH70" si="11">ROUNDUP(IF(FE39&lt;15%,FC39,FB39),0)</f>
        <v>790000</v>
      </c>
      <c r="FI39" s="260">
        <f t="shared" ref="FI39:FI70" si="12">+FH39*E39</f>
        <v>4740000</v>
      </c>
      <c r="FJ39" s="60" t="s">
        <v>65</v>
      </c>
    </row>
    <row r="40" spans="1:166" s="40" customFormat="1" ht="72.5" x14ac:dyDescent="0.35">
      <c r="A40" s="37">
        <v>34</v>
      </c>
      <c r="B40" s="37" t="s">
        <v>237</v>
      </c>
      <c r="C40" s="36" t="s">
        <v>914</v>
      </c>
      <c r="D40" s="249" t="s">
        <v>64</v>
      </c>
      <c r="E40" s="220">
        <v>20</v>
      </c>
      <c r="F40" s="58"/>
      <c r="G40" s="58"/>
      <c r="H40" s="58"/>
      <c r="I40" s="58"/>
      <c r="J40" s="58"/>
      <c r="K40" s="58"/>
      <c r="L40" s="15"/>
      <c r="M40" s="58"/>
      <c r="N40" s="15"/>
      <c r="O40" s="58"/>
      <c r="P40" s="15"/>
      <c r="Q40" s="58"/>
      <c r="R40" s="15"/>
      <c r="S40" s="58"/>
      <c r="T40" s="15"/>
      <c r="U40" s="58"/>
      <c r="V40" s="15"/>
      <c r="W40" s="58"/>
      <c r="X40" s="15"/>
      <c r="Y40" s="58"/>
      <c r="Z40" s="15"/>
      <c r="AA40" s="58"/>
      <c r="AB40" s="15"/>
      <c r="AC40" s="58"/>
      <c r="AD40" s="58"/>
      <c r="AE40" s="58"/>
      <c r="AF40" s="15"/>
      <c r="AG40" s="58"/>
      <c r="AH40" s="15"/>
      <c r="AI40" s="58"/>
      <c r="AJ40" s="15"/>
      <c r="AK40" s="58"/>
      <c r="AL40" s="15"/>
      <c r="AM40" s="58"/>
      <c r="AN40" s="15"/>
      <c r="AO40" s="58"/>
      <c r="AP40" s="15"/>
      <c r="AQ40" s="58"/>
      <c r="AR40" s="15"/>
      <c r="AS40" s="58"/>
      <c r="AT40" s="15"/>
      <c r="AU40" s="58"/>
      <c r="AV40" s="15"/>
      <c r="AW40" s="58"/>
      <c r="AX40" s="15"/>
      <c r="AY40" s="58"/>
      <c r="AZ40" s="15"/>
      <c r="BA40" s="58"/>
      <c r="BB40" s="15"/>
      <c r="BC40" s="58"/>
      <c r="BD40" s="15"/>
      <c r="BE40" s="58"/>
      <c r="BF40" s="15"/>
      <c r="BG40" s="58"/>
      <c r="BH40" s="15"/>
      <c r="BI40" s="58"/>
      <c r="BJ40" s="15"/>
      <c r="BK40" s="58"/>
      <c r="BL40" s="15"/>
      <c r="BM40" s="58"/>
      <c r="BN40" s="15"/>
      <c r="BO40" s="58"/>
      <c r="BP40" s="15"/>
      <c r="BQ40" s="58"/>
      <c r="BR40" s="15"/>
      <c r="BS40" s="58"/>
      <c r="BT40" s="15"/>
      <c r="BU40" s="58"/>
      <c r="BV40" s="15"/>
      <c r="BW40" s="58"/>
      <c r="BX40" s="15"/>
      <c r="BY40" s="58"/>
      <c r="BZ40" s="15"/>
      <c r="CA40" s="58"/>
      <c r="CB40" s="15"/>
      <c r="CC40" s="58"/>
      <c r="CD40" s="15"/>
      <c r="CE40" s="58"/>
      <c r="CF40" s="15"/>
      <c r="CG40" s="58"/>
      <c r="CH40" s="15"/>
      <c r="CI40" s="58"/>
      <c r="CJ40" s="15"/>
      <c r="CK40" s="58"/>
      <c r="CL40" s="15"/>
      <c r="CM40" s="58"/>
      <c r="CN40" s="15"/>
      <c r="CO40" s="58"/>
      <c r="CP40" s="15"/>
      <c r="CQ40" s="58"/>
      <c r="CR40" s="15">
        <v>289900</v>
      </c>
      <c r="CS40" s="58">
        <f t="shared" ref="CS40" si="13">+(CR40*5.1%)+CR40</f>
        <v>304684.90000000002</v>
      </c>
      <c r="CT40" s="15">
        <v>200000</v>
      </c>
      <c r="CU40" s="58">
        <f t="shared" ref="CU40" si="14">+(CT40*5.1%)+CT40</f>
        <v>210200</v>
      </c>
      <c r="CV40" s="15">
        <v>200000</v>
      </c>
      <c r="CW40" s="58">
        <f t="shared" ref="CW40" si="15">+(CV40*5.1%)+CV40</f>
        <v>210200</v>
      </c>
      <c r="CX40" s="15"/>
      <c r="CY40" s="58">
        <f t="shared" ref="CY40" si="16">+(CX40*5.1%)+CX40</f>
        <v>0</v>
      </c>
      <c r="CZ40" s="15"/>
      <c r="DA40" s="58"/>
      <c r="DB40" s="15"/>
      <c r="DC40" s="58"/>
      <c r="DD40" s="15"/>
      <c r="DE40" s="58"/>
      <c r="DF40" s="15"/>
      <c r="DG40" s="58"/>
      <c r="DH40" s="15"/>
      <c r="DI40" s="58"/>
      <c r="DJ40" s="15"/>
      <c r="DK40" s="58"/>
      <c r="DL40" s="15"/>
      <c r="DM40" s="58"/>
      <c r="DN40" s="15"/>
      <c r="DO40" s="58"/>
      <c r="DP40" s="15"/>
      <c r="DQ40" s="58"/>
      <c r="DR40" s="15"/>
      <c r="DS40" s="58"/>
      <c r="DT40" s="15"/>
      <c r="DU40" s="58"/>
      <c r="DV40" s="15"/>
      <c r="DW40" s="58"/>
      <c r="DX40" s="15"/>
      <c r="DY40" s="58"/>
      <c r="DZ40" s="15"/>
      <c r="EA40" s="58"/>
      <c r="EB40" s="15"/>
      <c r="EC40" s="58"/>
      <c r="ED40" s="15"/>
      <c r="EE40" s="217"/>
      <c r="EF40" s="8">
        <v>1550000</v>
      </c>
      <c r="EG40" s="312">
        <v>1450000</v>
      </c>
      <c r="EH40" s="236">
        <v>1500000</v>
      </c>
      <c r="EI40" s="218"/>
      <c r="EJ40" s="218"/>
      <c r="EK40" s="218"/>
      <c r="EL40" s="218"/>
      <c r="EM40" s="218"/>
      <c r="EN40" s="246" t="s">
        <v>209</v>
      </c>
      <c r="EO40" s="246" t="s">
        <v>209</v>
      </c>
      <c r="EP40" s="246" t="s">
        <v>209</v>
      </c>
      <c r="EQ40" s="246" t="s">
        <v>209</v>
      </c>
      <c r="ER40" s="246"/>
      <c r="ES40" s="246"/>
      <c r="ET40" s="246"/>
      <c r="EU40" s="246"/>
      <c r="EV40" s="246"/>
      <c r="EW40" s="246"/>
      <c r="EX40" s="246"/>
      <c r="EY40" s="246"/>
      <c r="EZ40" s="246"/>
      <c r="FA40" s="246"/>
      <c r="FB40" s="59">
        <f t="shared" si="7"/>
        <v>1500000</v>
      </c>
      <c r="FC40" s="59">
        <f t="shared" si="0"/>
        <v>1500000</v>
      </c>
      <c r="FD40" s="60">
        <f t="shared" si="1"/>
        <v>50000</v>
      </c>
      <c r="FE40" s="65">
        <f t="shared" si="2"/>
        <v>3.3333333333333333E-2</v>
      </c>
      <c r="FF40" s="88">
        <f t="shared" si="8"/>
        <v>1260504.2016806724</v>
      </c>
      <c r="FG40" s="88">
        <f t="shared" si="9"/>
        <v>239495.79831932776</v>
      </c>
      <c r="FH40" s="74">
        <f t="shared" si="11"/>
        <v>1500000</v>
      </c>
      <c r="FI40" s="260">
        <f t="shared" si="12"/>
        <v>30000000</v>
      </c>
      <c r="FJ40" s="60" t="s">
        <v>65</v>
      </c>
    </row>
    <row r="41" spans="1:166" s="40" customFormat="1" ht="101.5" x14ac:dyDescent="0.35">
      <c r="A41" s="37">
        <v>35</v>
      </c>
      <c r="B41" s="37" t="s">
        <v>1091</v>
      </c>
      <c r="C41" s="36" t="s">
        <v>915</v>
      </c>
      <c r="D41" s="249" t="s">
        <v>64</v>
      </c>
      <c r="E41" s="220">
        <v>25</v>
      </c>
      <c r="F41" s="58"/>
      <c r="G41" s="58"/>
      <c r="H41" s="58"/>
      <c r="I41" s="58"/>
      <c r="J41" s="58"/>
      <c r="K41" s="58"/>
      <c r="L41" s="15"/>
      <c r="M41" s="58"/>
      <c r="N41" s="15"/>
      <c r="O41" s="58"/>
      <c r="P41" s="15"/>
      <c r="Q41" s="58"/>
      <c r="R41" s="15"/>
      <c r="S41" s="58"/>
      <c r="T41" s="15"/>
      <c r="U41" s="58"/>
      <c r="V41" s="15"/>
      <c r="W41" s="58"/>
      <c r="X41" s="15"/>
      <c r="Y41" s="58"/>
      <c r="Z41" s="15"/>
      <c r="AA41" s="58"/>
      <c r="AB41" s="15"/>
      <c r="AC41" s="58"/>
      <c r="AD41" s="58"/>
      <c r="AE41" s="58"/>
      <c r="AF41" s="15"/>
      <c r="AG41" s="58"/>
      <c r="AH41" s="15"/>
      <c r="AI41" s="58"/>
      <c r="AJ41" s="15"/>
      <c r="AK41" s="58"/>
      <c r="AL41" s="15"/>
      <c r="AM41" s="58"/>
      <c r="AN41" s="15"/>
      <c r="AO41" s="58"/>
      <c r="AP41" s="15"/>
      <c r="AQ41" s="58"/>
      <c r="AR41" s="15"/>
      <c r="AS41" s="58"/>
      <c r="AT41" s="15"/>
      <c r="AU41" s="58"/>
      <c r="AV41" s="15"/>
      <c r="AW41" s="58"/>
      <c r="AX41" s="15"/>
      <c r="AY41" s="58"/>
      <c r="AZ41" s="15"/>
      <c r="BA41" s="58"/>
      <c r="BB41" s="15"/>
      <c r="BC41" s="58"/>
      <c r="BD41" s="15"/>
      <c r="BE41" s="58"/>
      <c r="BF41" s="15"/>
      <c r="BG41" s="58"/>
      <c r="BH41" s="15"/>
      <c r="BI41" s="58"/>
      <c r="BJ41" s="15"/>
      <c r="BK41" s="58"/>
      <c r="BL41" s="15"/>
      <c r="BM41" s="58"/>
      <c r="BN41" s="15"/>
      <c r="BO41" s="58"/>
      <c r="BP41" s="15"/>
      <c r="BQ41" s="58"/>
      <c r="BR41" s="15"/>
      <c r="BS41" s="58"/>
      <c r="BT41" s="15"/>
      <c r="BU41" s="58"/>
      <c r="BV41" s="15"/>
      <c r="BW41" s="58"/>
      <c r="BX41" s="15"/>
      <c r="BY41" s="58"/>
      <c r="BZ41" s="15"/>
      <c r="CA41" s="58"/>
      <c r="CB41" s="15"/>
      <c r="CC41" s="58"/>
      <c r="CD41" s="15"/>
      <c r="CE41" s="58"/>
      <c r="CF41" s="15"/>
      <c r="CG41" s="58"/>
      <c r="CH41" s="15"/>
      <c r="CI41" s="58"/>
      <c r="CJ41" s="15"/>
      <c r="CK41" s="58"/>
      <c r="CL41" s="15"/>
      <c r="CM41" s="58"/>
      <c r="CN41" s="15"/>
      <c r="CO41" s="58"/>
      <c r="CP41" s="15"/>
      <c r="CQ41" s="58"/>
      <c r="CR41" s="15"/>
      <c r="CS41" s="58">
        <f t="shared" ref="CS41" si="17">+(CR41*5.1%)+CR41</f>
        <v>0</v>
      </c>
      <c r="CT41" s="15"/>
      <c r="CU41" s="58">
        <f t="shared" ref="CU41" si="18">+(CT41*5.1%)+CT41</f>
        <v>0</v>
      </c>
      <c r="CV41" s="15"/>
      <c r="CW41" s="58">
        <f t="shared" ref="CW41" si="19">+(CV41*5.1%)+CV41</f>
        <v>0</v>
      </c>
      <c r="CX41" s="15"/>
      <c r="CY41" s="58">
        <f t="shared" ref="CY41" si="20">+(CX41*5.1%)+CX41</f>
        <v>0</v>
      </c>
      <c r="CZ41" s="15"/>
      <c r="DA41" s="58"/>
      <c r="DB41" s="15"/>
      <c r="DC41" s="58"/>
      <c r="DD41" s="15"/>
      <c r="DE41" s="58"/>
      <c r="DF41" s="15"/>
      <c r="DG41" s="58"/>
      <c r="DH41" s="15"/>
      <c r="DI41" s="58"/>
      <c r="DJ41" s="15"/>
      <c r="DK41" s="58"/>
      <c r="DL41" s="15"/>
      <c r="DM41" s="58"/>
      <c r="DN41" s="15"/>
      <c r="DO41" s="58"/>
      <c r="DP41" s="15"/>
      <c r="DQ41" s="58"/>
      <c r="DR41" s="15"/>
      <c r="DS41" s="58"/>
      <c r="DT41" s="15"/>
      <c r="DU41" s="58"/>
      <c r="DV41" s="15"/>
      <c r="DW41" s="58"/>
      <c r="DX41" s="15"/>
      <c r="DY41" s="58"/>
      <c r="DZ41" s="15"/>
      <c r="EA41" s="58"/>
      <c r="EB41" s="15"/>
      <c r="EC41" s="58"/>
      <c r="ED41" s="15"/>
      <c r="EE41" s="217"/>
      <c r="EF41" s="8">
        <v>3150000</v>
      </c>
      <c r="EG41" s="312">
        <v>3000000</v>
      </c>
      <c r="EH41" s="236">
        <v>3100000</v>
      </c>
      <c r="EI41" s="218"/>
      <c r="EJ41" s="218"/>
      <c r="EK41" s="218"/>
      <c r="EL41" s="218"/>
      <c r="EM41" s="218"/>
      <c r="EN41" s="246" t="s">
        <v>209</v>
      </c>
      <c r="EO41" s="246" t="s">
        <v>209</v>
      </c>
      <c r="EP41" s="246" t="s">
        <v>209</v>
      </c>
      <c r="EQ41" s="246" t="s">
        <v>209</v>
      </c>
      <c r="ER41" s="246"/>
      <c r="ES41" s="246"/>
      <c r="ET41" s="246"/>
      <c r="EU41" s="246"/>
      <c r="EV41" s="246"/>
      <c r="EW41" s="246"/>
      <c r="EX41" s="246"/>
      <c r="EY41" s="246"/>
      <c r="EZ41" s="246"/>
      <c r="FA41" s="246"/>
      <c r="FB41" s="59">
        <f t="shared" si="7"/>
        <v>3100000</v>
      </c>
      <c r="FC41" s="59">
        <f t="shared" si="0"/>
        <v>3083333.3333333335</v>
      </c>
      <c r="FD41" s="60">
        <f t="shared" si="1"/>
        <v>76376.261582597333</v>
      </c>
      <c r="FE41" s="65">
        <f t="shared" si="2"/>
        <v>2.4770679432193729E-2</v>
      </c>
      <c r="FF41" s="88">
        <f t="shared" si="8"/>
        <v>2591036.9747899161</v>
      </c>
      <c r="FG41" s="88">
        <f t="shared" si="9"/>
        <v>492297.02521008404</v>
      </c>
      <c r="FH41" s="74">
        <f t="shared" si="11"/>
        <v>3083334</v>
      </c>
      <c r="FI41" s="260">
        <f t="shared" si="12"/>
        <v>77083350</v>
      </c>
      <c r="FJ41" s="60" t="s">
        <v>65</v>
      </c>
    </row>
    <row r="42" spans="1:166" s="40" customFormat="1" ht="58" x14ac:dyDescent="0.35">
      <c r="A42" s="37">
        <v>36</v>
      </c>
      <c r="B42" s="37" t="s">
        <v>238</v>
      </c>
      <c r="C42" s="36" t="s">
        <v>916</v>
      </c>
      <c r="D42" s="249" t="s">
        <v>64</v>
      </c>
      <c r="E42" s="220">
        <v>1</v>
      </c>
      <c r="F42" s="58"/>
      <c r="G42" s="58"/>
      <c r="H42" s="58"/>
      <c r="I42" s="58"/>
      <c r="J42" s="58"/>
      <c r="K42" s="58"/>
      <c r="L42" s="15"/>
      <c r="M42" s="58"/>
      <c r="N42" s="15"/>
      <c r="O42" s="58"/>
      <c r="P42" s="15"/>
      <c r="Q42" s="58"/>
      <c r="R42" s="15"/>
      <c r="S42" s="58"/>
      <c r="T42" s="15"/>
      <c r="U42" s="58"/>
      <c r="V42" s="15"/>
      <c r="W42" s="58"/>
      <c r="X42" s="15"/>
      <c r="Y42" s="58"/>
      <c r="Z42" s="15"/>
      <c r="AA42" s="58"/>
      <c r="AB42" s="15"/>
      <c r="AC42" s="58"/>
      <c r="AD42" s="58"/>
      <c r="AE42" s="58"/>
      <c r="AF42" s="15"/>
      <c r="AG42" s="58"/>
      <c r="AH42" s="15"/>
      <c r="AI42" s="58"/>
      <c r="AJ42" s="15"/>
      <c r="AK42" s="58"/>
      <c r="AL42" s="15"/>
      <c r="AM42" s="58"/>
      <c r="AN42" s="15"/>
      <c r="AO42" s="58"/>
      <c r="AP42" s="15"/>
      <c r="AQ42" s="58"/>
      <c r="AR42" s="15"/>
      <c r="AS42" s="58"/>
      <c r="AT42" s="15"/>
      <c r="AU42" s="58"/>
      <c r="AV42" s="15"/>
      <c r="AW42" s="58"/>
      <c r="AX42" s="15"/>
      <c r="AY42" s="58"/>
      <c r="AZ42" s="15"/>
      <c r="BA42" s="58"/>
      <c r="BB42" s="15"/>
      <c r="BC42" s="58"/>
      <c r="BD42" s="15"/>
      <c r="BE42" s="58"/>
      <c r="BF42" s="15"/>
      <c r="BG42" s="58"/>
      <c r="BH42" s="15"/>
      <c r="BI42" s="58"/>
      <c r="BJ42" s="15"/>
      <c r="BK42" s="58"/>
      <c r="BL42" s="15"/>
      <c r="BM42" s="58"/>
      <c r="BN42" s="15"/>
      <c r="BO42" s="58"/>
      <c r="BP42" s="15"/>
      <c r="BQ42" s="58"/>
      <c r="BR42" s="15"/>
      <c r="BS42" s="58"/>
      <c r="BT42" s="15"/>
      <c r="BU42" s="58"/>
      <c r="BV42" s="15"/>
      <c r="BW42" s="58"/>
      <c r="BX42" s="15"/>
      <c r="BY42" s="58"/>
      <c r="BZ42" s="15"/>
      <c r="CA42" s="58"/>
      <c r="CB42" s="15"/>
      <c r="CC42" s="58"/>
      <c r="CD42" s="15"/>
      <c r="CE42" s="58"/>
      <c r="CF42" s="15"/>
      <c r="CG42" s="58"/>
      <c r="CH42" s="15"/>
      <c r="CI42" s="58"/>
      <c r="CJ42" s="15"/>
      <c r="CK42" s="58"/>
      <c r="CL42" s="15"/>
      <c r="CM42" s="58"/>
      <c r="CN42" s="15"/>
      <c r="CO42" s="58"/>
      <c r="CP42" s="15"/>
      <c r="CQ42" s="58"/>
      <c r="CR42" s="15"/>
      <c r="CS42" s="58"/>
      <c r="CT42" s="15"/>
      <c r="CU42" s="58"/>
      <c r="CV42" s="15"/>
      <c r="CW42" s="58"/>
      <c r="CX42" s="15"/>
      <c r="CY42" s="58"/>
      <c r="CZ42" s="15"/>
      <c r="DA42" s="58"/>
      <c r="DB42" s="15"/>
      <c r="DC42" s="58"/>
      <c r="DD42" s="15"/>
      <c r="DE42" s="58"/>
      <c r="DF42" s="15"/>
      <c r="DG42" s="58"/>
      <c r="DH42" s="15"/>
      <c r="DI42" s="58"/>
      <c r="DJ42" s="15"/>
      <c r="DK42" s="58"/>
      <c r="DL42" s="15"/>
      <c r="DM42" s="58"/>
      <c r="DN42" s="15"/>
      <c r="DO42" s="58"/>
      <c r="DP42" s="15"/>
      <c r="DQ42" s="58"/>
      <c r="DR42" s="15"/>
      <c r="DS42" s="58"/>
      <c r="DT42" s="15"/>
      <c r="DU42" s="58"/>
      <c r="DV42" s="15"/>
      <c r="DW42" s="58"/>
      <c r="DX42" s="15"/>
      <c r="DY42" s="58"/>
      <c r="DZ42" s="15"/>
      <c r="EA42" s="58"/>
      <c r="EB42" s="15"/>
      <c r="EC42" s="58"/>
      <c r="ED42" s="15"/>
      <c r="EE42" s="217"/>
      <c r="EF42" s="8">
        <v>800000</v>
      </c>
      <c r="EG42" s="312">
        <v>800000</v>
      </c>
      <c r="EH42" s="236">
        <v>780000</v>
      </c>
      <c r="EI42" s="218"/>
      <c r="EJ42" s="218"/>
      <c r="EK42" s="218"/>
      <c r="EL42" s="218"/>
      <c r="EM42" s="218"/>
      <c r="EN42" s="246" t="s">
        <v>209</v>
      </c>
      <c r="EO42" s="246" t="s">
        <v>209</v>
      </c>
      <c r="EP42" s="246" t="s">
        <v>209</v>
      </c>
      <c r="EQ42" s="246" t="s">
        <v>209</v>
      </c>
      <c r="ER42" s="246"/>
      <c r="ES42" s="246"/>
      <c r="ET42" s="246"/>
      <c r="EU42" s="246"/>
      <c r="EV42" s="246"/>
      <c r="EW42" s="246"/>
      <c r="EX42" s="246"/>
      <c r="EY42" s="246"/>
      <c r="EZ42" s="246"/>
      <c r="FA42" s="246"/>
      <c r="FB42" s="59">
        <f t="shared" si="7"/>
        <v>800000</v>
      </c>
      <c r="FC42" s="59">
        <f t="shared" si="0"/>
        <v>793333.33333333337</v>
      </c>
      <c r="FD42" s="60">
        <f t="shared" si="1"/>
        <v>11547.005383792515</v>
      </c>
      <c r="FE42" s="65">
        <f t="shared" si="2"/>
        <v>1.4555048803099808E-2</v>
      </c>
      <c r="FF42" s="88">
        <f t="shared" si="8"/>
        <v>666667.22689075628</v>
      </c>
      <c r="FG42" s="88">
        <f t="shared" si="9"/>
        <v>126666.7731092437</v>
      </c>
      <c r="FH42" s="74">
        <f t="shared" si="11"/>
        <v>793334</v>
      </c>
      <c r="FI42" s="260">
        <f t="shared" si="12"/>
        <v>793334</v>
      </c>
      <c r="FJ42" s="60" t="s">
        <v>65</v>
      </c>
    </row>
    <row r="43" spans="1:166" s="40" customFormat="1" ht="58" x14ac:dyDescent="0.35">
      <c r="A43" s="36">
        <v>37</v>
      </c>
      <c r="B43" s="37" t="s">
        <v>239</v>
      </c>
      <c r="C43" s="38" t="s">
        <v>917</v>
      </c>
      <c r="D43" s="249" t="s">
        <v>64</v>
      </c>
      <c r="E43" s="220">
        <v>1</v>
      </c>
      <c r="F43" s="58"/>
      <c r="G43" s="58"/>
      <c r="H43" s="58"/>
      <c r="I43" s="58"/>
      <c r="J43" s="58"/>
      <c r="K43" s="58"/>
      <c r="L43" s="15"/>
      <c r="M43" s="58"/>
      <c r="N43" s="15"/>
      <c r="O43" s="58"/>
      <c r="P43" s="15"/>
      <c r="Q43" s="58"/>
      <c r="R43" s="15"/>
      <c r="S43" s="58"/>
      <c r="T43" s="15"/>
      <c r="U43" s="58"/>
      <c r="V43" s="15"/>
      <c r="W43" s="58"/>
      <c r="X43" s="15"/>
      <c r="Y43" s="58"/>
      <c r="Z43" s="15"/>
      <c r="AA43" s="58"/>
      <c r="AB43" s="15"/>
      <c r="AC43" s="58"/>
      <c r="AD43" s="58"/>
      <c r="AE43" s="58"/>
      <c r="AF43" s="15"/>
      <c r="AG43" s="58"/>
      <c r="AH43" s="15"/>
      <c r="AI43" s="58"/>
      <c r="AJ43" s="15"/>
      <c r="AK43" s="58"/>
      <c r="AL43" s="15"/>
      <c r="AM43" s="58"/>
      <c r="AN43" s="15"/>
      <c r="AO43" s="58"/>
      <c r="AP43" s="15"/>
      <c r="AQ43" s="58"/>
      <c r="AR43" s="15"/>
      <c r="AS43" s="58"/>
      <c r="AT43" s="15"/>
      <c r="AU43" s="58"/>
      <c r="AV43" s="15"/>
      <c r="AW43" s="58"/>
      <c r="AX43" s="15"/>
      <c r="AY43" s="58"/>
      <c r="AZ43" s="15"/>
      <c r="BA43" s="58"/>
      <c r="BB43" s="15"/>
      <c r="BC43" s="58"/>
      <c r="BD43" s="15"/>
      <c r="BE43" s="58"/>
      <c r="BF43" s="15"/>
      <c r="BG43" s="58"/>
      <c r="BH43" s="15"/>
      <c r="BI43" s="58"/>
      <c r="BJ43" s="15"/>
      <c r="BK43" s="58"/>
      <c r="BL43" s="15"/>
      <c r="BM43" s="58"/>
      <c r="BN43" s="15"/>
      <c r="BO43" s="58"/>
      <c r="BP43" s="15"/>
      <c r="BQ43" s="58"/>
      <c r="BR43" s="15"/>
      <c r="BS43" s="58"/>
      <c r="BT43" s="15"/>
      <c r="BU43" s="58"/>
      <c r="BV43" s="15"/>
      <c r="BW43" s="58"/>
      <c r="BX43" s="15"/>
      <c r="BY43" s="58"/>
      <c r="BZ43" s="15"/>
      <c r="CA43" s="58"/>
      <c r="CB43" s="15"/>
      <c r="CC43" s="58"/>
      <c r="CD43" s="15"/>
      <c r="CE43" s="58"/>
      <c r="CF43" s="15"/>
      <c r="CG43" s="58"/>
      <c r="CH43" s="15"/>
      <c r="CI43" s="58"/>
      <c r="CJ43" s="15"/>
      <c r="CK43" s="58"/>
      <c r="CL43" s="15"/>
      <c r="CM43" s="58"/>
      <c r="CN43" s="15"/>
      <c r="CO43" s="58"/>
      <c r="CP43" s="15"/>
      <c r="CQ43" s="58"/>
      <c r="CR43" s="15"/>
      <c r="CS43" s="58"/>
      <c r="CT43" s="15"/>
      <c r="CU43" s="58"/>
      <c r="CV43" s="15"/>
      <c r="CW43" s="58"/>
      <c r="CX43" s="15"/>
      <c r="CY43" s="58"/>
      <c r="CZ43" s="15"/>
      <c r="DA43" s="58"/>
      <c r="DB43" s="15"/>
      <c r="DC43" s="58"/>
      <c r="DD43" s="15"/>
      <c r="DE43" s="58"/>
      <c r="DF43" s="15"/>
      <c r="DG43" s="58"/>
      <c r="DH43" s="15"/>
      <c r="DI43" s="58"/>
      <c r="DJ43" s="15"/>
      <c r="DK43" s="58"/>
      <c r="DL43" s="15"/>
      <c r="DM43" s="58"/>
      <c r="DN43" s="15"/>
      <c r="DO43" s="58"/>
      <c r="DP43" s="15"/>
      <c r="DQ43" s="58"/>
      <c r="DR43" s="15"/>
      <c r="DS43" s="58"/>
      <c r="DT43" s="15"/>
      <c r="DU43" s="58"/>
      <c r="DV43" s="15"/>
      <c r="DW43" s="58"/>
      <c r="DX43" s="15"/>
      <c r="DY43" s="58"/>
      <c r="DZ43" s="15"/>
      <c r="EA43" s="58"/>
      <c r="EB43" s="15"/>
      <c r="EC43" s="58"/>
      <c r="ED43" s="15"/>
      <c r="EE43" s="217"/>
      <c r="EF43" s="8">
        <v>300000</v>
      </c>
      <c r="EG43" s="312">
        <v>280000</v>
      </c>
      <c r="EH43" s="236">
        <v>290000</v>
      </c>
      <c r="EI43" s="218"/>
      <c r="EJ43" s="218"/>
      <c r="EK43" s="218"/>
      <c r="EL43" s="218"/>
      <c r="EM43" s="218"/>
      <c r="EN43" s="246" t="s">
        <v>209</v>
      </c>
      <c r="EO43" s="246" t="s">
        <v>209</v>
      </c>
      <c r="EP43" s="246" t="s">
        <v>209</v>
      </c>
      <c r="EQ43" s="246" t="s">
        <v>209</v>
      </c>
      <c r="ER43" s="246"/>
      <c r="ES43" s="246"/>
      <c r="ET43" s="246"/>
      <c r="EU43" s="246"/>
      <c r="EV43" s="246"/>
      <c r="EW43" s="246"/>
      <c r="EX43" s="246"/>
      <c r="EY43" s="246"/>
      <c r="EZ43" s="246"/>
      <c r="FA43" s="246"/>
      <c r="FB43" s="59">
        <f t="shared" si="7"/>
        <v>290000</v>
      </c>
      <c r="FC43" s="59">
        <f t="shared" si="0"/>
        <v>290000</v>
      </c>
      <c r="FD43" s="60">
        <f t="shared" si="1"/>
        <v>10000</v>
      </c>
      <c r="FE43" s="65">
        <f t="shared" si="2"/>
        <v>3.4482758620689655E-2</v>
      </c>
      <c r="FF43" s="88">
        <f t="shared" si="8"/>
        <v>243697.47899159664</v>
      </c>
      <c r="FG43" s="88">
        <f t="shared" si="9"/>
        <v>46302.521008403361</v>
      </c>
      <c r="FH43" s="74">
        <f t="shared" si="11"/>
        <v>290000</v>
      </c>
      <c r="FI43" s="260">
        <f t="shared" si="12"/>
        <v>290000</v>
      </c>
      <c r="FJ43" s="60" t="s">
        <v>65</v>
      </c>
    </row>
    <row r="44" spans="1:166" s="40" customFormat="1" ht="72" customHeight="1" x14ac:dyDescent="0.35">
      <c r="A44" s="37">
        <v>38</v>
      </c>
      <c r="B44" s="36" t="s">
        <v>121</v>
      </c>
      <c r="C44" s="36" t="s">
        <v>122</v>
      </c>
      <c r="D44" s="249" t="s">
        <v>64</v>
      </c>
      <c r="E44" s="220">
        <v>1</v>
      </c>
      <c r="F44" s="58"/>
      <c r="G44" s="58"/>
      <c r="H44" s="58"/>
      <c r="I44" s="58"/>
      <c r="J44" s="58"/>
      <c r="K44" s="58"/>
      <c r="L44" s="15"/>
      <c r="M44" s="58"/>
      <c r="N44" s="15"/>
      <c r="O44" s="58"/>
      <c r="P44" s="15"/>
      <c r="Q44" s="58"/>
      <c r="R44" s="15"/>
      <c r="S44" s="58"/>
      <c r="T44" s="15"/>
      <c r="U44" s="58"/>
      <c r="V44" s="15"/>
      <c r="W44" s="58"/>
      <c r="X44" s="15"/>
      <c r="Y44" s="58"/>
      <c r="Z44" s="15"/>
      <c r="AA44" s="58"/>
      <c r="AB44" s="15"/>
      <c r="AC44" s="58"/>
      <c r="AD44" s="58"/>
      <c r="AE44" s="58"/>
      <c r="AF44" s="15"/>
      <c r="AG44" s="58"/>
      <c r="AH44" s="15"/>
      <c r="AI44" s="58"/>
      <c r="AJ44" s="15"/>
      <c r="AK44" s="58"/>
      <c r="AL44" s="15"/>
      <c r="AM44" s="58"/>
      <c r="AN44" s="15"/>
      <c r="AO44" s="58"/>
      <c r="AP44" s="15"/>
      <c r="AQ44" s="58"/>
      <c r="AR44" s="15"/>
      <c r="AS44" s="58"/>
      <c r="AT44" s="15"/>
      <c r="AU44" s="58"/>
      <c r="AV44" s="15"/>
      <c r="AW44" s="58"/>
      <c r="AX44" s="15"/>
      <c r="AY44" s="58"/>
      <c r="AZ44" s="15"/>
      <c r="BA44" s="58"/>
      <c r="BB44" s="15"/>
      <c r="BC44" s="58"/>
      <c r="BD44" s="15"/>
      <c r="BE44" s="58"/>
      <c r="BF44" s="15"/>
      <c r="BG44" s="58"/>
      <c r="BH44" s="15"/>
      <c r="BI44" s="58"/>
      <c r="BJ44" s="15"/>
      <c r="BK44" s="58"/>
      <c r="BL44" s="15"/>
      <c r="BM44" s="58"/>
      <c r="BN44" s="15"/>
      <c r="BO44" s="58"/>
      <c r="BP44" s="15"/>
      <c r="BQ44" s="58"/>
      <c r="BR44" s="15"/>
      <c r="BS44" s="58"/>
      <c r="BT44" s="15"/>
      <c r="BU44" s="58"/>
      <c r="BV44" s="15"/>
      <c r="BW44" s="58"/>
      <c r="BX44" s="15"/>
      <c r="BY44" s="58"/>
      <c r="BZ44" s="15"/>
      <c r="CA44" s="58"/>
      <c r="CB44" s="15"/>
      <c r="CC44" s="58"/>
      <c r="CD44" s="15"/>
      <c r="CE44" s="58"/>
      <c r="CF44" s="15"/>
      <c r="CG44" s="58"/>
      <c r="CH44" s="15"/>
      <c r="CI44" s="58"/>
      <c r="CJ44" s="15"/>
      <c r="CK44" s="58"/>
      <c r="CL44" s="15"/>
      <c r="CM44" s="58"/>
      <c r="CN44" s="15"/>
      <c r="CO44" s="58"/>
      <c r="CP44" s="15"/>
      <c r="CQ44" s="58"/>
      <c r="CR44" s="15"/>
      <c r="CS44" s="58"/>
      <c r="CT44" s="15"/>
      <c r="CU44" s="58"/>
      <c r="CV44" s="15"/>
      <c r="CW44" s="58"/>
      <c r="CX44" s="15"/>
      <c r="CY44" s="58"/>
      <c r="CZ44" s="15"/>
      <c r="DA44" s="58"/>
      <c r="DB44" s="15"/>
      <c r="DC44" s="58"/>
      <c r="DD44" s="15"/>
      <c r="DE44" s="58"/>
      <c r="DF44" s="15"/>
      <c r="DG44" s="58"/>
      <c r="DH44" s="15"/>
      <c r="DI44" s="58"/>
      <c r="DJ44" s="15"/>
      <c r="DK44" s="58"/>
      <c r="DL44" s="15"/>
      <c r="DM44" s="58"/>
      <c r="DN44" s="15"/>
      <c r="DO44" s="58"/>
      <c r="DP44" s="15"/>
      <c r="DQ44" s="58"/>
      <c r="DR44" s="15"/>
      <c r="DS44" s="58"/>
      <c r="DT44" s="15"/>
      <c r="DU44" s="58"/>
      <c r="DV44" s="15"/>
      <c r="DW44" s="58"/>
      <c r="DX44" s="15"/>
      <c r="DY44" s="58"/>
      <c r="DZ44" s="15"/>
      <c r="EA44" s="58"/>
      <c r="EB44" s="15"/>
      <c r="EC44" s="58"/>
      <c r="ED44" s="15"/>
      <c r="EE44" s="217"/>
      <c r="EF44" s="222"/>
      <c r="EG44" s="314"/>
      <c r="EH44" s="223"/>
      <c r="EI44" s="226"/>
      <c r="EJ44" s="222"/>
      <c r="EK44" s="222"/>
      <c r="EL44" s="222"/>
      <c r="EM44" s="222"/>
      <c r="EN44" s="251"/>
      <c r="EO44" s="247"/>
      <c r="EP44" s="247" t="s">
        <v>209</v>
      </c>
      <c r="EQ44" s="247" t="s">
        <v>209</v>
      </c>
      <c r="ER44" s="34">
        <v>49900</v>
      </c>
      <c r="ES44" s="34">
        <f>+ER44/1.19</f>
        <v>41932.773109243702</v>
      </c>
      <c r="ET44" s="34">
        <f>+(ES44*36%)+ES44</f>
        <v>57028.571428571435</v>
      </c>
      <c r="EU44" s="34">
        <v>41990</v>
      </c>
      <c r="EV44" s="34">
        <f>+EU44/1.19</f>
        <v>35285.71428571429</v>
      </c>
      <c r="EW44" s="34">
        <f>+(EV44*36%)+EV44</f>
        <v>47988.571428571435</v>
      </c>
      <c r="EX44" s="34"/>
      <c r="EY44" s="34"/>
      <c r="EZ44" s="34"/>
      <c r="FA44" s="34"/>
      <c r="FB44" s="63">
        <f>MEDIAN(ET44,EW44)</f>
        <v>52508.571428571435</v>
      </c>
      <c r="FC44" s="63">
        <f>AVERAGE(ET44,EW44)</f>
        <v>52508.571428571435</v>
      </c>
      <c r="FD44" s="64">
        <f>STDEV(ET44,EW44)</f>
        <v>6392.2453019263894</v>
      </c>
      <c r="FE44" s="65">
        <f t="shared" si="2"/>
        <v>0.1217371779124081</v>
      </c>
      <c r="FF44" s="88">
        <f t="shared" si="8"/>
        <v>44125.210084033613</v>
      </c>
      <c r="FG44" s="88">
        <f t="shared" si="9"/>
        <v>8383.7899159663866</v>
      </c>
      <c r="FH44" s="74">
        <f t="shared" si="11"/>
        <v>52509</v>
      </c>
      <c r="FI44" s="260">
        <f t="shared" si="12"/>
        <v>52509</v>
      </c>
      <c r="FJ44" s="60" t="s">
        <v>65</v>
      </c>
    </row>
    <row r="45" spans="1:166" s="40" customFormat="1" ht="58" x14ac:dyDescent="0.35">
      <c r="A45" s="37">
        <v>39</v>
      </c>
      <c r="B45" s="219" t="s">
        <v>882</v>
      </c>
      <c r="C45" s="210" t="s">
        <v>883</v>
      </c>
      <c r="D45" s="249" t="s">
        <v>64</v>
      </c>
      <c r="E45" s="220">
        <v>1</v>
      </c>
      <c r="F45" s="58"/>
      <c r="G45" s="58"/>
      <c r="H45" s="58"/>
      <c r="I45" s="58"/>
      <c r="J45" s="58"/>
      <c r="K45" s="58"/>
      <c r="L45" s="15"/>
      <c r="M45" s="58"/>
      <c r="N45" s="15"/>
      <c r="O45" s="58"/>
      <c r="P45" s="15"/>
      <c r="Q45" s="58"/>
      <c r="R45" s="15"/>
      <c r="S45" s="58"/>
      <c r="T45" s="15"/>
      <c r="U45" s="58"/>
      <c r="V45" s="15"/>
      <c r="W45" s="58"/>
      <c r="X45" s="15"/>
      <c r="Y45" s="58"/>
      <c r="Z45" s="15"/>
      <c r="AA45" s="58"/>
      <c r="AB45" s="15"/>
      <c r="AC45" s="58"/>
      <c r="AD45" s="58"/>
      <c r="AE45" s="58"/>
      <c r="AF45" s="15"/>
      <c r="AG45" s="58"/>
      <c r="AH45" s="15"/>
      <c r="AI45" s="58"/>
      <c r="AJ45" s="15"/>
      <c r="AK45" s="58"/>
      <c r="AL45" s="15"/>
      <c r="AM45" s="58"/>
      <c r="AN45" s="15"/>
      <c r="AO45" s="58"/>
      <c r="AP45" s="15"/>
      <c r="AQ45" s="58"/>
      <c r="AR45" s="15"/>
      <c r="AS45" s="58"/>
      <c r="AT45" s="15"/>
      <c r="AU45" s="58"/>
      <c r="AV45" s="15"/>
      <c r="AW45" s="58"/>
      <c r="AX45" s="15"/>
      <c r="AY45" s="58"/>
      <c r="AZ45" s="15"/>
      <c r="BA45" s="58"/>
      <c r="BB45" s="15"/>
      <c r="BC45" s="58"/>
      <c r="BD45" s="15"/>
      <c r="BE45" s="58"/>
      <c r="BF45" s="15"/>
      <c r="BG45" s="58"/>
      <c r="BH45" s="15"/>
      <c r="BI45" s="58"/>
      <c r="BJ45" s="15"/>
      <c r="BK45" s="58"/>
      <c r="BL45" s="15"/>
      <c r="BM45" s="58"/>
      <c r="BN45" s="15"/>
      <c r="BO45" s="58"/>
      <c r="BP45" s="15"/>
      <c r="BQ45" s="58"/>
      <c r="BR45" s="15"/>
      <c r="BS45" s="58"/>
      <c r="BT45" s="15"/>
      <c r="BU45" s="58"/>
      <c r="BV45" s="15"/>
      <c r="BW45" s="58"/>
      <c r="BX45" s="15"/>
      <c r="BY45" s="58"/>
      <c r="BZ45" s="15"/>
      <c r="CA45" s="58"/>
      <c r="CB45" s="15"/>
      <c r="CC45" s="58"/>
      <c r="CD45" s="15"/>
      <c r="CE45" s="58"/>
      <c r="CF45" s="15"/>
      <c r="CG45" s="58"/>
      <c r="CH45" s="15"/>
      <c r="CI45" s="58"/>
      <c r="CJ45" s="15"/>
      <c r="CK45" s="58"/>
      <c r="CL45" s="15"/>
      <c r="CM45" s="58"/>
      <c r="CN45" s="15"/>
      <c r="CO45" s="58"/>
      <c r="CP45" s="15"/>
      <c r="CQ45" s="58"/>
      <c r="CR45" s="15"/>
      <c r="CS45" s="58"/>
      <c r="CT45" s="15"/>
      <c r="CU45" s="58"/>
      <c r="CV45" s="15"/>
      <c r="CW45" s="58"/>
      <c r="CX45" s="15"/>
      <c r="CY45" s="58"/>
      <c r="CZ45" s="15"/>
      <c r="DA45" s="58"/>
      <c r="DB45" s="15"/>
      <c r="DC45" s="58"/>
      <c r="DD45" s="15"/>
      <c r="DE45" s="58"/>
      <c r="DF45" s="15"/>
      <c r="DG45" s="58"/>
      <c r="DH45" s="15"/>
      <c r="DI45" s="58"/>
      <c r="DJ45" s="15"/>
      <c r="DK45" s="58"/>
      <c r="DL45" s="15"/>
      <c r="DM45" s="58"/>
      <c r="DN45" s="15"/>
      <c r="DO45" s="58"/>
      <c r="DP45" s="15"/>
      <c r="DQ45" s="58"/>
      <c r="DR45" s="15"/>
      <c r="DS45" s="58"/>
      <c r="DT45" s="15"/>
      <c r="DU45" s="58"/>
      <c r="DV45" s="15"/>
      <c r="DW45" s="58"/>
      <c r="DX45" s="15"/>
      <c r="DY45" s="58"/>
      <c r="DZ45" s="15"/>
      <c r="EA45" s="58"/>
      <c r="EB45" s="15"/>
      <c r="EC45" s="58"/>
      <c r="ED45" s="15"/>
      <c r="EE45" s="217"/>
      <c r="EF45" s="8">
        <v>200000</v>
      </c>
      <c r="EG45" s="312">
        <v>175300</v>
      </c>
      <c r="EH45" s="236">
        <v>190000</v>
      </c>
      <c r="EI45" s="218"/>
      <c r="EJ45" s="218"/>
      <c r="EK45" s="218"/>
      <c r="EL45" s="218"/>
      <c r="EM45" s="218"/>
      <c r="EN45" s="246" t="s">
        <v>209</v>
      </c>
      <c r="EO45" s="246" t="s">
        <v>209</v>
      </c>
      <c r="EP45" s="246" t="s">
        <v>209</v>
      </c>
      <c r="EQ45" s="246" t="s">
        <v>209</v>
      </c>
      <c r="ER45" s="246"/>
      <c r="ES45" s="246"/>
      <c r="ET45" s="246"/>
      <c r="EU45" s="246"/>
      <c r="EV45" s="246"/>
      <c r="EW45" s="246"/>
      <c r="EX45" s="246"/>
      <c r="EY45" s="246"/>
      <c r="EZ45" s="246"/>
      <c r="FA45" s="246"/>
      <c r="FB45" s="59">
        <f t="shared" ref="FB45:FB48" si="21">MEDIAN(EF45,EG45,EH45)</f>
        <v>190000</v>
      </c>
      <c r="FC45" s="59">
        <f t="shared" ref="FC45:FC53" si="22">AVERAGE(EF45,EG45,EH45)</f>
        <v>188433.33333333334</v>
      </c>
      <c r="FD45" s="60">
        <f t="shared" ref="FD45:FD53" si="23">STDEV(EF45,EG45,EH45)</f>
        <v>12424.304138797203</v>
      </c>
      <c r="FE45" s="65">
        <f t="shared" si="2"/>
        <v>6.5934746889070597E-2</v>
      </c>
      <c r="FF45" s="88">
        <f t="shared" si="8"/>
        <v>158347.89915966388</v>
      </c>
      <c r="FG45" s="88">
        <f t="shared" si="9"/>
        <v>30086.100840336137</v>
      </c>
      <c r="FH45" s="74">
        <f t="shared" si="11"/>
        <v>188434</v>
      </c>
      <c r="FI45" s="260">
        <f t="shared" si="12"/>
        <v>188434</v>
      </c>
      <c r="FJ45" s="60" t="s">
        <v>65</v>
      </c>
    </row>
    <row r="46" spans="1:166" s="40" customFormat="1" ht="72.5" x14ac:dyDescent="0.35">
      <c r="A46" s="36">
        <v>40</v>
      </c>
      <c r="B46" s="219" t="s">
        <v>918</v>
      </c>
      <c r="C46" s="38" t="s">
        <v>1114</v>
      </c>
      <c r="D46" s="249" t="s">
        <v>64</v>
      </c>
      <c r="E46" s="220">
        <v>1</v>
      </c>
      <c r="F46" s="58"/>
      <c r="G46" s="58"/>
      <c r="H46" s="58"/>
      <c r="I46" s="58"/>
      <c r="J46" s="58"/>
      <c r="K46" s="58"/>
      <c r="L46" s="15"/>
      <c r="M46" s="58"/>
      <c r="N46" s="15"/>
      <c r="O46" s="58"/>
      <c r="P46" s="15"/>
      <c r="Q46" s="58"/>
      <c r="R46" s="15"/>
      <c r="S46" s="58"/>
      <c r="T46" s="15"/>
      <c r="U46" s="58"/>
      <c r="V46" s="15"/>
      <c r="W46" s="58"/>
      <c r="X46" s="15"/>
      <c r="Y46" s="58"/>
      <c r="Z46" s="15"/>
      <c r="AA46" s="58"/>
      <c r="AB46" s="15"/>
      <c r="AC46" s="58"/>
      <c r="AD46" s="15"/>
      <c r="AE46" s="58"/>
      <c r="AF46" s="15"/>
      <c r="AG46" s="58"/>
      <c r="AH46" s="15"/>
      <c r="AI46" s="58"/>
      <c r="AJ46" s="15"/>
      <c r="AK46" s="58"/>
      <c r="AL46" s="15"/>
      <c r="AM46" s="58"/>
      <c r="AN46" s="15"/>
      <c r="AO46" s="58"/>
      <c r="AP46" s="15"/>
      <c r="AQ46" s="58"/>
      <c r="AR46" s="15"/>
      <c r="AS46" s="58"/>
      <c r="AT46" s="15"/>
      <c r="AU46" s="58"/>
      <c r="AV46" s="15"/>
      <c r="AW46" s="58"/>
      <c r="AX46" s="15"/>
      <c r="AY46" s="58"/>
      <c r="AZ46" s="15"/>
      <c r="BA46" s="58"/>
      <c r="BB46" s="15"/>
      <c r="BC46" s="58"/>
      <c r="BD46" s="15"/>
      <c r="BE46" s="58"/>
      <c r="BF46" s="15"/>
      <c r="BG46" s="58"/>
      <c r="BH46" s="15"/>
      <c r="BI46" s="58"/>
      <c r="BJ46" s="15"/>
      <c r="BK46" s="58"/>
      <c r="BL46" s="15"/>
      <c r="BM46" s="58"/>
      <c r="BN46" s="15"/>
      <c r="BO46" s="58"/>
      <c r="BP46" s="15"/>
      <c r="BQ46" s="58"/>
      <c r="BR46" s="15"/>
      <c r="BS46" s="58"/>
      <c r="BT46" s="15"/>
      <c r="BU46" s="58"/>
      <c r="BV46" s="15"/>
      <c r="BW46" s="58"/>
      <c r="BX46" s="15"/>
      <c r="BY46" s="58"/>
      <c r="BZ46" s="15"/>
      <c r="CA46" s="58"/>
      <c r="CB46" s="15"/>
      <c r="CC46" s="58"/>
      <c r="CD46" s="15"/>
      <c r="CE46" s="58"/>
      <c r="CF46" s="15"/>
      <c r="CG46" s="58"/>
      <c r="CH46" s="15"/>
      <c r="CI46" s="58"/>
      <c r="CJ46" s="15"/>
      <c r="CK46" s="58"/>
      <c r="CL46" s="15"/>
      <c r="CM46" s="58"/>
      <c r="CN46" s="15"/>
      <c r="CO46" s="58"/>
      <c r="CP46" s="15"/>
      <c r="CQ46" s="58"/>
      <c r="CR46" s="15"/>
      <c r="CS46" s="58"/>
      <c r="CT46" s="15"/>
      <c r="CU46" s="58"/>
      <c r="CV46" s="15"/>
      <c r="CW46" s="58"/>
      <c r="CX46" s="15"/>
      <c r="CY46" s="58"/>
      <c r="CZ46" s="15"/>
      <c r="DA46" s="58"/>
      <c r="DB46" s="15"/>
      <c r="DC46" s="58"/>
      <c r="DD46" s="15"/>
      <c r="DE46" s="58"/>
      <c r="DF46" s="15"/>
      <c r="DG46" s="58"/>
      <c r="DH46" s="15"/>
      <c r="DI46" s="58"/>
      <c r="DJ46" s="15"/>
      <c r="DK46" s="58"/>
      <c r="DL46" s="15"/>
      <c r="DM46" s="58"/>
      <c r="DN46" s="15"/>
      <c r="DO46" s="58"/>
      <c r="DP46" s="15"/>
      <c r="DQ46" s="58"/>
      <c r="DR46" s="15"/>
      <c r="DS46" s="58"/>
      <c r="DT46" s="15"/>
      <c r="DU46" s="58"/>
      <c r="DV46" s="15"/>
      <c r="DW46" s="58"/>
      <c r="DX46" s="15"/>
      <c r="DY46" s="58"/>
      <c r="DZ46" s="15"/>
      <c r="EA46" s="58"/>
      <c r="EB46" s="15"/>
      <c r="EC46" s="58"/>
      <c r="ED46" s="15"/>
      <c r="EE46" s="217"/>
      <c r="EF46" s="8">
        <v>180000</v>
      </c>
      <c r="EG46" s="312">
        <v>165400</v>
      </c>
      <c r="EH46" s="236">
        <v>170000</v>
      </c>
      <c r="EI46" s="218"/>
      <c r="EJ46" s="218"/>
      <c r="EK46" s="218"/>
      <c r="EL46" s="218"/>
      <c r="EM46" s="218"/>
      <c r="EN46" s="246" t="s">
        <v>209</v>
      </c>
      <c r="EO46" s="246" t="s">
        <v>209</v>
      </c>
      <c r="EP46" s="246" t="s">
        <v>209</v>
      </c>
      <c r="EQ46" s="246" t="s">
        <v>209</v>
      </c>
      <c r="ER46" s="246"/>
      <c r="ES46" s="246"/>
      <c r="ET46" s="246"/>
      <c r="EU46" s="246"/>
      <c r="EV46" s="246"/>
      <c r="EW46" s="246"/>
      <c r="EX46" s="246"/>
      <c r="EY46" s="246"/>
      <c r="EZ46" s="246"/>
      <c r="FA46" s="246"/>
      <c r="FB46" s="59">
        <f t="shared" si="21"/>
        <v>170000</v>
      </c>
      <c r="FC46" s="59">
        <f t="shared" si="22"/>
        <v>171800</v>
      </c>
      <c r="FD46" s="60">
        <f t="shared" si="23"/>
        <v>7464.5830426086095</v>
      </c>
      <c r="FE46" s="65">
        <f t="shared" si="2"/>
        <v>4.3449261016348134E-2</v>
      </c>
      <c r="FF46" s="88">
        <f t="shared" si="8"/>
        <v>144369.74789915967</v>
      </c>
      <c r="FG46" s="88">
        <f t="shared" si="9"/>
        <v>27430.252100840338</v>
      </c>
      <c r="FH46" s="74">
        <f t="shared" si="11"/>
        <v>171800</v>
      </c>
      <c r="FI46" s="260">
        <f t="shared" si="12"/>
        <v>171800</v>
      </c>
      <c r="FJ46" s="60" t="s">
        <v>65</v>
      </c>
    </row>
    <row r="47" spans="1:166" s="40" customFormat="1" ht="72.5" x14ac:dyDescent="0.35">
      <c r="A47" s="36">
        <v>41</v>
      </c>
      <c r="B47" s="219" t="s">
        <v>919</v>
      </c>
      <c r="C47" s="38" t="s">
        <v>1113</v>
      </c>
      <c r="D47" s="249" t="s">
        <v>64</v>
      </c>
      <c r="E47" s="220">
        <v>1</v>
      </c>
      <c r="F47" s="58"/>
      <c r="G47" s="58"/>
      <c r="H47" s="58"/>
      <c r="I47" s="58"/>
      <c r="J47" s="58"/>
      <c r="K47" s="58"/>
      <c r="L47" s="15"/>
      <c r="M47" s="58"/>
      <c r="N47" s="15"/>
      <c r="O47" s="58"/>
      <c r="P47" s="15"/>
      <c r="Q47" s="58"/>
      <c r="R47" s="15"/>
      <c r="S47" s="58"/>
      <c r="T47" s="15"/>
      <c r="U47" s="58"/>
      <c r="V47" s="15"/>
      <c r="W47" s="58"/>
      <c r="X47" s="15"/>
      <c r="Y47" s="58"/>
      <c r="Z47" s="15"/>
      <c r="AA47" s="58"/>
      <c r="AB47" s="15"/>
      <c r="AC47" s="58"/>
      <c r="AD47" s="15"/>
      <c r="AE47" s="58"/>
      <c r="AF47" s="15"/>
      <c r="AG47" s="58"/>
      <c r="AH47" s="15"/>
      <c r="AI47" s="58"/>
      <c r="AJ47" s="15"/>
      <c r="AK47" s="58"/>
      <c r="AL47" s="15"/>
      <c r="AM47" s="58"/>
      <c r="AN47" s="15"/>
      <c r="AO47" s="58"/>
      <c r="AP47" s="15"/>
      <c r="AQ47" s="58"/>
      <c r="AR47" s="15"/>
      <c r="AS47" s="58"/>
      <c r="AT47" s="15"/>
      <c r="AU47" s="58"/>
      <c r="AV47" s="15"/>
      <c r="AW47" s="58"/>
      <c r="AX47" s="15"/>
      <c r="AY47" s="58"/>
      <c r="AZ47" s="15"/>
      <c r="BA47" s="58"/>
      <c r="BB47" s="15"/>
      <c r="BC47" s="58"/>
      <c r="BD47" s="15"/>
      <c r="BE47" s="58"/>
      <c r="BF47" s="15"/>
      <c r="BG47" s="58"/>
      <c r="BH47" s="15"/>
      <c r="BI47" s="58"/>
      <c r="BJ47" s="15"/>
      <c r="BK47" s="58"/>
      <c r="BL47" s="15"/>
      <c r="BM47" s="58"/>
      <c r="BN47" s="15"/>
      <c r="BO47" s="58"/>
      <c r="BP47" s="15"/>
      <c r="BQ47" s="58"/>
      <c r="BR47" s="15"/>
      <c r="BS47" s="58"/>
      <c r="BT47" s="15"/>
      <c r="BU47" s="58"/>
      <c r="BV47" s="15"/>
      <c r="BW47" s="58"/>
      <c r="BX47" s="15"/>
      <c r="BY47" s="58"/>
      <c r="BZ47" s="15"/>
      <c r="CA47" s="58"/>
      <c r="CB47" s="15"/>
      <c r="CC47" s="58"/>
      <c r="CD47" s="15"/>
      <c r="CE47" s="58"/>
      <c r="CF47" s="15"/>
      <c r="CG47" s="58"/>
      <c r="CH47" s="15"/>
      <c r="CI47" s="58"/>
      <c r="CJ47" s="15"/>
      <c r="CK47" s="58"/>
      <c r="CL47" s="15"/>
      <c r="CM47" s="58"/>
      <c r="CN47" s="15"/>
      <c r="CO47" s="58"/>
      <c r="CP47" s="15"/>
      <c r="CQ47" s="58"/>
      <c r="CR47" s="15"/>
      <c r="CS47" s="58"/>
      <c r="CT47" s="15"/>
      <c r="CU47" s="58"/>
      <c r="CV47" s="15"/>
      <c r="CW47" s="58"/>
      <c r="CX47" s="15"/>
      <c r="CY47" s="58"/>
      <c r="CZ47" s="15"/>
      <c r="DA47" s="58"/>
      <c r="DB47" s="15"/>
      <c r="DC47" s="58"/>
      <c r="DD47" s="15"/>
      <c r="DE47" s="58"/>
      <c r="DF47" s="15"/>
      <c r="DG47" s="58"/>
      <c r="DH47" s="15"/>
      <c r="DI47" s="58"/>
      <c r="DJ47" s="15"/>
      <c r="DK47" s="58"/>
      <c r="DL47" s="15"/>
      <c r="DM47" s="58"/>
      <c r="DN47" s="15"/>
      <c r="DO47" s="58"/>
      <c r="DP47" s="15"/>
      <c r="DQ47" s="58"/>
      <c r="DR47" s="15"/>
      <c r="DS47" s="58"/>
      <c r="DT47" s="15"/>
      <c r="DU47" s="58"/>
      <c r="DV47" s="15"/>
      <c r="DW47" s="58"/>
      <c r="DX47" s="15"/>
      <c r="DY47" s="58"/>
      <c r="DZ47" s="15"/>
      <c r="EA47" s="58"/>
      <c r="EB47" s="15"/>
      <c r="EC47" s="58"/>
      <c r="ED47" s="15"/>
      <c r="EE47" s="217"/>
      <c r="EF47" s="8">
        <v>180000</v>
      </c>
      <c r="EG47" s="312">
        <v>165400</v>
      </c>
      <c r="EH47" s="236">
        <v>170000</v>
      </c>
      <c r="EI47" s="218"/>
      <c r="EJ47" s="218"/>
      <c r="EK47" s="218"/>
      <c r="EL47" s="218"/>
      <c r="EM47" s="218"/>
      <c r="EN47" s="246" t="s">
        <v>209</v>
      </c>
      <c r="EO47" s="246" t="s">
        <v>209</v>
      </c>
      <c r="EP47" s="246" t="s">
        <v>209</v>
      </c>
      <c r="EQ47" s="246" t="s">
        <v>209</v>
      </c>
      <c r="ER47" s="246"/>
      <c r="ES47" s="246"/>
      <c r="ET47" s="246"/>
      <c r="EU47" s="246"/>
      <c r="EV47" s="246"/>
      <c r="EW47" s="246"/>
      <c r="EX47" s="246"/>
      <c r="EY47" s="246"/>
      <c r="EZ47" s="246"/>
      <c r="FA47" s="246"/>
      <c r="FB47" s="59">
        <f t="shared" si="21"/>
        <v>170000</v>
      </c>
      <c r="FC47" s="59">
        <f t="shared" ref="FC47" si="24">AVERAGE(EF47,EG47,EH47)</f>
        <v>171800</v>
      </c>
      <c r="FD47" s="60">
        <f t="shared" si="23"/>
        <v>7464.5830426086095</v>
      </c>
      <c r="FE47" s="65">
        <f t="shared" si="2"/>
        <v>4.3449261016348134E-2</v>
      </c>
      <c r="FF47" s="88">
        <f t="shared" si="8"/>
        <v>144369.74789915967</v>
      </c>
      <c r="FG47" s="88">
        <f t="shared" si="9"/>
        <v>27430.252100840338</v>
      </c>
      <c r="FH47" s="74">
        <f t="shared" si="11"/>
        <v>171800</v>
      </c>
      <c r="FI47" s="260">
        <f t="shared" si="12"/>
        <v>171800</v>
      </c>
      <c r="FJ47" s="60" t="s">
        <v>65</v>
      </c>
    </row>
    <row r="48" spans="1:166" s="40" customFormat="1" ht="101.5" x14ac:dyDescent="0.35">
      <c r="A48" s="37">
        <v>42</v>
      </c>
      <c r="B48" s="219" t="s">
        <v>271</v>
      </c>
      <c r="C48" s="210" t="s">
        <v>1042</v>
      </c>
      <c r="D48" s="249" t="s">
        <v>64</v>
      </c>
      <c r="E48" s="220">
        <v>2</v>
      </c>
      <c r="F48" s="58"/>
      <c r="G48" s="58"/>
      <c r="H48" s="58"/>
      <c r="I48" s="58"/>
      <c r="J48" s="58"/>
      <c r="K48" s="58"/>
      <c r="L48" s="15"/>
      <c r="M48" s="58"/>
      <c r="N48" s="15"/>
      <c r="O48" s="58"/>
      <c r="P48" s="15"/>
      <c r="Q48" s="58"/>
      <c r="R48" s="15"/>
      <c r="S48" s="58"/>
      <c r="T48" s="15"/>
      <c r="U48" s="58"/>
      <c r="V48" s="15"/>
      <c r="W48" s="58"/>
      <c r="X48" s="15"/>
      <c r="Y48" s="58"/>
      <c r="Z48" s="15"/>
      <c r="AA48" s="58"/>
      <c r="AB48" s="15"/>
      <c r="AC48" s="58"/>
      <c r="AD48" s="58"/>
      <c r="AE48" s="58"/>
      <c r="AF48" s="15"/>
      <c r="AG48" s="58"/>
      <c r="AH48" s="15"/>
      <c r="AI48" s="58"/>
      <c r="AJ48" s="15"/>
      <c r="AK48" s="58"/>
      <c r="AL48" s="15"/>
      <c r="AM48" s="58"/>
      <c r="AN48" s="15"/>
      <c r="AO48" s="58"/>
      <c r="AP48" s="15"/>
      <c r="AQ48" s="58"/>
      <c r="AR48" s="15"/>
      <c r="AS48" s="58"/>
      <c r="AT48" s="15"/>
      <c r="AU48" s="58"/>
      <c r="AV48" s="15"/>
      <c r="AW48" s="58"/>
      <c r="AX48" s="15"/>
      <c r="AY48" s="58"/>
      <c r="AZ48" s="15"/>
      <c r="BA48" s="58"/>
      <c r="BB48" s="15"/>
      <c r="BC48" s="58"/>
      <c r="BD48" s="15"/>
      <c r="BE48" s="58"/>
      <c r="BF48" s="15"/>
      <c r="BG48" s="58"/>
      <c r="BH48" s="15"/>
      <c r="BI48" s="58"/>
      <c r="BJ48" s="15"/>
      <c r="BK48" s="58"/>
      <c r="BL48" s="15"/>
      <c r="BM48" s="58"/>
      <c r="BN48" s="15"/>
      <c r="BO48" s="58"/>
      <c r="BP48" s="15"/>
      <c r="BQ48" s="58"/>
      <c r="BR48" s="15"/>
      <c r="BS48" s="58"/>
      <c r="BT48" s="15"/>
      <c r="BU48" s="58"/>
      <c r="BV48" s="15"/>
      <c r="BW48" s="58"/>
      <c r="BX48" s="15"/>
      <c r="BY48" s="58"/>
      <c r="BZ48" s="15"/>
      <c r="CA48" s="58"/>
      <c r="CB48" s="15"/>
      <c r="CC48" s="58"/>
      <c r="CD48" s="15"/>
      <c r="CE48" s="58"/>
      <c r="CF48" s="15"/>
      <c r="CG48" s="58"/>
      <c r="CH48" s="15"/>
      <c r="CI48" s="58"/>
      <c r="CJ48" s="15"/>
      <c r="CK48" s="58"/>
      <c r="CL48" s="15"/>
      <c r="CM48" s="58"/>
      <c r="CN48" s="15"/>
      <c r="CO48" s="58"/>
      <c r="CP48" s="15"/>
      <c r="CQ48" s="58"/>
      <c r="CR48" s="15"/>
      <c r="CS48" s="58"/>
      <c r="CT48" s="15"/>
      <c r="CU48" s="58"/>
      <c r="CV48" s="15"/>
      <c r="CW48" s="58"/>
      <c r="CX48" s="15"/>
      <c r="CY48" s="58"/>
      <c r="CZ48" s="15"/>
      <c r="DA48" s="58"/>
      <c r="DB48" s="15"/>
      <c r="DC48" s="58"/>
      <c r="DD48" s="15"/>
      <c r="DE48" s="58"/>
      <c r="DF48" s="15"/>
      <c r="DG48" s="58"/>
      <c r="DH48" s="15"/>
      <c r="DI48" s="58"/>
      <c r="DJ48" s="15"/>
      <c r="DK48" s="58"/>
      <c r="DL48" s="15"/>
      <c r="DM48" s="58"/>
      <c r="DN48" s="15"/>
      <c r="DO48" s="58"/>
      <c r="DP48" s="15"/>
      <c r="DQ48" s="58"/>
      <c r="DR48" s="15"/>
      <c r="DS48" s="58"/>
      <c r="DT48" s="15"/>
      <c r="DU48" s="58"/>
      <c r="DV48" s="15"/>
      <c r="DW48" s="58"/>
      <c r="DX48" s="15"/>
      <c r="DY48" s="58"/>
      <c r="DZ48" s="15"/>
      <c r="EA48" s="58"/>
      <c r="EB48" s="15"/>
      <c r="EC48" s="58"/>
      <c r="ED48" s="15"/>
      <c r="EE48" s="217"/>
      <c r="EF48" s="8">
        <v>290000</v>
      </c>
      <c r="EG48" s="312">
        <v>264300</v>
      </c>
      <c r="EH48" s="236">
        <v>280000</v>
      </c>
      <c r="EI48" s="218"/>
      <c r="EJ48" s="218"/>
      <c r="EK48" s="218"/>
      <c r="EL48" s="218"/>
      <c r="EM48" s="218"/>
      <c r="EN48" s="246" t="s">
        <v>209</v>
      </c>
      <c r="EO48" s="246" t="s">
        <v>209</v>
      </c>
      <c r="EP48" s="246" t="s">
        <v>209</v>
      </c>
      <c r="EQ48" s="246" t="s">
        <v>209</v>
      </c>
      <c r="ER48" s="246"/>
      <c r="ES48" s="246"/>
      <c r="ET48" s="246"/>
      <c r="EU48" s="246"/>
      <c r="EV48" s="246"/>
      <c r="EW48" s="246"/>
      <c r="EX48" s="246"/>
      <c r="EY48" s="246"/>
      <c r="EZ48" s="246"/>
      <c r="FA48" s="246"/>
      <c r="FB48" s="59">
        <f t="shared" si="21"/>
        <v>280000</v>
      </c>
      <c r="FC48" s="59">
        <f t="shared" si="22"/>
        <v>278100</v>
      </c>
      <c r="FD48" s="60">
        <f t="shared" si="23"/>
        <v>12954.921844611799</v>
      </c>
      <c r="FE48" s="65">
        <f t="shared" si="2"/>
        <v>4.65836815699813E-2</v>
      </c>
      <c r="FF48" s="88">
        <f t="shared" si="8"/>
        <v>233697.47899159664</v>
      </c>
      <c r="FG48" s="88">
        <f t="shared" si="9"/>
        <v>44402.521008403361</v>
      </c>
      <c r="FH48" s="74">
        <f t="shared" si="11"/>
        <v>278100</v>
      </c>
      <c r="FI48" s="260">
        <f t="shared" si="12"/>
        <v>556200</v>
      </c>
      <c r="FJ48" s="60" t="s">
        <v>65</v>
      </c>
    </row>
    <row r="49" spans="1:167" s="71" customFormat="1" ht="145" x14ac:dyDescent="0.35">
      <c r="A49" s="37">
        <v>43</v>
      </c>
      <c r="B49" s="219" t="s">
        <v>884</v>
      </c>
      <c r="C49" s="210" t="s">
        <v>241</v>
      </c>
      <c r="D49" s="249" t="s">
        <v>64</v>
      </c>
      <c r="E49" s="220">
        <v>2</v>
      </c>
      <c r="F49" s="66"/>
      <c r="G49" s="58"/>
      <c r="H49" s="66"/>
      <c r="I49" s="58"/>
      <c r="J49" s="66"/>
      <c r="K49" s="58"/>
      <c r="L49" s="44"/>
      <c r="M49" s="58"/>
      <c r="N49" s="44"/>
      <c r="O49" s="58"/>
      <c r="P49" s="44"/>
      <c r="Q49" s="58"/>
      <c r="R49" s="44"/>
      <c r="S49" s="58"/>
      <c r="T49" s="44"/>
      <c r="U49" s="58"/>
      <c r="V49" s="44"/>
      <c r="W49" s="58"/>
      <c r="X49" s="44"/>
      <c r="Y49" s="58"/>
      <c r="Z49" s="15"/>
      <c r="AA49" s="58"/>
      <c r="AB49" s="15"/>
      <c r="AC49" s="58"/>
      <c r="AD49" s="58"/>
      <c r="AE49" s="58"/>
      <c r="AF49" s="15"/>
      <c r="AG49" s="58"/>
      <c r="AH49" s="15"/>
      <c r="AI49" s="58"/>
      <c r="AJ49" s="15"/>
      <c r="AK49" s="58"/>
      <c r="AL49" s="15"/>
      <c r="AM49" s="58"/>
      <c r="AN49" s="15"/>
      <c r="AO49" s="58"/>
      <c r="AP49" s="15"/>
      <c r="AQ49" s="58"/>
      <c r="AR49" s="15"/>
      <c r="AS49" s="58"/>
      <c r="AT49" s="15"/>
      <c r="AU49" s="58"/>
      <c r="AV49" s="15"/>
      <c r="AW49" s="58"/>
      <c r="AX49" s="15"/>
      <c r="AY49" s="58"/>
      <c r="AZ49" s="15"/>
      <c r="BA49" s="58"/>
      <c r="BB49" s="15"/>
      <c r="BC49" s="58"/>
      <c r="BD49" s="15"/>
      <c r="BE49" s="58"/>
      <c r="BF49" s="15"/>
      <c r="BG49" s="58"/>
      <c r="BH49" s="15"/>
      <c r="BI49" s="58"/>
      <c r="BJ49" s="15"/>
      <c r="BK49" s="58"/>
      <c r="BL49" s="15"/>
      <c r="BM49" s="58"/>
      <c r="BN49" s="15"/>
      <c r="BO49" s="58"/>
      <c r="BP49" s="15"/>
      <c r="BQ49" s="58"/>
      <c r="BR49" s="15"/>
      <c r="BS49" s="58"/>
      <c r="BT49" s="15"/>
      <c r="BU49" s="58"/>
      <c r="BV49" s="15"/>
      <c r="BW49" s="58"/>
      <c r="BX49" s="15"/>
      <c r="BY49" s="58"/>
      <c r="BZ49" s="15"/>
      <c r="CA49" s="58"/>
      <c r="CB49" s="15"/>
      <c r="CC49" s="58"/>
      <c r="CD49" s="15"/>
      <c r="CE49" s="58"/>
      <c r="CF49" s="15"/>
      <c r="CG49" s="58"/>
      <c r="CH49" s="15"/>
      <c r="CI49" s="58"/>
      <c r="CJ49" s="15"/>
      <c r="CK49" s="58"/>
      <c r="CL49" s="15"/>
      <c r="CM49" s="58"/>
      <c r="CN49" s="15"/>
      <c r="CO49" s="58"/>
      <c r="CP49" s="15"/>
      <c r="CQ49" s="58"/>
      <c r="CR49" s="15"/>
      <c r="CS49" s="58"/>
      <c r="CT49" s="15"/>
      <c r="CU49" s="58"/>
      <c r="CV49" s="15"/>
      <c r="CW49" s="58"/>
      <c r="CX49" s="15"/>
      <c r="CY49" s="58"/>
      <c r="CZ49" s="15"/>
      <c r="DA49" s="58"/>
      <c r="DB49" s="15"/>
      <c r="DC49" s="58"/>
      <c r="DD49" s="15"/>
      <c r="DE49" s="58"/>
      <c r="DF49" s="15"/>
      <c r="DG49" s="58"/>
      <c r="DH49" s="15"/>
      <c r="DI49" s="58"/>
      <c r="DJ49" s="15"/>
      <c r="DK49" s="58"/>
      <c r="DL49" s="15"/>
      <c r="DM49" s="58"/>
      <c r="DN49" s="15"/>
      <c r="DO49" s="58"/>
      <c r="DP49" s="15"/>
      <c r="DQ49" s="58"/>
      <c r="DR49" s="15"/>
      <c r="DS49" s="58"/>
      <c r="DT49" s="15"/>
      <c r="DU49" s="58"/>
      <c r="DV49" s="15"/>
      <c r="DW49" s="58"/>
      <c r="DX49" s="15"/>
      <c r="DY49" s="58"/>
      <c r="DZ49" s="15"/>
      <c r="EA49" s="58"/>
      <c r="EB49" s="15"/>
      <c r="EC49" s="58"/>
      <c r="ED49" s="15"/>
      <c r="EE49" s="217"/>
      <c r="EF49" s="8">
        <v>520000</v>
      </c>
      <c r="EG49" s="312">
        <v>475300</v>
      </c>
      <c r="EH49" s="236">
        <v>500000</v>
      </c>
      <c r="EI49" s="218"/>
      <c r="EJ49" s="218"/>
      <c r="EK49" s="218"/>
      <c r="EL49" s="218"/>
      <c r="EM49" s="218"/>
      <c r="EN49" s="246" t="s">
        <v>209</v>
      </c>
      <c r="EO49" s="246" t="s">
        <v>209</v>
      </c>
      <c r="EP49" s="246" t="s">
        <v>209</v>
      </c>
      <c r="EQ49" s="246" t="s">
        <v>209</v>
      </c>
      <c r="ER49" s="246"/>
      <c r="ES49" s="246"/>
      <c r="ET49" s="246"/>
      <c r="EU49" s="246"/>
      <c r="EV49" s="246"/>
      <c r="EW49" s="246"/>
      <c r="EX49" s="246"/>
      <c r="EY49" s="246"/>
      <c r="EZ49" s="246"/>
      <c r="FA49" s="246"/>
      <c r="FB49" s="59">
        <f>MEDIAN(EF49,EG49,EH49)</f>
        <v>500000</v>
      </c>
      <c r="FC49" s="59">
        <f t="shared" si="22"/>
        <v>498433.33333333331</v>
      </c>
      <c r="FD49" s="60">
        <f t="shared" si="23"/>
        <v>22391.144082724612</v>
      </c>
      <c r="FE49" s="65">
        <f t="shared" si="2"/>
        <v>4.4923047046193966E-2</v>
      </c>
      <c r="FF49" s="88">
        <f t="shared" si="8"/>
        <v>418852.10084033618</v>
      </c>
      <c r="FG49" s="88">
        <f t="shared" si="9"/>
        <v>79581.899159663881</v>
      </c>
      <c r="FH49" s="74">
        <f t="shared" si="11"/>
        <v>498434</v>
      </c>
      <c r="FI49" s="260">
        <f t="shared" si="12"/>
        <v>996868</v>
      </c>
      <c r="FJ49" s="60" t="s">
        <v>65</v>
      </c>
    </row>
    <row r="50" spans="1:167" s="40" customFormat="1" ht="58" x14ac:dyDescent="0.35">
      <c r="A50" s="37">
        <v>44</v>
      </c>
      <c r="B50" s="219" t="s">
        <v>242</v>
      </c>
      <c r="C50" s="38" t="s">
        <v>920</v>
      </c>
      <c r="D50" s="249" t="s">
        <v>64</v>
      </c>
      <c r="E50" s="220">
        <v>2</v>
      </c>
      <c r="F50" s="58"/>
      <c r="G50" s="58"/>
      <c r="H50" s="58"/>
      <c r="I50" s="58"/>
      <c r="J50" s="58"/>
      <c r="K50" s="58"/>
      <c r="L50" s="15"/>
      <c r="M50" s="58"/>
      <c r="N50" s="15"/>
      <c r="O50" s="58"/>
      <c r="P50" s="15"/>
      <c r="Q50" s="58"/>
      <c r="R50" s="15"/>
      <c r="S50" s="58"/>
      <c r="T50" s="15"/>
      <c r="U50" s="58"/>
      <c r="V50" s="15"/>
      <c r="W50" s="58"/>
      <c r="X50" s="15"/>
      <c r="Y50" s="58"/>
      <c r="Z50" s="15"/>
      <c r="AA50" s="58"/>
      <c r="AB50" s="15"/>
      <c r="AC50" s="58"/>
      <c r="AD50" s="58"/>
      <c r="AE50" s="58"/>
      <c r="AF50" s="15"/>
      <c r="AG50" s="58"/>
      <c r="AH50" s="15"/>
      <c r="AI50" s="58"/>
      <c r="AJ50" s="15"/>
      <c r="AK50" s="58"/>
      <c r="AL50" s="15"/>
      <c r="AM50" s="58"/>
      <c r="AN50" s="15"/>
      <c r="AO50" s="58"/>
      <c r="AP50" s="15"/>
      <c r="AQ50" s="58"/>
      <c r="AR50" s="15"/>
      <c r="AS50" s="58"/>
      <c r="AT50" s="15"/>
      <c r="AU50" s="58"/>
      <c r="AV50" s="15"/>
      <c r="AW50" s="58"/>
      <c r="AX50" s="15"/>
      <c r="AY50" s="58"/>
      <c r="AZ50" s="15"/>
      <c r="BA50" s="58"/>
      <c r="BB50" s="15"/>
      <c r="BC50" s="58"/>
      <c r="BD50" s="15"/>
      <c r="BE50" s="58"/>
      <c r="BF50" s="15"/>
      <c r="BG50" s="58"/>
      <c r="BH50" s="15"/>
      <c r="BI50" s="58"/>
      <c r="BJ50" s="15"/>
      <c r="BK50" s="58"/>
      <c r="BL50" s="15"/>
      <c r="BM50" s="58"/>
      <c r="BN50" s="15"/>
      <c r="BO50" s="58"/>
      <c r="BP50" s="15"/>
      <c r="BQ50" s="58"/>
      <c r="BR50" s="15"/>
      <c r="BS50" s="58"/>
      <c r="BT50" s="15"/>
      <c r="BU50" s="58"/>
      <c r="BV50" s="15"/>
      <c r="BW50" s="58"/>
      <c r="BX50" s="15"/>
      <c r="BY50" s="58"/>
      <c r="BZ50" s="15"/>
      <c r="CA50" s="58"/>
      <c r="CB50" s="15"/>
      <c r="CC50" s="58"/>
      <c r="CD50" s="15"/>
      <c r="CE50" s="58"/>
      <c r="CF50" s="15"/>
      <c r="CG50" s="58"/>
      <c r="CH50" s="15"/>
      <c r="CI50" s="58"/>
      <c r="CJ50" s="15"/>
      <c r="CK50" s="58"/>
      <c r="CL50" s="15"/>
      <c r="CM50" s="58"/>
      <c r="CN50" s="15"/>
      <c r="CO50" s="58"/>
      <c r="CP50" s="15"/>
      <c r="CQ50" s="58"/>
      <c r="CR50" s="15"/>
      <c r="CS50" s="58"/>
      <c r="CT50" s="15"/>
      <c r="CU50" s="58"/>
      <c r="CV50" s="15"/>
      <c r="CW50" s="58"/>
      <c r="CX50" s="15"/>
      <c r="CY50" s="58"/>
      <c r="CZ50" s="15"/>
      <c r="DA50" s="58"/>
      <c r="DB50" s="15"/>
      <c r="DC50" s="58"/>
      <c r="DD50" s="15"/>
      <c r="DE50" s="58"/>
      <c r="DF50" s="15"/>
      <c r="DG50" s="58"/>
      <c r="DH50" s="15"/>
      <c r="DI50" s="58"/>
      <c r="DJ50" s="15"/>
      <c r="DK50" s="58"/>
      <c r="DL50" s="15"/>
      <c r="DM50" s="58"/>
      <c r="DN50" s="15"/>
      <c r="DO50" s="58"/>
      <c r="DP50" s="15"/>
      <c r="DQ50" s="58"/>
      <c r="DR50" s="15"/>
      <c r="DS50" s="58"/>
      <c r="DT50" s="15"/>
      <c r="DU50" s="58"/>
      <c r="DV50" s="15"/>
      <c r="DW50" s="58"/>
      <c r="DX50" s="15"/>
      <c r="DY50" s="58"/>
      <c r="DZ50" s="15"/>
      <c r="EA50" s="58"/>
      <c r="EB50" s="15"/>
      <c r="EC50" s="58"/>
      <c r="ED50" s="15"/>
      <c r="EE50" s="217"/>
      <c r="EF50" s="8">
        <v>46000</v>
      </c>
      <c r="EG50" s="312">
        <v>42180</v>
      </c>
      <c r="EH50" s="236">
        <v>45000</v>
      </c>
      <c r="EI50" s="218"/>
      <c r="EJ50" s="218"/>
      <c r="EK50" s="218"/>
      <c r="EL50" s="218"/>
      <c r="EM50" s="218"/>
      <c r="EN50" s="246" t="s">
        <v>209</v>
      </c>
      <c r="EO50" s="246" t="s">
        <v>209</v>
      </c>
      <c r="EP50" s="246" t="s">
        <v>209</v>
      </c>
      <c r="EQ50" s="246" t="s">
        <v>209</v>
      </c>
      <c r="ER50" s="246"/>
      <c r="ES50" s="246"/>
      <c r="ET50" s="246"/>
      <c r="EU50" s="246"/>
      <c r="EV50" s="246"/>
      <c r="EW50" s="246"/>
      <c r="EX50" s="246"/>
      <c r="EY50" s="246"/>
      <c r="EZ50" s="246"/>
      <c r="FA50" s="246"/>
      <c r="FB50" s="59">
        <f>MEDIAN(EF50,EG50,EH50)</f>
        <v>45000</v>
      </c>
      <c r="FC50" s="59">
        <f t="shared" si="22"/>
        <v>44393.333333333336</v>
      </c>
      <c r="FD50" s="60">
        <f t="shared" si="23"/>
        <v>1980.9425366055759</v>
      </c>
      <c r="FE50" s="65">
        <f t="shared" si="2"/>
        <v>4.4622522975046756E-2</v>
      </c>
      <c r="FF50" s="88">
        <f t="shared" si="8"/>
        <v>37305.882352941175</v>
      </c>
      <c r="FG50" s="88">
        <f t="shared" si="9"/>
        <v>7088.1176470588234</v>
      </c>
      <c r="FH50" s="74">
        <f t="shared" si="11"/>
        <v>44394</v>
      </c>
      <c r="FI50" s="260">
        <f t="shared" si="12"/>
        <v>88788</v>
      </c>
      <c r="FJ50" s="60" t="s">
        <v>65</v>
      </c>
    </row>
    <row r="51" spans="1:167" s="40" customFormat="1" ht="29" x14ac:dyDescent="0.35">
      <c r="A51" s="36">
        <v>45</v>
      </c>
      <c r="B51" s="219" t="s">
        <v>243</v>
      </c>
      <c r="C51" s="252" t="s">
        <v>921</v>
      </c>
      <c r="D51" s="249" t="s">
        <v>64</v>
      </c>
      <c r="E51" s="220">
        <v>2</v>
      </c>
      <c r="F51" s="58"/>
      <c r="G51" s="58"/>
      <c r="H51" s="58"/>
      <c r="I51" s="58"/>
      <c r="J51" s="58"/>
      <c r="K51" s="58"/>
      <c r="L51" s="15"/>
      <c r="M51" s="58"/>
      <c r="N51" s="15"/>
      <c r="O51" s="58"/>
      <c r="P51" s="15"/>
      <c r="Q51" s="58"/>
      <c r="R51" s="15"/>
      <c r="S51" s="58"/>
      <c r="T51" s="15"/>
      <c r="U51" s="58"/>
      <c r="V51" s="15"/>
      <c r="W51" s="58"/>
      <c r="X51" s="15"/>
      <c r="Y51" s="58"/>
      <c r="Z51" s="15"/>
      <c r="AA51" s="58"/>
      <c r="AB51" s="15"/>
      <c r="AC51" s="58"/>
      <c r="AD51" s="58"/>
      <c r="AE51" s="58"/>
      <c r="AF51" s="15"/>
      <c r="AG51" s="58"/>
      <c r="AH51" s="15"/>
      <c r="AI51" s="58"/>
      <c r="AJ51" s="15"/>
      <c r="AK51" s="58"/>
      <c r="AL51" s="15"/>
      <c r="AM51" s="58"/>
      <c r="AN51" s="15"/>
      <c r="AO51" s="58"/>
      <c r="AP51" s="15"/>
      <c r="AQ51" s="58"/>
      <c r="AR51" s="15"/>
      <c r="AS51" s="58"/>
      <c r="AT51" s="15"/>
      <c r="AU51" s="58"/>
      <c r="AV51" s="15"/>
      <c r="AW51" s="58"/>
      <c r="AX51" s="15"/>
      <c r="AY51" s="58"/>
      <c r="AZ51" s="15"/>
      <c r="BA51" s="58"/>
      <c r="BB51" s="15"/>
      <c r="BC51" s="58"/>
      <c r="BD51" s="15"/>
      <c r="BE51" s="58"/>
      <c r="BF51" s="15"/>
      <c r="BG51" s="58"/>
      <c r="BH51" s="15"/>
      <c r="BI51" s="58"/>
      <c r="BJ51" s="15"/>
      <c r="BK51" s="58"/>
      <c r="BL51" s="15"/>
      <c r="BM51" s="58"/>
      <c r="BN51" s="15"/>
      <c r="BO51" s="58"/>
      <c r="BP51" s="15"/>
      <c r="BQ51" s="58"/>
      <c r="BR51" s="15"/>
      <c r="BS51" s="58"/>
      <c r="BT51" s="15"/>
      <c r="BU51" s="58"/>
      <c r="BV51" s="15"/>
      <c r="BW51" s="58"/>
      <c r="BX51" s="15"/>
      <c r="BY51" s="58"/>
      <c r="BZ51" s="15"/>
      <c r="CA51" s="58"/>
      <c r="CB51" s="15"/>
      <c r="CC51" s="58"/>
      <c r="CD51" s="15"/>
      <c r="CE51" s="58"/>
      <c r="CF51" s="15"/>
      <c r="CG51" s="58"/>
      <c r="CH51" s="15"/>
      <c r="CI51" s="58"/>
      <c r="CJ51" s="15"/>
      <c r="CK51" s="58"/>
      <c r="CL51" s="15"/>
      <c r="CM51" s="58"/>
      <c r="CN51" s="15"/>
      <c r="CO51" s="58">
        <f t="shared" ref="CO51" si="25">+(CN51*5.1%)+CN51</f>
        <v>0</v>
      </c>
      <c r="CP51" s="15"/>
      <c r="CQ51" s="58">
        <f t="shared" ref="CQ51" si="26">+(CP51*5.1%)+CP51</f>
        <v>0</v>
      </c>
      <c r="CR51" s="15"/>
      <c r="CS51" s="58"/>
      <c r="CT51" s="15"/>
      <c r="CU51" s="58"/>
      <c r="CV51" s="15"/>
      <c r="CW51" s="58"/>
      <c r="CX51" s="15"/>
      <c r="CY51" s="58"/>
      <c r="CZ51" s="15"/>
      <c r="DA51" s="58"/>
      <c r="DB51" s="15"/>
      <c r="DC51" s="58"/>
      <c r="DD51" s="15"/>
      <c r="DE51" s="58"/>
      <c r="DF51" s="15"/>
      <c r="DG51" s="58"/>
      <c r="DH51" s="15"/>
      <c r="DI51" s="58"/>
      <c r="DJ51" s="15"/>
      <c r="DK51" s="58"/>
      <c r="DL51" s="15"/>
      <c r="DM51" s="58"/>
      <c r="DN51" s="15"/>
      <c r="DO51" s="58"/>
      <c r="DP51" s="15"/>
      <c r="DQ51" s="58"/>
      <c r="DR51" s="15"/>
      <c r="DS51" s="58"/>
      <c r="DT51" s="15"/>
      <c r="DU51" s="58"/>
      <c r="DV51" s="15"/>
      <c r="DW51" s="58"/>
      <c r="DX51" s="15"/>
      <c r="DY51" s="58"/>
      <c r="DZ51" s="15"/>
      <c r="EA51" s="58"/>
      <c r="EB51" s="15"/>
      <c r="EC51" s="58"/>
      <c r="ED51" s="15"/>
      <c r="EE51" s="217"/>
      <c r="EF51" s="8">
        <v>21700</v>
      </c>
      <c r="EG51" s="312">
        <v>18320</v>
      </c>
      <c r="EH51" s="236">
        <v>20000</v>
      </c>
      <c r="EI51" s="218"/>
      <c r="EJ51" s="218"/>
      <c r="EK51" s="218"/>
      <c r="EL51" s="218"/>
      <c r="EM51" s="218"/>
      <c r="EN51" s="246" t="s">
        <v>209</v>
      </c>
      <c r="EO51" s="246" t="s">
        <v>209</v>
      </c>
      <c r="EP51" s="246" t="s">
        <v>209</v>
      </c>
      <c r="EQ51" s="246" t="s">
        <v>209</v>
      </c>
      <c r="ER51" s="246"/>
      <c r="ES51" s="246"/>
      <c r="ET51" s="246"/>
      <c r="EU51" s="246"/>
      <c r="EV51" s="246"/>
      <c r="EW51" s="246"/>
      <c r="EX51" s="246"/>
      <c r="EY51" s="246"/>
      <c r="EZ51" s="246"/>
      <c r="FA51" s="246"/>
      <c r="FB51" s="59">
        <f>MEDIAN(EF51,EG51,EH51)</f>
        <v>20000</v>
      </c>
      <c r="FC51" s="59">
        <f t="shared" si="22"/>
        <v>20006.666666666668</v>
      </c>
      <c r="FD51" s="60">
        <f t="shared" si="23"/>
        <v>1690.0098619041644</v>
      </c>
      <c r="FE51" s="65">
        <f t="shared" si="2"/>
        <v>8.4472335649991556E-2</v>
      </c>
      <c r="FF51" s="88">
        <f t="shared" si="8"/>
        <v>16812.605042016807</v>
      </c>
      <c r="FG51" s="88">
        <f t="shared" si="9"/>
        <v>3194.3949579831933</v>
      </c>
      <c r="FH51" s="74">
        <f t="shared" si="11"/>
        <v>20007</v>
      </c>
      <c r="FI51" s="260">
        <f t="shared" si="12"/>
        <v>40014</v>
      </c>
      <c r="FJ51" s="60" t="s">
        <v>65</v>
      </c>
    </row>
    <row r="52" spans="1:167" s="40" customFormat="1" ht="58" x14ac:dyDescent="0.35">
      <c r="A52" s="37">
        <v>46</v>
      </c>
      <c r="B52" s="219" t="s">
        <v>923</v>
      </c>
      <c r="C52" s="38" t="s">
        <v>922</v>
      </c>
      <c r="D52" s="249" t="s">
        <v>64</v>
      </c>
      <c r="E52" s="220">
        <v>2</v>
      </c>
      <c r="F52" s="58"/>
      <c r="G52" s="58"/>
      <c r="H52" s="58"/>
      <c r="I52" s="58"/>
      <c r="J52" s="58"/>
      <c r="K52" s="58"/>
      <c r="L52" s="15"/>
      <c r="M52" s="58"/>
      <c r="N52" s="15"/>
      <c r="O52" s="58"/>
      <c r="P52" s="15"/>
      <c r="Q52" s="58"/>
      <c r="R52" s="15"/>
      <c r="S52" s="58"/>
      <c r="T52" s="15"/>
      <c r="U52" s="58"/>
      <c r="V52" s="15"/>
      <c r="W52" s="58"/>
      <c r="X52" s="15"/>
      <c r="Y52" s="58"/>
      <c r="Z52" s="15"/>
      <c r="AA52" s="58"/>
      <c r="AB52" s="15"/>
      <c r="AC52" s="58"/>
      <c r="AD52" s="58"/>
      <c r="AE52" s="58"/>
      <c r="AF52" s="15"/>
      <c r="AG52" s="58"/>
      <c r="AH52" s="15"/>
      <c r="AI52" s="58"/>
      <c r="AJ52" s="15"/>
      <c r="AK52" s="58"/>
      <c r="AL52" s="15"/>
      <c r="AM52" s="58"/>
      <c r="AN52" s="15"/>
      <c r="AO52" s="58"/>
      <c r="AP52" s="15"/>
      <c r="AQ52" s="58"/>
      <c r="AR52" s="15"/>
      <c r="AS52" s="58"/>
      <c r="AT52" s="15"/>
      <c r="AU52" s="58"/>
      <c r="AV52" s="15"/>
      <c r="AW52" s="58"/>
      <c r="AX52" s="15"/>
      <c r="AY52" s="58"/>
      <c r="AZ52" s="15"/>
      <c r="BA52" s="58"/>
      <c r="BB52" s="15"/>
      <c r="BC52" s="58"/>
      <c r="BD52" s="15"/>
      <c r="BE52" s="58"/>
      <c r="BF52" s="15"/>
      <c r="BG52" s="58"/>
      <c r="BH52" s="15"/>
      <c r="BI52" s="58"/>
      <c r="BJ52" s="15"/>
      <c r="BK52" s="58"/>
      <c r="BL52" s="15"/>
      <c r="BM52" s="58"/>
      <c r="BN52" s="15"/>
      <c r="BO52" s="58"/>
      <c r="BP52" s="15"/>
      <c r="BQ52" s="58"/>
      <c r="BR52" s="15"/>
      <c r="BS52" s="58"/>
      <c r="BT52" s="15"/>
      <c r="BU52" s="58"/>
      <c r="BV52" s="15"/>
      <c r="BW52" s="58"/>
      <c r="BX52" s="15"/>
      <c r="BY52" s="58"/>
      <c r="BZ52" s="15"/>
      <c r="CA52" s="58"/>
      <c r="CB52" s="15"/>
      <c r="CC52" s="58"/>
      <c r="CD52" s="15"/>
      <c r="CE52" s="58"/>
      <c r="CF52" s="15"/>
      <c r="CG52" s="58"/>
      <c r="CH52" s="15"/>
      <c r="CI52" s="58"/>
      <c r="CJ52" s="15"/>
      <c r="CK52" s="58"/>
      <c r="CL52" s="15"/>
      <c r="CM52" s="58"/>
      <c r="CN52" s="15"/>
      <c r="CO52" s="58"/>
      <c r="CP52" s="15"/>
      <c r="CQ52" s="58"/>
      <c r="CR52" s="15"/>
      <c r="CS52" s="58"/>
      <c r="CT52" s="15"/>
      <c r="CU52" s="58"/>
      <c r="CV52" s="15"/>
      <c r="CW52" s="58"/>
      <c r="CX52" s="15"/>
      <c r="CY52" s="58"/>
      <c r="CZ52" s="15"/>
      <c r="DA52" s="58"/>
      <c r="DB52" s="15"/>
      <c r="DC52" s="58"/>
      <c r="DD52" s="15"/>
      <c r="DE52" s="58"/>
      <c r="DF52" s="15"/>
      <c r="DG52" s="58"/>
      <c r="DH52" s="15"/>
      <c r="DI52" s="58"/>
      <c r="DJ52" s="15"/>
      <c r="DK52" s="58"/>
      <c r="DL52" s="15"/>
      <c r="DM52" s="58"/>
      <c r="DN52" s="15"/>
      <c r="DO52" s="58"/>
      <c r="DP52" s="15"/>
      <c r="DQ52" s="58"/>
      <c r="DR52" s="15"/>
      <c r="DS52" s="58"/>
      <c r="DT52" s="15"/>
      <c r="DU52" s="58"/>
      <c r="DV52" s="15"/>
      <c r="DW52" s="58"/>
      <c r="DX52" s="15"/>
      <c r="DY52" s="58"/>
      <c r="DZ52" s="15"/>
      <c r="EA52" s="58"/>
      <c r="EB52" s="15"/>
      <c r="EC52" s="58"/>
      <c r="ED52" s="15"/>
      <c r="EE52" s="217"/>
      <c r="EF52" s="8">
        <v>197000</v>
      </c>
      <c r="EG52" s="312">
        <v>176500</v>
      </c>
      <c r="EH52" s="236">
        <v>190000</v>
      </c>
      <c r="EI52" s="218"/>
      <c r="EJ52" s="218"/>
      <c r="EK52" s="218"/>
      <c r="EL52" s="218"/>
      <c r="EM52" s="218"/>
      <c r="EN52" s="246" t="s">
        <v>209</v>
      </c>
      <c r="EO52" s="246" t="s">
        <v>209</v>
      </c>
      <c r="EP52" s="246" t="s">
        <v>209</v>
      </c>
      <c r="EQ52" s="246" t="s">
        <v>209</v>
      </c>
      <c r="ER52" s="246"/>
      <c r="ES52" s="246"/>
      <c r="ET52" s="246"/>
      <c r="EU52" s="246"/>
      <c r="EV52" s="246"/>
      <c r="EW52" s="246"/>
      <c r="EX52" s="246"/>
      <c r="EY52" s="246"/>
      <c r="EZ52" s="246"/>
      <c r="FA52" s="246"/>
      <c r="FB52" s="59">
        <f>MEDIAN(EF52,EG52,EH52)</f>
        <v>190000</v>
      </c>
      <c r="FC52" s="59">
        <f t="shared" si="22"/>
        <v>187833.33333333334</v>
      </c>
      <c r="FD52" s="60">
        <f t="shared" si="23"/>
        <v>10420.332688227058</v>
      </c>
      <c r="FE52" s="62">
        <f t="shared" si="2"/>
        <v>5.5476482812211486E-2</v>
      </c>
      <c r="FF52" s="88">
        <f t="shared" si="8"/>
        <v>157843.69747899161</v>
      </c>
      <c r="FG52" s="88">
        <f t="shared" si="9"/>
        <v>29990.302521008405</v>
      </c>
      <c r="FH52" s="74">
        <f t="shared" si="11"/>
        <v>187834</v>
      </c>
      <c r="FI52" s="260">
        <f t="shared" si="12"/>
        <v>375668</v>
      </c>
      <c r="FJ52" s="60" t="s">
        <v>65</v>
      </c>
    </row>
    <row r="53" spans="1:167" s="40" customFormat="1" ht="72.5" x14ac:dyDescent="0.35">
      <c r="A53" s="37">
        <v>47</v>
      </c>
      <c r="B53" s="219" t="s">
        <v>240</v>
      </c>
      <c r="C53" s="38" t="s">
        <v>925</v>
      </c>
      <c r="D53" s="249" t="s">
        <v>64</v>
      </c>
      <c r="E53" s="220">
        <v>3</v>
      </c>
      <c r="F53" s="58"/>
      <c r="G53" s="58"/>
      <c r="H53" s="58"/>
      <c r="I53" s="58"/>
      <c r="J53" s="58"/>
      <c r="K53" s="58"/>
      <c r="L53" s="15"/>
      <c r="M53" s="58"/>
      <c r="N53" s="15"/>
      <c r="O53" s="58"/>
      <c r="P53" s="15"/>
      <c r="Q53" s="58"/>
      <c r="R53" s="15"/>
      <c r="S53" s="58"/>
      <c r="T53" s="15"/>
      <c r="U53" s="58"/>
      <c r="V53" s="15"/>
      <c r="W53" s="58"/>
      <c r="X53" s="15"/>
      <c r="Y53" s="58"/>
      <c r="Z53" s="15"/>
      <c r="AA53" s="58"/>
      <c r="AB53" s="15"/>
      <c r="AC53" s="58"/>
      <c r="AD53" s="58"/>
      <c r="AE53" s="58"/>
      <c r="AF53" s="15"/>
      <c r="AG53" s="58"/>
      <c r="AH53" s="15"/>
      <c r="AI53" s="58"/>
      <c r="AJ53" s="15"/>
      <c r="AK53" s="58"/>
      <c r="AL53" s="15"/>
      <c r="AM53" s="58"/>
      <c r="AN53" s="15"/>
      <c r="AO53" s="58"/>
      <c r="AP53" s="15"/>
      <c r="AQ53" s="58"/>
      <c r="AR53" s="15"/>
      <c r="AS53" s="58"/>
      <c r="AT53" s="15"/>
      <c r="AU53" s="58"/>
      <c r="AV53" s="15"/>
      <c r="AW53" s="58"/>
      <c r="AX53" s="15"/>
      <c r="AY53" s="58"/>
      <c r="AZ53" s="15"/>
      <c r="BA53" s="58"/>
      <c r="BB53" s="15"/>
      <c r="BC53" s="58"/>
      <c r="BD53" s="15"/>
      <c r="BE53" s="58"/>
      <c r="BF53" s="15"/>
      <c r="BG53" s="58"/>
      <c r="BH53" s="15"/>
      <c r="BI53" s="58"/>
      <c r="BJ53" s="15"/>
      <c r="BK53" s="58"/>
      <c r="BL53" s="15"/>
      <c r="BM53" s="58"/>
      <c r="BN53" s="15"/>
      <c r="BO53" s="58"/>
      <c r="BP53" s="15"/>
      <c r="BQ53" s="58"/>
      <c r="BR53" s="15"/>
      <c r="BS53" s="58"/>
      <c r="BT53" s="15"/>
      <c r="BU53" s="58"/>
      <c r="BV53" s="15"/>
      <c r="BW53" s="58"/>
      <c r="BX53" s="15"/>
      <c r="BY53" s="58"/>
      <c r="BZ53" s="15"/>
      <c r="CA53" s="58"/>
      <c r="CB53" s="15"/>
      <c r="CC53" s="58"/>
      <c r="CD53" s="15"/>
      <c r="CE53" s="58"/>
      <c r="CF53" s="15"/>
      <c r="CG53" s="58"/>
      <c r="CH53" s="15"/>
      <c r="CI53" s="58"/>
      <c r="CJ53" s="15"/>
      <c r="CK53" s="58"/>
      <c r="CL53" s="67"/>
      <c r="CM53" s="58"/>
      <c r="CN53" s="67"/>
      <c r="CO53" s="58"/>
      <c r="CP53" s="15"/>
      <c r="CQ53" s="58"/>
      <c r="CR53" s="15"/>
      <c r="CS53" s="58"/>
      <c r="CT53" s="15"/>
      <c r="CU53" s="58"/>
      <c r="CV53" s="15"/>
      <c r="CW53" s="58"/>
      <c r="CX53" s="15"/>
      <c r="CY53" s="58"/>
      <c r="CZ53" s="15"/>
      <c r="DA53" s="58"/>
      <c r="DB53" s="15"/>
      <c r="DC53" s="58"/>
      <c r="DD53" s="15"/>
      <c r="DE53" s="58"/>
      <c r="DF53" s="15"/>
      <c r="DG53" s="58"/>
      <c r="DH53" s="15"/>
      <c r="DI53" s="58"/>
      <c r="DJ53" s="15"/>
      <c r="DK53" s="58"/>
      <c r="DL53" s="15"/>
      <c r="DM53" s="58"/>
      <c r="DN53" s="15"/>
      <c r="DO53" s="58"/>
      <c r="DP53" s="15"/>
      <c r="DQ53" s="58"/>
      <c r="DR53" s="15"/>
      <c r="DS53" s="58"/>
      <c r="DT53" s="15"/>
      <c r="DU53" s="58"/>
      <c r="DV53" s="15"/>
      <c r="DW53" s="58"/>
      <c r="DX53" s="15"/>
      <c r="DY53" s="58"/>
      <c r="DZ53" s="15"/>
      <c r="EA53" s="58"/>
      <c r="EB53" s="15"/>
      <c r="EC53" s="58"/>
      <c r="ED53" s="15"/>
      <c r="EE53" s="217"/>
      <c r="EF53" s="8">
        <v>300000</v>
      </c>
      <c r="EG53" s="315">
        <v>287300</v>
      </c>
      <c r="EH53" s="236">
        <v>290000</v>
      </c>
      <c r="EI53" s="218"/>
      <c r="EJ53" s="218"/>
      <c r="EK53" s="218"/>
      <c r="EL53" s="218"/>
      <c r="EM53" s="218"/>
      <c r="EN53" s="246" t="s">
        <v>209</v>
      </c>
      <c r="EO53" s="246" t="s">
        <v>209</v>
      </c>
      <c r="EP53" s="246" t="s">
        <v>209</v>
      </c>
      <c r="EQ53" s="246" t="s">
        <v>209</v>
      </c>
      <c r="ER53" s="246"/>
      <c r="ES53" s="246"/>
      <c r="ET53" s="246"/>
      <c r="EU53" s="246"/>
      <c r="EV53" s="246"/>
      <c r="EW53" s="246"/>
      <c r="EX53" s="246"/>
      <c r="EY53" s="246"/>
      <c r="EZ53" s="246"/>
      <c r="FA53" s="246"/>
      <c r="FB53" s="59">
        <f>MEDIAN(EF53,EG53,EH53)</f>
        <v>290000</v>
      </c>
      <c r="FC53" s="59">
        <f t="shared" si="22"/>
        <v>292433.33333333331</v>
      </c>
      <c r="FD53" s="60">
        <f t="shared" si="23"/>
        <v>6690.5405860313958</v>
      </c>
      <c r="FE53" s="62">
        <f t="shared" si="2"/>
        <v>2.2878857583602176E-2</v>
      </c>
      <c r="FF53" s="88">
        <f t="shared" si="8"/>
        <v>245742.85714285716</v>
      </c>
      <c r="FG53" s="88">
        <f t="shared" si="9"/>
        <v>46691.142857142862</v>
      </c>
      <c r="FH53" s="74">
        <f t="shared" si="11"/>
        <v>292434</v>
      </c>
      <c r="FI53" s="260">
        <f t="shared" si="12"/>
        <v>877302</v>
      </c>
      <c r="FJ53" s="60" t="s">
        <v>1032</v>
      </c>
    </row>
    <row r="54" spans="1:167" s="40" customFormat="1" ht="58" x14ac:dyDescent="0.35">
      <c r="A54" s="36">
        <v>48</v>
      </c>
      <c r="B54" s="36" t="s">
        <v>244</v>
      </c>
      <c r="C54" s="36" t="s">
        <v>924</v>
      </c>
      <c r="D54" s="232" t="s">
        <v>131</v>
      </c>
      <c r="E54" s="208">
        <v>3</v>
      </c>
      <c r="F54" s="58">
        <v>585000</v>
      </c>
      <c r="G54" s="58">
        <f t="shared" ref="G54" si="27">+(F54*5.1%)+F54</f>
        <v>614835</v>
      </c>
      <c r="H54" s="58"/>
      <c r="I54" s="58"/>
      <c r="J54" s="58"/>
      <c r="K54" s="58"/>
      <c r="L54" s="15"/>
      <c r="M54" s="58"/>
      <c r="N54" s="15"/>
      <c r="P54" s="15"/>
      <c r="Q54" s="58"/>
      <c r="R54" s="15"/>
      <c r="S54" s="58"/>
      <c r="T54" s="15"/>
      <c r="U54" s="58"/>
      <c r="V54" s="15"/>
      <c r="W54" s="58"/>
      <c r="X54" s="15"/>
      <c r="Y54" s="58"/>
      <c r="Z54" s="15"/>
      <c r="AA54" s="58"/>
      <c r="AB54" s="15"/>
      <c r="AC54" s="58"/>
      <c r="AD54" s="58"/>
      <c r="AE54" s="58"/>
      <c r="AF54" s="15"/>
      <c r="AG54" s="58"/>
      <c r="AH54" s="15"/>
      <c r="AI54" s="58"/>
      <c r="AJ54" s="15"/>
      <c r="AK54" s="58"/>
      <c r="AL54" s="15"/>
      <c r="AM54" s="58"/>
      <c r="AN54" s="15"/>
      <c r="AO54" s="58"/>
      <c r="AP54" s="15"/>
      <c r="AQ54" s="58"/>
      <c r="AR54" s="15"/>
      <c r="AS54" s="58"/>
      <c r="AT54" s="15"/>
      <c r="AU54" s="58"/>
      <c r="AV54" s="15"/>
      <c r="AW54" s="58"/>
      <c r="AX54" s="15"/>
      <c r="AY54" s="58"/>
      <c r="AZ54" s="15"/>
      <c r="BA54" s="58"/>
      <c r="BB54" s="15"/>
      <c r="BC54" s="58"/>
      <c r="BD54" s="15"/>
      <c r="BE54" s="58"/>
      <c r="BF54" s="15"/>
      <c r="BG54" s="58"/>
      <c r="BH54" s="15"/>
      <c r="BI54" s="58"/>
      <c r="BJ54" s="15"/>
      <c r="BK54" s="58"/>
      <c r="BL54" s="15"/>
      <c r="BM54" s="58"/>
      <c r="BN54" s="15"/>
      <c r="BO54" s="58"/>
      <c r="BP54" s="15"/>
      <c r="BQ54" s="58"/>
      <c r="BR54" s="15"/>
      <c r="BS54" s="58"/>
      <c r="BT54" s="15"/>
      <c r="BU54" s="58"/>
      <c r="BV54" s="15"/>
      <c r="BW54" s="58"/>
      <c r="BX54" s="15"/>
      <c r="BY54" s="58"/>
      <c r="BZ54" s="15"/>
      <c r="CA54" s="58"/>
      <c r="CB54" s="15"/>
      <c r="CC54" s="58"/>
      <c r="CD54" s="15"/>
      <c r="CE54" s="58"/>
      <c r="CF54" s="15"/>
      <c r="CG54" s="58"/>
      <c r="CH54" s="15"/>
      <c r="CI54" s="58"/>
      <c r="CJ54" s="15"/>
      <c r="CK54" s="58"/>
      <c r="CL54" s="15"/>
      <c r="CM54" s="58"/>
      <c r="CN54" s="15"/>
      <c r="CO54" s="58"/>
      <c r="CP54" s="15"/>
      <c r="CQ54" s="58"/>
      <c r="CR54" s="15"/>
      <c r="CS54" s="58"/>
      <c r="CT54" s="15"/>
      <c r="CU54" s="58"/>
      <c r="CV54" s="15"/>
      <c r="CW54" s="58"/>
      <c r="CX54" s="15"/>
      <c r="CY54" s="58"/>
      <c r="CZ54" s="15"/>
      <c r="DA54" s="58"/>
      <c r="DB54" s="15"/>
      <c r="DC54" s="58"/>
      <c r="DD54" s="15"/>
      <c r="DE54" s="58"/>
      <c r="DF54" s="32"/>
      <c r="DG54" s="58"/>
      <c r="DH54" s="32"/>
      <c r="DI54" s="58"/>
      <c r="DJ54" s="32"/>
      <c r="DK54" s="58"/>
      <c r="DL54" s="32"/>
      <c r="DM54" s="58"/>
      <c r="DN54" s="32"/>
      <c r="DO54" s="58"/>
      <c r="DP54" s="32"/>
      <c r="DQ54" s="58"/>
      <c r="DR54" s="32"/>
      <c r="DS54" s="58"/>
      <c r="DT54" s="32"/>
      <c r="DU54" s="58"/>
      <c r="DV54" s="32"/>
      <c r="DW54" s="58"/>
      <c r="DX54" s="32"/>
      <c r="DY54" s="58"/>
      <c r="DZ54" s="32">
        <v>552000</v>
      </c>
      <c r="EA54" s="58">
        <f t="shared" ref="EA54" si="28">+(DZ54*5.1%)+DZ54</f>
        <v>580152</v>
      </c>
      <c r="EB54" s="32"/>
      <c r="EC54" s="58"/>
      <c r="ED54" s="32"/>
      <c r="EE54" s="217"/>
      <c r="EF54" s="222"/>
      <c r="EG54" s="109"/>
      <c r="EH54" s="223"/>
      <c r="EI54" s="218"/>
      <c r="EJ54" s="218"/>
      <c r="EK54" s="218"/>
      <c r="EL54" s="218"/>
      <c r="EM54" s="218"/>
      <c r="EN54" s="246" t="s">
        <v>209</v>
      </c>
      <c r="EO54" s="246" t="s">
        <v>209</v>
      </c>
      <c r="EP54" s="246" t="s">
        <v>209</v>
      </c>
      <c r="EQ54" s="246" t="s">
        <v>209</v>
      </c>
      <c r="ER54" s="246"/>
      <c r="ES54" s="246"/>
      <c r="ET54" s="246"/>
      <c r="EU54" s="246"/>
      <c r="EV54" s="246"/>
      <c r="EW54" s="246"/>
      <c r="EX54" s="246"/>
      <c r="EY54" s="246"/>
      <c r="EZ54" s="246"/>
      <c r="FA54" s="246"/>
      <c r="FB54" s="59">
        <f>MEDIAN(G54,EA54)</f>
        <v>597493.5</v>
      </c>
      <c r="FC54" s="59">
        <f>AVERAGE(G54,EA54)</f>
        <v>597493.5</v>
      </c>
      <c r="FD54" s="60">
        <f>STDEV(G54,EA54)</f>
        <v>24524.584491893027</v>
      </c>
      <c r="FE54" s="62">
        <f t="shared" si="2"/>
        <v>4.1045776216633363E-2</v>
      </c>
      <c r="FF54" s="88">
        <f t="shared" si="8"/>
        <v>502095.79831932776</v>
      </c>
      <c r="FG54" s="88">
        <f t="shared" si="9"/>
        <v>95398.201680672282</v>
      </c>
      <c r="FH54" s="260">
        <f t="shared" si="11"/>
        <v>597494</v>
      </c>
      <c r="FI54" s="260">
        <f t="shared" si="12"/>
        <v>1792482</v>
      </c>
      <c r="FJ54" s="60" t="s">
        <v>1030</v>
      </c>
      <c r="FK54" s="343"/>
    </row>
    <row r="55" spans="1:167" s="40" customFormat="1" ht="72.5" x14ac:dyDescent="0.35">
      <c r="A55" s="36">
        <v>49</v>
      </c>
      <c r="B55" s="210" t="s">
        <v>245</v>
      </c>
      <c r="C55" s="38" t="s">
        <v>926</v>
      </c>
      <c r="D55" s="249" t="s">
        <v>64</v>
      </c>
      <c r="E55" s="220">
        <v>10</v>
      </c>
      <c r="F55" s="58"/>
      <c r="G55" s="58"/>
      <c r="H55" s="58"/>
      <c r="I55" s="58"/>
      <c r="J55" s="58"/>
      <c r="K55" s="58"/>
      <c r="L55" s="15"/>
      <c r="M55" s="58"/>
      <c r="N55" s="15"/>
      <c r="O55" s="58"/>
      <c r="P55" s="58"/>
      <c r="Q55" s="58"/>
      <c r="R55" s="15"/>
      <c r="S55" s="58"/>
      <c r="T55" s="15"/>
      <c r="U55" s="58"/>
      <c r="V55" s="15"/>
      <c r="W55" s="58"/>
      <c r="X55" s="15">
        <v>14000</v>
      </c>
      <c r="Y55" s="58">
        <f t="shared" ref="Y55" si="29">+(X55*5.1%)+X55</f>
        <v>14714</v>
      </c>
      <c r="Z55" s="15"/>
      <c r="AA55" s="58"/>
      <c r="AB55" s="15"/>
      <c r="AC55" s="58"/>
      <c r="AD55" s="58"/>
      <c r="AE55" s="58"/>
      <c r="AF55" s="15"/>
      <c r="AG55" s="58"/>
      <c r="AH55" s="15"/>
      <c r="AI55" s="58"/>
      <c r="AJ55" s="15">
        <v>10000</v>
      </c>
      <c r="AK55" s="58">
        <f t="shared" ref="AK55" si="30">+(AJ55*5.1%)+AJ55</f>
        <v>10510</v>
      </c>
      <c r="AL55" s="15"/>
      <c r="AM55" s="58"/>
      <c r="AN55" s="15"/>
      <c r="AO55" s="58"/>
      <c r="AP55" s="15"/>
      <c r="AQ55" s="58"/>
      <c r="AR55" s="15"/>
      <c r="AS55" s="58"/>
      <c r="AT55" s="15"/>
      <c r="AU55" s="58"/>
      <c r="AV55" s="15"/>
      <c r="AW55" s="58"/>
      <c r="AX55" s="15"/>
      <c r="AY55" s="58"/>
      <c r="AZ55" s="15"/>
      <c r="BA55" s="58"/>
      <c r="BB55" s="15"/>
      <c r="BC55" s="58"/>
      <c r="BD55" s="15"/>
      <c r="BE55" s="58"/>
      <c r="BF55" s="15"/>
      <c r="BG55" s="58"/>
      <c r="BH55" s="15"/>
      <c r="BI55" s="58"/>
      <c r="BJ55" s="15"/>
      <c r="BK55" s="58"/>
      <c r="BL55" s="15"/>
      <c r="BM55" s="58"/>
      <c r="BN55" s="15"/>
      <c r="BO55" s="58"/>
      <c r="BP55" s="15"/>
      <c r="BQ55" s="58"/>
      <c r="BR55" s="15"/>
      <c r="BS55" s="58"/>
      <c r="BT55" s="15"/>
      <c r="BU55" s="58"/>
      <c r="BV55" s="15"/>
      <c r="BW55" s="58"/>
      <c r="BX55" s="15"/>
      <c r="BY55" s="58"/>
      <c r="BZ55" s="15"/>
      <c r="CA55" s="58"/>
      <c r="CB55" s="15"/>
      <c r="CC55" s="58"/>
      <c r="CD55" s="15"/>
      <c r="CE55" s="58"/>
      <c r="CF55" s="15"/>
      <c r="CG55" s="58"/>
      <c r="CH55" s="15"/>
      <c r="CI55" s="58"/>
      <c r="CJ55" s="15"/>
      <c r="CK55" s="58"/>
      <c r="CL55" s="15"/>
      <c r="CM55" s="58">
        <f t="shared" ref="CM55" si="31">+(CL55*5.1%)+CL55</f>
        <v>0</v>
      </c>
      <c r="CN55" s="15">
        <v>11500</v>
      </c>
      <c r="CO55" s="58">
        <f t="shared" ref="CO55" si="32">+(CN55*5.1%)+CN55</f>
        <v>12086.5</v>
      </c>
      <c r="CP55" s="15"/>
      <c r="CQ55" s="58"/>
      <c r="CR55" s="15"/>
      <c r="CS55" s="58"/>
      <c r="CT55" s="15"/>
      <c r="CU55" s="58"/>
      <c r="CV55" s="15"/>
      <c r="CW55" s="58"/>
      <c r="CX55" s="15"/>
      <c r="CY55" s="58"/>
      <c r="CZ55" s="15"/>
      <c r="DA55" s="58"/>
      <c r="DB55" s="15"/>
      <c r="DC55" s="58"/>
      <c r="DD55" s="15"/>
      <c r="DE55" s="58"/>
      <c r="DF55" s="15"/>
      <c r="DG55" s="58"/>
      <c r="DH55" s="15"/>
      <c r="DI55" s="58"/>
      <c r="DJ55" s="15"/>
      <c r="DK55" s="58"/>
      <c r="DL55" s="15"/>
      <c r="DM55" s="58"/>
      <c r="DN55" s="15"/>
      <c r="DO55" s="58"/>
      <c r="DP55" s="15"/>
      <c r="DQ55" s="58"/>
      <c r="DR55" s="15"/>
      <c r="DS55" s="58"/>
      <c r="DT55" s="15"/>
      <c r="DU55" s="58"/>
      <c r="DV55" s="15"/>
      <c r="DW55" s="58"/>
      <c r="DX55" s="15"/>
      <c r="DY55" s="58"/>
      <c r="DZ55" s="15"/>
      <c r="EA55" s="58"/>
      <c r="EB55" s="15"/>
      <c r="EC55" s="58"/>
      <c r="ED55" s="15"/>
      <c r="EE55" s="217"/>
      <c r="EF55" s="222"/>
      <c r="EG55" s="109"/>
      <c r="EH55" s="223"/>
      <c r="EI55" s="224"/>
      <c r="EJ55" s="224"/>
      <c r="EK55" s="224"/>
      <c r="EL55" s="224"/>
      <c r="EM55" s="224"/>
      <c r="EN55" s="247" t="s">
        <v>209</v>
      </c>
      <c r="EO55" s="247" t="s">
        <v>209</v>
      </c>
      <c r="EP55" s="247" t="s">
        <v>209</v>
      </c>
      <c r="EQ55" s="247" t="s">
        <v>209</v>
      </c>
      <c r="ER55" s="247"/>
      <c r="ES55" s="247"/>
      <c r="ET55" s="247"/>
      <c r="EU55" s="247"/>
      <c r="EV55" s="247"/>
      <c r="EW55" s="247"/>
      <c r="EX55" s="247"/>
      <c r="EY55" s="247"/>
      <c r="EZ55" s="247"/>
      <c r="FA55" s="247"/>
      <c r="FB55" s="63">
        <f>MEDIAN(Y55,AK55,CO55)</f>
        <v>12086.5</v>
      </c>
      <c r="FC55" s="63">
        <f>AVERAGE(Y55,AK55,CO55)</f>
        <v>12436.833333333334</v>
      </c>
      <c r="FD55" s="64">
        <f>STDEV(Y55,AK55,CO55)</f>
        <v>2123.7829652140408</v>
      </c>
      <c r="FE55" s="62">
        <f t="shared" si="2"/>
        <v>0.17076557257721345</v>
      </c>
      <c r="FF55" s="88">
        <f t="shared" si="8"/>
        <v>10157.142857142857</v>
      </c>
      <c r="FG55" s="88">
        <f t="shared" si="9"/>
        <v>1929.8571428571429</v>
      </c>
      <c r="FH55" s="74">
        <f t="shared" si="11"/>
        <v>12087</v>
      </c>
      <c r="FI55" s="260">
        <f t="shared" si="12"/>
        <v>120870</v>
      </c>
      <c r="FJ55" s="60" t="s">
        <v>1031</v>
      </c>
    </row>
    <row r="56" spans="1:167" s="40" customFormat="1" ht="117" customHeight="1" x14ac:dyDescent="0.35">
      <c r="A56" s="37">
        <v>50</v>
      </c>
      <c r="B56" s="36" t="s">
        <v>246</v>
      </c>
      <c r="C56" s="38" t="s">
        <v>1092</v>
      </c>
      <c r="D56" s="232" t="s">
        <v>131</v>
      </c>
      <c r="E56" s="208">
        <v>10</v>
      </c>
      <c r="F56" s="58"/>
      <c r="G56" s="58"/>
      <c r="H56" s="58"/>
      <c r="I56" s="58"/>
      <c r="J56" s="58"/>
      <c r="K56" s="58"/>
      <c r="L56" s="15"/>
      <c r="M56" s="58"/>
      <c r="N56" s="15"/>
      <c r="O56" s="58"/>
      <c r="P56" s="15"/>
      <c r="Q56" s="58"/>
      <c r="R56" s="15"/>
      <c r="S56" s="58"/>
      <c r="T56" s="15"/>
      <c r="U56" s="58"/>
      <c r="V56" s="15"/>
      <c r="W56" s="58"/>
      <c r="X56" s="15"/>
      <c r="Y56" s="58"/>
      <c r="Z56" s="15"/>
      <c r="AA56" s="58"/>
      <c r="AB56" s="15"/>
      <c r="AC56" s="58"/>
      <c r="AD56" s="58"/>
      <c r="AE56" s="58"/>
      <c r="AF56" s="15"/>
      <c r="AG56" s="58"/>
      <c r="AH56" s="15"/>
      <c r="AI56" s="58"/>
      <c r="AJ56" s="15"/>
      <c r="AK56" s="58"/>
      <c r="AL56" s="15"/>
      <c r="AM56" s="58"/>
      <c r="AN56" s="15"/>
      <c r="AO56" s="58"/>
      <c r="AP56" s="15"/>
      <c r="AQ56" s="58"/>
      <c r="AR56" s="15">
        <v>104860</v>
      </c>
      <c r="AS56" s="58">
        <f t="shared" ref="AS56" si="33">+(AR56*5.1%)+AR56</f>
        <v>110207.86</v>
      </c>
      <c r="AT56" s="15"/>
      <c r="AU56" s="58"/>
      <c r="AV56" s="15"/>
      <c r="AW56" s="58"/>
      <c r="AX56" s="15"/>
      <c r="AY56" s="58"/>
      <c r="AZ56" s="15"/>
      <c r="BA56" s="58"/>
      <c r="BB56" s="15"/>
      <c r="BC56" s="58"/>
      <c r="BD56" s="15"/>
      <c r="BE56" s="58"/>
      <c r="BF56" s="15"/>
      <c r="BG56" s="58"/>
      <c r="BH56" s="15"/>
      <c r="BI56" s="58"/>
      <c r="BJ56" s="15"/>
      <c r="BK56" s="58"/>
      <c r="BL56" s="15"/>
      <c r="BM56" s="58"/>
      <c r="BN56" s="15"/>
      <c r="BO56" s="58"/>
      <c r="BP56" s="15"/>
      <c r="BQ56" s="58"/>
      <c r="BR56" s="15"/>
      <c r="BS56" s="58"/>
      <c r="BT56" s="15"/>
      <c r="BU56" s="58"/>
      <c r="BV56" s="15"/>
      <c r="BW56" s="58"/>
      <c r="BX56" s="15"/>
      <c r="BY56" s="58"/>
      <c r="BZ56" s="15"/>
      <c r="CA56" s="58"/>
      <c r="CB56" s="15"/>
      <c r="CC56" s="58"/>
      <c r="CD56" s="15"/>
      <c r="CE56" s="58"/>
      <c r="CF56" s="15"/>
      <c r="CG56" s="58"/>
      <c r="CH56" s="15"/>
      <c r="CI56" s="58"/>
      <c r="CJ56" s="15"/>
      <c r="CK56" s="58"/>
      <c r="CL56" s="15"/>
      <c r="CM56" s="58"/>
      <c r="CN56" s="15"/>
      <c r="CO56" s="58"/>
      <c r="CP56" s="15"/>
      <c r="CQ56" s="58"/>
      <c r="CR56" s="15"/>
      <c r="CS56" s="58"/>
      <c r="CT56" s="15"/>
      <c r="CU56" s="58"/>
      <c r="CV56" s="15"/>
      <c r="CW56" s="58"/>
      <c r="CX56" s="15"/>
      <c r="CY56" s="58"/>
      <c r="CZ56" s="15"/>
      <c r="DA56" s="58"/>
      <c r="DB56" s="15"/>
      <c r="DC56" s="58"/>
      <c r="DD56" s="15"/>
      <c r="DE56" s="58"/>
      <c r="DF56" s="32"/>
      <c r="DG56" s="58"/>
      <c r="DH56" s="32"/>
      <c r="DI56" s="58"/>
      <c r="DJ56" s="32"/>
      <c r="DK56" s="58"/>
      <c r="DL56" s="32"/>
      <c r="DM56" s="58"/>
      <c r="DN56" s="32"/>
      <c r="DO56" s="58"/>
      <c r="DP56" s="32"/>
      <c r="DQ56" s="58"/>
      <c r="DR56" s="32"/>
      <c r="DS56" s="58"/>
      <c r="DT56" s="32"/>
      <c r="DU56" s="58"/>
      <c r="DV56" s="32"/>
      <c r="DW56" s="58"/>
      <c r="DX56" s="32">
        <v>104860</v>
      </c>
      <c r="DY56" s="58">
        <f t="shared" ref="DY56" si="34">+(DX56*5.1%)+DX56</f>
        <v>110207.86</v>
      </c>
      <c r="DZ56" s="32"/>
      <c r="EA56" s="58"/>
      <c r="EB56" s="32"/>
      <c r="EC56" s="58"/>
      <c r="ED56" s="32"/>
      <c r="EE56" s="217"/>
      <c r="EF56" s="222"/>
      <c r="EG56" s="109"/>
      <c r="EH56" s="223"/>
      <c r="EI56" s="218"/>
      <c r="EJ56" s="218"/>
      <c r="EK56" s="218"/>
      <c r="EL56" s="218"/>
      <c r="EM56" s="218"/>
      <c r="EN56" s="246" t="s">
        <v>209</v>
      </c>
      <c r="EO56" s="246" t="s">
        <v>209</v>
      </c>
      <c r="EP56" s="246" t="s">
        <v>209</v>
      </c>
      <c r="EQ56" s="246" t="s">
        <v>209</v>
      </c>
      <c r="ER56" s="246"/>
      <c r="ES56" s="246"/>
      <c r="ET56" s="246"/>
      <c r="EU56" s="246"/>
      <c r="EV56" s="246"/>
      <c r="EW56" s="246"/>
      <c r="EX56" s="246"/>
      <c r="EY56" s="246"/>
      <c r="EZ56" s="246"/>
      <c r="FA56" s="246"/>
      <c r="FB56" s="59">
        <f>MEDIAN(AS56,DY56)</f>
        <v>110207.86</v>
      </c>
      <c r="FC56" s="59">
        <f>AVERAGE(AS56,DY56)</f>
        <v>110207.86</v>
      </c>
      <c r="FD56" s="60">
        <f>STDEV(AS56,DY56)</f>
        <v>0</v>
      </c>
      <c r="FE56" s="62">
        <f t="shared" si="2"/>
        <v>0</v>
      </c>
      <c r="FF56" s="88">
        <f t="shared" si="8"/>
        <v>92611.764705882364</v>
      </c>
      <c r="FG56" s="88">
        <f t="shared" si="9"/>
        <v>17596.23529411765</v>
      </c>
      <c r="FH56" s="260">
        <f t="shared" si="11"/>
        <v>110208</v>
      </c>
      <c r="FI56" s="260">
        <f t="shared" si="12"/>
        <v>1102080</v>
      </c>
      <c r="FJ56" s="60" t="s">
        <v>1030</v>
      </c>
      <c r="FK56" s="343"/>
    </row>
    <row r="57" spans="1:167" s="40" customFormat="1" ht="58" x14ac:dyDescent="0.35">
      <c r="A57" s="37">
        <v>51</v>
      </c>
      <c r="B57" s="36" t="s">
        <v>247</v>
      </c>
      <c r="C57" s="38" t="s">
        <v>927</v>
      </c>
      <c r="D57" s="232" t="s">
        <v>131</v>
      </c>
      <c r="E57" s="208">
        <v>10</v>
      </c>
      <c r="F57" s="58"/>
      <c r="G57" s="58"/>
      <c r="H57" s="58"/>
      <c r="I57" s="58"/>
      <c r="J57" s="58"/>
      <c r="K57" s="58"/>
      <c r="L57" s="15"/>
      <c r="M57" s="58"/>
      <c r="N57" s="15"/>
      <c r="O57" s="58"/>
      <c r="P57" s="15"/>
      <c r="Q57" s="58"/>
      <c r="R57" s="15"/>
      <c r="S57" s="58"/>
      <c r="T57" s="15"/>
      <c r="U57" s="58"/>
      <c r="V57" s="15"/>
      <c r="W57" s="58"/>
      <c r="X57" s="15"/>
      <c r="Y57" s="58"/>
      <c r="Z57" s="15"/>
      <c r="AA57" s="58"/>
      <c r="AB57" s="15"/>
      <c r="AC57" s="58"/>
      <c r="AD57" s="58"/>
      <c r="AE57" s="58"/>
      <c r="AF57" s="15"/>
      <c r="AG57" s="58"/>
      <c r="AH57" s="15"/>
      <c r="AI57" s="58"/>
      <c r="AJ57" s="15"/>
      <c r="AK57" s="58"/>
      <c r="AL57" s="15"/>
      <c r="AM57" s="58"/>
      <c r="AN57" s="15"/>
      <c r="AO57" s="58"/>
      <c r="AP57" s="15"/>
      <c r="AQ57" s="58"/>
      <c r="AR57" s="15">
        <v>30495</v>
      </c>
      <c r="AS57" s="58">
        <f t="shared" ref="AS57" si="35">+(AR57*5.1%)+AR57</f>
        <v>32050.244999999999</v>
      </c>
      <c r="AT57" s="15"/>
      <c r="AU57" s="58"/>
      <c r="AV57" s="15"/>
      <c r="AW57" s="58"/>
      <c r="AX57" s="15"/>
      <c r="AY57" s="58"/>
      <c r="AZ57" s="15"/>
      <c r="BA57" s="58"/>
      <c r="BB57" s="15"/>
      <c r="BC57" s="58"/>
      <c r="BD57" s="15"/>
      <c r="BE57" s="58"/>
      <c r="BF57" s="15"/>
      <c r="BG57" s="58"/>
      <c r="BH57" s="15"/>
      <c r="BI57" s="58"/>
      <c r="BJ57" s="15"/>
      <c r="BK57" s="58"/>
      <c r="BL57" s="15"/>
      <c r="BM57" s="58"/>
      <c r="BN57" s="15"/>
      <c r="BO57" s="58"/>
      <c r="BP57" s="15"/>
      <c r="BQ57" s="58"/>
      <c r="BR57" s="15"/>
      <c r="BS57" s="58"/>
      <c r="BT57" s="15"/>
      <c r="BU57" s="58"/>
      <c r="BV57" s="15"/>
      <c r="BW57" s="58"/>
      <c r="BX57" s="15"/>
      <c r="BY57" s="58"/>
      <c r="BZ57" s="15"/>
      <c r="CA57" s="58"/>
      <c r="CB57" s="15"/>
      <c r="CC57" s="58"/>
      <c r="CD57" s="15"/>
      <c r="CE57" s="58"/>
      <c r="CF57" s="15"/>
      <c r="CG57" s="58"/>
      <c r="CH57" s="15"/>
      <c r="CI57" s="58"/>
      <c r="CJ57" s="15"/>
      <c r="CK57" s="58"/>
      <c r="CL57" s="15"/>
      <c r="CM57" s="58"/>
      <c r="CN57" s="15"/>
      <c r="CO57" s="58"/>
      <c r="CP57" s="15"/>
      <c r="CQ57" s="58"/>
      <c r="CR57" s="15"/>
      <c r="CS57" s="58"/>
      <c r="CT57" s="15"/>
      <c r="CU57" s="58"/>
      <c r="CV57" s="15"/>
      <c r="CW57" s="58"/>
      <c r="CX57" s="15"/>
      <c r="CY57" s="58"/>
      <c r="CZ57" s="15"/>
      <c r="DA57" s="58"/>
      <c r="DB57" s="15"/>
      <c r="DC57" s="58"/>
      <c r="DD57" s="15"/>
      <c r="DE57" s="58"/>
      <c r="DF57" s="32"/>
      <c r="DG57" s="58"/>
      <c r="DH57" s="32"/>
      <c r="DI57" s="58"/>
      <c r="DJ57" s="32"/>
      <c r="DK57" s="58"/>
      <c r="DL57" s="32"/>
      <c r="DM57" s="58"/>
      <c r="DN57" s="32"/>
      <c r="DO57" s="58"/>
      <c r="DP57" s="32"/>
      <c r="DQ57" s="58"/>
      <c r="DR57" s="32"/>
      <c r="DS57" s="58"/>
      <c r="DT57" s="32"/>
      <c r="DU57" s="58"/>
      <c r="DV57" s="32"/>
      <c r="DW57" s="58"/>
      <c r="DX57" s="32">
        <v>30495</v>
      </c>
      <c r="DY57" s="58">
        <f t="shared" ref="DY57" si="36">+(DX57*5.1%)+DX57</f>
        <v>32050.244999999999</v>
      </c>
      <c r="DZ57" s="32"/>
      <c r="EA57" s="58"/>
      <c r="EB57" s="32"/>
      <c r="EC57" s="58"/>
      <c r="ED57" s="32"/>
      <c r="EE57" s="217"/>
      <c r="EF57" s="222"/>
      <c r="EG57" s="109"/>
      <c r="EH57" s="223"/>
      <c r="EI57" s="218"/>
      <c r="EJ57" s="218"/>
      <c r="EK57" s="218"/>
      <c r="EL57" s="218"/>
      <c r="EM57" s="218"/>
      <c r="EN57" s="246" t="s">
        <v>209</v>
      </c>
      <c r="EO57" s="246" t="s">
        <v>209</v>
      </c>
      <c r="EP57" s="246" t="s">
        <v>209</v>
      </c>
      <c r="EQ57" s="246" t="s">
        <v>209</v>
      </c>
      <c r="ER57" s="246"/>
      <c r="ES57" s="246"/>
      <c r="ET57" s="246"/>
      <c r="EU57" s="246"/>
      <c r="EV57" s="246"/>
      <c r="EW57" s="246"/>
      <c r="EX57" s="246"/>
      <c r="EY57" s="246"/>
      <c r="EZ57" s="246"/>
      <c r="FA57" s="246"/>
      <c r="FB57" s="59">
        <f>MEDIAN(AS57,DY57)</f>
        <v>32050.244999999999</v>
      </c>
      <c r="FC57" s="59">
        <f>AVERAGE(AS57,DY57)</f>
        <v>32050.244999999999</v>
      </c>
      <c r="FD57" s="60">
        <f>STDEV(AS57,DY57)</f>
        <v>0</v>
      </c>
      <c r="FE57" s="61">
        <f t="shared" si="2"/>
        <v>0</v>
      </c>
      <c r="FF57" s="88">
        <f t="shared" si="8"/>
        <v>26933.613445378152</v>
      </c>
      <c r="FG57" s="88">
        <f t="shared" si="9"/>
        <v>5117.3865546218494</v>
      </c>
      <c r="FH57" s="260">
        <f t="shared" si="11"/>
        <v>32051</v>
      </c>
      <c r="FI57" s="260">
        <f t="shared" si="12"/>
        <v>320510</v>
      </c>
      <c r="FJ57" s="60" t="s">
        <v>1030</v>
      </c>
      <c r="FK57" s="343"/>
    </row>
    <row r="58" spans="1:167" s="40" customFormat="1" ht="58" x14ac:dyDescent="0.35">
      <c r="A58" s="37">
        <v>52</v>
      </c>
      <c r="B58" s="210" t="s">
        <v>248</v>
      </c>
      <c r="C58" s="38" t="s">
        <v>928</v>
      </c>
      <c r="D58" s="249" t="s">
        <v>64</v>
      </c>
      <c r="E58" s="220">
        <v>10</v>
      </c>
      <c r="F58" s="58"/>
      <c r="G58" s="58"/>
      <c r="H58" s="58"/>
      <c r="I58" s="58"/>
      <c r="J58" s="58"/>
      <c r="K58" s="58"/>
      <c r="L58" s="15"/>
      <c r="M58" s="58"/>
      <c r="N58" s="15"/>
      <c r="O58" s="58"/>
      <c r="P58" s="15"/>
      <c r="Q58" s="58"/>
      <c r="R58" s="15"/>
      <c r="S58" s="58"/>
      <c r="T58" s="15"/>
      <c r="U58" s="58"/>
      <c r="V58" s="15"/>
      <c r="W58" s="58"/>
      <c r="X58" s="15"/>
      <c r="Y58" s="58"/>
      <c r="Z58" s="15"/>
      <c r="AA58" s="58"/>
      <c r="AB58" s="15"/>
      <c r="AC58" s="58"/>
      <c r="AD58" s="58">
        <v>182546</v>
      </c>
      <c r="AE58" s="58">
        <f t="shared" ref="AE58:AE59" si="37">+(AD58*5.1%)+AD58</f>
        <v>191855.84599999999</v>
      </c>
      <c r="AF58" s="15"/>
      <c r="AG58" s="58"/>
      <c r="AH58" s="15">
        <v>148000</v>
      </c>
      <c r="AI58" s="58">
        <f t="shared" ref="AI58:AI61" si="38">+(AH58*5.1%)+AH58</f>
        <v>155548</v>
      </c>
      <c r="AJ58" s="15"/>
      <c r="AK58" s="58"/>
      <c r="AL58" s="15"/>
      <c r="AM58" s="58"/>
      <c r="AN58" s="15"/>
      <c r="AO58" s="58"/>
      <c r="AP58" s="15"/>
      <c r="AQ58" s="58"/>
      <c r="AR58" s="15">
        <v>154700</v>
      </c>
      <c r="AS58" s="58">
        <f t="shared" ref="AS58:AS61" si="39">+(AR58*5.1%)+AR58</f>
        <v>162589.70000000001</v>
      </c>
      <c r="AT58" s="15"/>
      <c r="AU58" s="58"/>
      <c r="AV58" s="15"/>
      <c r="AW58" s="58"/>
      <c r="AX58" s="15"/>
      <c r="AY58" s="58"/>
      <c r="AZ58" s="15"/>
      <c r="BA58" s="58"/>
      <c r="BB58" s="15"/>
      <c r="BC58" s="58"/>
      <c r="BD58" s="15"/>
      <c r="BE58" s="58"/>
      <c r="BF58" s="15"/>
      <c r="BG58" s="58"/>
      <c r="BH58" s="15"/>
      <c r="BI58" s="58"/>
      <c r="BJ58" s="15"/>
      <c r="BK58" s="58"/>
      <c r="BL58" s="15"/>
      <c r="BM58" s="58"/>
      <c r="BN58" s="15"/>
      <c r="BO58" s="58"/>
      <c r="BP58" s="15"/>
      <c r="BQ58" s="58"/>
      <c r="BR58" s="15"/>
      <c r="BS58" s="58"/>
      <c r="BT58" s="15"/>
      <c r="BU58" s="58"/>
      <c r="BV58" s="15"/>
      <c r="BW58" s="58"/>
      <c r="BX58" s="15"/>
      <c r="BY58" s="58"/>
      <c r="BZ58" s="15"/>
      <c r="CA58" s="58"/>
      <c r="CB58" s="15"/>
      <c r="CC58" s="58"/>
      <c r="CD58" s="15"/>
      <c r="CE58" s="58"/>
      <c r="CF58" s="15"/>
      <c r="CG58" s="58"/>
      <c r="CH58" s="15"/>
      <c r="CI58" s="58"/>
      <c r="CJ58" s="15"/>
      <c r="CK58" s="58"/>
      <c r="CL58" s="15"/>
      <c r="CM58" s="58"/>
      <c r="CN58" s="15"/>
      <c r="CO58" s="58"/>
      <c r="CP58" s="15"/>
      <c r="CQ58" s="58"/>
      <c r="CR58" s="15"/>
      <c r="CS58" s="58"/>
      <c r="CT58" s="15"/>
      <c r="CU58" s="58"/>
      <c r="CV58" s="15"/>
      <c r="CW58" s="58"/>
      <c r="CX58" s="15"/>
      <c r="CY58" s="58"/>
      <c r="CZ58" s="15"/>
      <c r="DA58" s="58"/>
      <c r="DB58" s="15"/>
      <c r="DC58" s="58"/>
      <c r="DD58" s="15"/>
      <c r="DE58" s="58"/>
      <c r="DF58" s="15"/>
      <c r="DG58" s="58"/>
      <c r="DH58" s="15"/>
      <c r="DI58" s="58"/>
      <c r="DJ58" s="15"/>
      <c r="DK58" s="58"/>
      <c r="DL58" s="15"/>
      <c r="DM58" s="58"/>
      <c r="DN58" s="15"/>
      <c r="DO58" s="58"/>
      <c r="DP58" s="15"/>
      <c r="DQ58" s="58"/>
      <c r="DR58" s="15"/>
      <c r="DS58" s="58"/>
      <c r="DT58" s="15"/>
      <c r="DU58" s="58"/>
      <c r="DV58" s="15"/>
      <c r="DW58" s="58"/>
      <c r="DX58" s="15"/>
      <c r="DY58" s="58">
        <f t="shared" ref="DY58" si="40">+(DX58*5.1%)+DX58</f>
        <v>0</v>
      </c>
      <c r="DZ58" s="15"/>
      <c r="EA58" s="58"/>
      <c r="EB58" s="15"/>
      <c r="EC58" s="58"/>
      <c r="ED58" s="15"/>
      <c r="EE58" s="217"/>
      <c r="EF58" s="222"/>
      <c r="EG58" s="109"/>
      <c r="EH58" s="223"/>
      <c r="EI58" s="224"/>
      <c r="EJ58" s="224"/>
      <c r="EK58" s="224"/>
      <c r="EL58" s="224"/>
      <c r="EM58" s="224"/>
      <c r="EN58" s="247" t="s">
        <v>209</v>
      </c>
      <c r="EO58" s="247" t="s">
        <v>209</v>
      </c>
      <c r="EP58" s="247" t="s">
        <v>209</v>
      </c>
      <c r="EQ58" s="247" t="s">
        <v>209</v>
      </c>
      <c r="ER58" s="247"/>
      <c r="ES58" s="247"/>
      <c r="ET58" s="247"/>
      <c r="EU58" s="247"/>
      <c r="EV58" s="247"/>
      <c r="EW58" s="247"/>
      <c r="EX58" s="247"/>
      <c r="EY58" s="247"/>
      <c r="EZ58" s="247"/>
      <c r="FA58" s="247"/>
      <c r="FB58" s="63">
        <f>MEDIAN(AE58,AI58,AS58)</f>
        <v>162589.70000000001</v>
      </c>
      <c r="FC58" s="63">
        <f>AVERAGE(AE58,AI58,AS58)</f>
        <v>169997.84866666669</v>
      </c>
      <c r="FD58" s="64">
        <f>STDEV(AE58,AI58,AS58)</f>
        <v>19254.231230836122</v>
      </c>
      <c r="FE58" s="62">
        <f t="shared" si="2"/>
        <v>0.11326161702546007</v>
      </c>
      <c r="FF58" s="88">
        <f t="shared" si="8"/>
        <v>142855.46218487396</v>
      </c>
      <c r="FG58" s="88">
        <f t="shared" si="9"/>
        <v>27142.537815126052</v>
      </c>
      <c r="FH58" s="74">
        <f t="shared" si="11"/>
        <v>169998</v>
      </c>
      <c r="FI58" s="260">
        <f t="shared" si="12"/>
        <v>1699980</v>
      </c>
      <c r="FJ58" s="60" t="s">
        <v>1033</v>
      </c>
    </row>
    <row r="59" spans="1:167" s="40" customFormat="1" ht="72.5" x14ac:dyDescent="0.35">
      <c r="A59" s="36">
        <v>53</v>
      </c>
      <c r="B59" s="210" t="s">
        <v>885</v>
      </c>
      <c r="C59" s="38" t="s">
        <v>929</v>
      </c>
      <c r="D59" s="249" t="s">
        <v>64</v>
      </c>
      <c r="E59" s="220">
        <v>10</v>
      </c>
      <c r="F59" s="58"/>
      <c r="G59" s="58"/>
      <c r="H59" s="58"/>
      <c r="I59" s="58"/>
      <c r="J59" s="58"/>
      <c r="K59" s="58"/>
      <c r="L59" s="15"/>
      <c r="M59" s="15"/>
      <c r="N59" s="15"/>
      <c r="O59" s="15"/>
      <c r="P59" s="15"/>
      <c r="Q59" s="15"/>
      <c r="R59" s="15"/>
      <c r="S59" s="15"/>
      <c r="T59" s="15"/>
      <c r="U59" s="15"/>
      <c r="V59" s="15"/>
      <c r="W59" s="15"/>
      <c r="X59" s="15"/>
      <c r="Y59" s="15"/>
      <c r="Z59" s="15"/>
      <c r="AA59" s="15"/>
      <c r="AB59" s="15"/>
      <c r="AC59" s="15"/>
      <c r="AD59" s="58">
        <v>67401.599999999991</v>
      </c>
      <c r="AE59" s="58">
        <f t="shared" si="37"/>
        <v>70839.08159999999</v>
      </c>
      <c r="AF59" s="15"/>
      <c r="AG59" s="15"/>
      <c r="AH59" s="15">
        <v>72000</v>
      </c>
      <c r="AI59" s="58">
        <f t="shared" si="38"/>
        <v>75672</v>
      </c>
      <c r="AJ59" s="15"/>
      <c r="AK59" s="15"/>
      <c r="AL59" s="15"/>
      <c r="AM59" s="15"/>
      <c r="AN59" s="15"/>
      <c r="AO59" s="15"/>
      <c r="AP59" s="15"/>
      <c r="AQ59" s="15"/>
      <c r="AR59" s="15">
        <v>51360</v>
      </c>
      <c r="AS59" s="58">
        <f t="shared" si="39"/>
        <v>53979.360000000001</v>
      </c>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37"/>
      <c r="EG59" s="109"/>
      <c r="EH59" s="248"/>
      <c r="EI59" s="249"/>
      <c r="EJ59" s="37"/>
      <c r="EK59" s="37"/>
      <c r="EL59" s="37"/>
      <c r="EM59" s="37"/>
      <c r="EN59" s="237" t="s">
        <v>209</v>
      </c>
      <c r="EO59" s="250" t="s">
        <v>209</v>
      </c>
      <c r="EP59" s="250" t="s">
        <v>209</v>
      </c>
      <c r="EQ59" s="250" t="s">
        <v>209</v>
      </c>
      <c r="ER59" s="250"/>
      <c r="ES59" s="250"/>
      <c r="ET59" s="250"/>
      <c r="EU59" s="250"/>
      <c r="EV59" s="250"/>
      <c r="EW59" s="250"/>
      <c r="EX59" s="250"/>
      <c r="EY59" s="250"/>
      <c r="EZ59" s="250"/>
      <c r="FA59" s="250"/>
      <c r="FB59" s="63">
        <f>MEDIAN(AE59,AI59,AS59)</f>
        <v>70839.08159999999</v>
      </c>
      <c r="FC59" s="63">
        <f>AVERAGE(AE59,AI59,AS59)</f>
        <v>66830.147199999992</v>
      </c>
      <c r="FD59" s="64">
        <f>STDEV(AE59,AI59,AS59)</f>
        <v>11388.429382932005</v>
      </c>
      <c r="FE59" s="62">
        <f t="shared" si="2"/>
        <v>0.17040856350129371</v>
      </c>
      <c r="FF59" s="88">
        <f t="shared" si="8"/>
        <v>59529.411764705888</v>
      </c>
      <c r="FG59" s="88">
        <f t="shared" si="9"/>
        <v>11310.588235294119</v>
      </c>
      <c r="FH59" s="74">
        <f t="shared" si="11"/>
        <v>70840</v>
      </c>
      <c r="FI59" s="260">
        <f t="shared" si="12"/>
        <v>708400</v>
      </c>
      <c r="FJ59" s="60" t="s">
        <v>1034</v>
      </c>
    </row>
    <row r="60" spans="1:167" s="40" customFormat="1" ht="58" x14ac:dyDescent="0.35">
      <c r="A60" s="37">
        <v>54</v>
      </c>
      <c r="B60" s="210" t="s">
        <v>932</v>
      </c>
      <c r="C60" s="38" t="s">
        <v>930</v>
      </c>
      <c r="D60" s="249" t="s">
        <v>64</v>
      </c>
      <c r="E60" s="220">
        <v>5</v>
      </c>
      <c r="F60" s="58"/>
      <c r="G60" s="58"/>
      <c r="H60" s="58"/>
      <c r="I60" s="58"/>
      <c r="J60" s="58"/>
      <c r="K60" s="58"/>
      <c r="L60" s="15"/>
      <c r="M60" s="58"/>
      <c r="N60" s="15"/>
      <c r="O60" s="58"/>
      <c r="P60" s="15"/>
      <c r="Q60" s="58"/>
      <c r="R60" s="15"/>
      <c r="S60" s="58"/>
      <c r="T60" s="15"/>
      <c r="U60" s="58"/>
      <c r="V60" s="15"/>
      <c r="W60" s="58"/>
      <c r="X60" s="15"/>
      <c r="Y60" s="58"/>
      <c r="Z60" s="15"/>
      <c r="AA60" s="58"/>
      <c r="AB60" s="15"/>
      <c r="AC60" s="58"/>
      <c r="AD60" s="58">
        <v>21063</v>
      </c>
      <c r="AE60" s="58">
        <f t="shared" ref="AE60" si="41">+(AD60*5.1%)+AD60</f>
        <v>22137.213</v>
      </c>
      <c r="AF60" s="15"/>
      <c r="AG60" s="58"/>
      <c r="AH60" s="15">
        <v>133000</v>
      </c>
      <c r="AI60" s="58">
        <f t="shared" si="38"/>
        <v>139783</v>
      </c>
      <c r="AJ60" s="15"/>
      <c r="AK60" s="58"/>
      <c r="AL60" s="15"/>
      <c r="AM60" s="58"/>
      <c r="AN60" s="15"/>
      <c r="AO60" s="58"/>
      <c r="AP60" s="15"/>
      <c r="AQ60" s="58"/>
      <c r="AR60" s="15">
        <v>95230</v>
      </c>
      <c r="AS60" s="58">
        <f t="shared" si="39"/>
        <v>100086.73</v>
      </c>
      <c r="AT60" s="15"/>
      <c r="AU60" s="58"/>
      <c r="AV60" s="15"/>
      <c r="AW60" s="58"/>
      <c r="AX60" s="15"/>
      <c r="AY60" s="58"/>
      <c r="AZ60" s="15"/>
      <c r="BA60" s="58"/>
      <c r="BB60" s="15"/>
      <c r="BC60" s="58"/>
      <c r="BD60" s="15"/>
      <c r="BE60" s="58"/>
      <c r="BF60" s="15"/>
      <c r="BG60" s="58"/>
      <c r="BH60" s="15"/>
      <c r="BI60" s="58"/>
      <c r="BJ60" s="15"/>
      <c r="BK60" s="58"/>
      <c r="BL60" s="15"/>
      <c r="BM60" s="58"/>
      <c r="BN60" s="15"/>
      <c r="BO60" s="58"/>
      <c r="BP60" s="15"/>
      <c r="BQ60" s="58"/>
      <c r="BR60" s="15"/>
      <c r="BS60" s="58"/>
      <c r="BT60" s="15"/>
      <c r="BU60" s="58"/>
      <c r="BV60" s="15"/>
      <c r="BW60" s="58"/>
      <c r="BX60" s="15"/>
      <c r="BY60" s="58"/>
      <c r="BZ60" s="15"/>
      <c r="CA60" s="58"/>
      <c r="CB60" s="15"/>
      <c r="CC60" s="58"/>
      <c r="CD60" s="15"/>
      <c r="CE60" s="58"/>
      <c r="CF60" s="15"/>
      <c r="CG60" s="58"/>
      <c r="CH60" s="15"/>
      <c r="CI60" s="58"/>
      <c r="CJ60" s="15"/>
      <c r="CK60" s="58"/>
      <c r="CL60" s="15"/>
      <c r="CM60" s="58"/>
      <c r="CN60" s="15"/>
      <c r="CO60" s="58"/>
      <c r="CP60" s="15"/>
      <c r="CQ60" s="58"/>
      <c r="CR60" s="15"/>
      <c r="CS60" s="58"/>
      <c r="CT60" s="15"/>
      <c r="CU60" s="58"/>
      <c r="CV60" s="15"/>
      <c r="CW60" s="58"/>
      <c r="CX60" s="15"/>
      <c r="CY60" s="58"/>
      <c r="CZ60" s="15"/>
      <c r="DA60" s="58"/>
      <c r="DB60" s="15"/>
      <c r="DC60" s="58"/>
      <c r="DD60" s="15"/>
      <c r="DE60" s="58"/>
      <c r="DF60" s="15"/>
      <c r="DG60" s="58"/>
      <c r="DH60" s="15"/>
      <c r="DI60" s="58"/>
      <c r="DJ60" s="15"/>
      <c r="DK60" s="58"/>
      <c r="DL60" s="15"/>
      <c r="DM60" s="58"/>
      <c r="DN60" s="15"/>
      <c r="DO60" s="58"/>
      <c r="DP60" s="15"/>
      <c r="DQ60" s="58"/>
      <c r="DR60" s="15"/>
      <c r="DS60" s="58"/>
      <c r="DT60" s="15"/>
      <c r="DU60" s="58"/>
      <c r="DV60" s="15"/>
      <c r="DW60" s="58"/>
      <c r="DX60" s="15"/>
      <c r="DY60" s="58"/>
      <c r="DZ60" s="15"/>
      <c r="EA60" s="58"/>
      <c r="EB60" s="15"/>
      <c r="EC60" s="58"/>
      <c r="ED60" s="15"/>
      <c r="EE60" s="217"/>
      <c r="EF60" s="238"/>
      <c r="EG60" s="239"/>
      <c r="EH60" s="240"/>
      <c r="EI60" s="224"/>
      <c r="EJ60" s="224"/>
      <c r="EK60" s="224"/>
      <c r="EL60" s="224"/>
      <c r="EM60" s="224"/>
      <c r="EN60" s="246"/>
      <c r="EO60" s="246"/>
      <c r="EP60" s="246"/>
      <c r="EQ60" s="246"/>
      <c r="ER60" s="246"/>
      <c r="ES60" s="246"/>
      <c r="ET60" s="246"/>
      <c r="EU60" s="246"/>
      <c r="EV60" s="246"/>
      <c r="EW60" s="246"/>
      <c r="EX60" s="246"/>
      <c r="EY60" s="246"/>
      <c r="EZ60" s="246"/>
      <c r="FA60" s="246"/>
      <c r="FB60" s="63">
        <f>MEDIAN(AI60,AS60)</f>
        <v>119934.86499999999</v>
      </c>
      <c r="FC60" s="63">
        <f>AVERAGE(AI60,AS60)</f>
        <v>119934.86499999999</v>
      </c>
      <c r="FD60" s="64">
        <f>STDEV(AI60,AS60)</f>
        <v>28069.501704812203</v>
      </c>
      <c r="FE60" s="62">
        <f t="shared" si="2"/>
        <v>0.23403954892359452</v>
      </c>
      <c r="FF60" s="88">
        <f t="shared" si="8"/>
        <v>100785.71428571429</v>
      </c>
      <c r="FG60" s="88">
        <f t="shared" si="9"/>
        <v>19149.285714285714</v>
      </c>
      <c r="FH60" s="74">
        <f t="shared" si="11"/>
        <v>119935</v>
      </c>
      <c r="FI60" s="260">
        <f t="shared" si="12"/>
        <v>599675</v>
      </c>
      <c r="FJ60" s="60" t="s">
        <v>1035</v>
      </c>
    </row>
    <row r="61" spans="1:167" s="40" customFormat="1" ht="43.5" x14ac:dyDescent="0.35">
      <c r="A61" s="37">
        <v>55</v>
      </c>
      <c r="B61" s="210" t="s">
        <v>935</v>
      </c>
      <c r="C61" s="38" t="s">
        <v>931</v>
      </c>
      <c r="D61" s="249" t="s">
        <v>64</v>
      </c>
      <c r="E61" s="220">
        <v>4</v>
      </c>
      <c r="F61" s="58"/>
      <c r="G61" s="58"/>
      <c r="H61" s="58"/>
      <c r="I61" s="58"/>
      <c r="J61" s="58"/>
      <c r="K61" s="58"/>
      <c r="L61" s="15"/>
      <c r="M61" s="58"/>
      <c r="N61" s="15"/>
      <c r="O61" s="58"/>
      <c r="P61" s="15"/>
      <c r="Q61" s="58"/>
      <c r="R61" s="15"/>
      <c r="S61" s="58"/>
      <c r="T61" s="15"/>
      <c r="U61" s="58"/>
      <c r="V61" s="15"/>
      <c r="W61" s="58"/>
      <c r="X61" s="15"/>
      <c r="Y61" s="58"/>
      <c r="Z61" s="15"/>
      <c r="AA61" s="58"/>
      <c r="AB61" s="15"/>
      <c r="AC61" s="58"/>
      <c r="AD61" s="58">
        <v>39317.599999999999</v>
      </c>
      <c r="AE61" s="58">
        <f t="shared" ref="AE61" si="42">+(AD61*5.1%)+AD61</f>
        <v>41322.797599999998</v>
      </c>
      <c r="AF61" s="15"/>
      <c r="AG61" s="58"/>
      <c r="AH61" s="15">
        <f>+(28000*26)+28000</f>
        <v>756000</v>
      </c>
      <c r="AI61" s="58">
        <f t="shared" si="38"/>
        <v>794556</v>
      </c>
      <c r="AJ61" s="15"/>
      <c r="AK61" s="58"/>
      <c r="AL61" s="15"/>
      <c r="AM61" s="58"/>
      <c r="AN61" s="15"/>
      <c r="AO61" s="58"/>
      <c r="AP61" s="15"/>
      <c r="AQ61" s="58"/>
      <c r="AR61" s="15">
        <v>35280</v>
      </c>
      <c r="AS61" s="58">
        <f t="shared" si="39"/>
        <v>37079.279999999999</v>
      </c>
      <c r="AT61" s="15"/>
      <c r="AU61" s="58"/>
      <c r="AV61" s="15"/>
      <c r="AW61" s="58"/>
      <c r="AX61" s="15"/>
      <c r="AY61" s="58"/>
      <c r="AZ61" s="15"/>
      <c r="BA61" s="58"/>
      <c r="BB61" s="15"/>
      <c r="BC61" s="58"/>
      <c r="BD61" s="15"/>
      <c r="BE61" s="58"/>
      <c r="BF61" s="15"/>
      <c r="BG61" s="58"/>
      <c r="BH61" s="15"/>
      <c r="BI61" s="58"/>
      <c r="BJ61" s="15"/>
      <c r="BK61" s="58"/>
      <c r="BL61" s="15"/>
      <c r="BM61" s="58"/>
      <c r="BN61" s="15"/>
      <c r="BO61" s="58"/>
      <c r="BP61" s="15"/>
      <c r="BQ61" s="58"/>
      <c r="BR61" s="15"/>
      <c r="BS61" s="58"/>
      <c r="BT61" s="15"/>
      <c r="BU61" s="58"/>
      <c r="BV61" s="15"/>
      <c r="BW61" s="58"/>
      <c r="BX61" s="15"/>
      <c r="BY61" s="58"/>
      <c r="BZ61" s="15"/>
      <c r="CA61" s="58"/>
      <c r="CB61" s="15"/>
      <c r="CC61" s="58"/>
      <c r="CD61" s="15"/>
      <c r="CE61" s="58"/>
      <c r="CF61" s="15"/>
      <c r="CG61" s="58"/>
      <c r="CH61" s="15"/>
      <c r="CI61" s="58"/>
      <c r="CJ61" s="15"/>
      <c r="CK61" s="58"/>
      <c r="CL61" s="15"/>
      <c r="CM61" s="58"/>
      <c r="CN61" s="15"/>
      <c r="CO61" s="58"/>
      <c r="CP61" s="15"/>
      <c r="CQ61" s="58"/>
      <c r="CR61" s="15"/>
      <c r="CS61" s="58"/>
      <c r="CT61" s="15"/>
      <c r="CU61" s="58"/>
      <c r="CV61" s="15"/>
      <c r="CW61" s="58"/>
      <c r="CX61" s="15"/>
      <c r="CY61" s="58"/>
      <c r="CZ61" s="15"/>
      <c r="DA61" s="58"/>
      <c r="DB61" s="15"/>
      <c r="DC61" s="58"/>
      <c r="DD61" s="15"/>
      <c r="DE61" s="58"/>
      <c r="DF61" s="15"/>
      <c r="DG61" s="58"/>
      <c r="DH61" s="15"/>
      <c r="DI61" s="58"/>
      <c r="DJ61" s="15"/>
      <c r="DK61" s="58"/>
      <c r="DL61" s="15"/>
      <c r="DM61" s="58"/>
      <c r="DN61" s="15"/>
      <c r="DO61" s="58"/>
      <c r="DP61" s="15"/>
      <c r="DQ61" s="58"/>
      <c r="DR61" s="15"/>
      <c r="DS61" s="58"/>
      <c r="DT61" s="15"/>
      <c r="DU61" s="58"/>
      <c r="DV61" s="15"/>
      <c r="DW61" s="58"/>
      <c r="DX61" s="15"/>
      <c r="DY61" s="58"/>
      <c r="DZ61" s="15"/>
      <c r="EA61" s="58"/>
      <c r="EB61" s="15"/>
      <c r="EC61" s="58"/>
      <c r="ED61" s="15"/>
      <c r="EE61" s="217"/>
      <c r="EF61" s="222"/>
      <c r="EG61" s="37"/>
      <c r="EH61" s="222"/>
      <c r="EI61" s="224"/>
      <c r="EJ61" s="224"/>
      <c r="EK61" s="224"/>
      <c r="EL61" s="224"/>
      <c r="EM61" s="224"/>
      <c r="EN61" s="246"/>
      <c r="EO61" s="246"/>
      <c r="EP61" s="246"/>
      <c r="EQ61" s="246"/>
      <c r="ER61" s="246"/>
      <c r="ES61" s="246"/>
      <c r="ET61" s="246"/>
      <c r="EU61" s="246"/>
      <c r="EV61" s="246"/>
      <c r="EW61" s="246"/>
      <c r="EX61" s="246"/>
      <c r="EY61" s="246"/>
      <c r="EZ61" s="246"/>
      <c r="FA61" s="246"/>
      <c r="FB61" s="63">
        <f>MEDIAN(AE61,AS61)</f>
        <v>39201.038799999995</v>
      </c>
      <c r="FC61" s="63">
        <f>AVERAGE(AE61,AS61)</f>
        <v>39201.038799999995</v>
      </c>
      <c r="FD61" s="64">
        <f>STDEV(AE61,AS61)</f>
        <v>3000.6200710444627</v>
      </c>
      <c r="FE61" s="62">
        <f t="shared" si="2"/>
        <v>7.6544401957135466E-2</v>
      </c>
      <c r="FF61" s="88">
        <f t="shared" si="8"/>
        <v>32942.857142857145</v>
      </c>
      <c r="FG61" s="88">
        <f t="shared" si="9"/>
        <v>6259.1428571428578</v>
      </c>
      <c r="FH61" s="74">
        <f t="shared" si="11"/>
        <v>39202</v>
      </c>
      <c r="FI61" s="260">
        <f t="shared" si="12"/>
        <v>156808</v>
      </c>
      <c r="FJ61" s="60" t="s">
        <v>1032</v>
      </c>
    </row>
    <row r="62" spans="1:167" s="40" customFormat="1" ht="58" x14ac:dyDescent="0.35">
      <c r="A62" s="36">
        <v>56</v>
      </c>
      <c r="B62" s="210" t="s">
        <v>249</v>
      </c>
      <c r="C62" s="38" t="s">
        <v>933</v>
      </c>
      <c r="D62" s="249" t="s">
        <v>64</v>
      </c>
      <c r="E62" s="220">
        <v>2</v>
      </c>
      <c r="F62" s="58"/>
      <c r="G62" s="58"/>
      <c r="H62" s="58"/>
      <c r="I62" s="58"/>
      <c r="J62" s="58"/>
      <c r="K62" s="58"/>
      <c r="L62" s="15"/>
      <c r="M62" s="58"/>
      <c r="N62" s="15"/>
      <c r="O62" s="58"/>
      <c r="P62" s="15"/>
      <c r="Q62" s="58"/>
      <c r="R62" s="15"/>
      <c r="S62" s="58"/>
      <c r="T62" s="15"/>
      <c r="U62" s="58"/>
      <c r="V62" s="15"/>
      <c r="W62" s="58"/>
      <c r="X62" s="15"/>
      <c r="Y62" s="58"/>
      <c r="Z62" s="15"/>
      <c r="AA62" s="58"/>
      <c r="AB62" s="15"/>
      <c r="AC62" s="58"/>
      <c r="AD62" s="58">
        <v>23169.3</v>
      </c>
      <c r="AE62" s="58">
        <f t="shared" ref="AE62" si="43">+(AD62*5.1%)+AD62</f>
        <v>24350.934300000001</v>
      </c>
      <c r="AF62" s="15"/>
      <c r="AG62" s="58"/>
      <c r="AH62" s="15">
        <v>25000</v>
      </c>
      <c r="AI62" s="58">
        <f t="shared" ref="AI62" si="44">+(AH62*5.1%)+AH62</f>
        <v>26275</v>
      </c>
      <c r="AJ62" s="15"/>
      <c r="AK62" s="58"/>
      <c r="AL62" s="15"/>
      <c r="AM62" s="58"/>
      <c r="AN62" s="15"/>
      <c r="AO62" s="58"/>
      <c r="AP62" s="15"/>
      <c r="AQ62" s="58"/>
      <c r="AR62" s="15"/>
      <c r="AS62" s="58"/>
      <c r="AT62" s="15"/>
      <c r="AU62" s="58"/>
      <c r="AV62" s="15"/>
      <c r="AW62" s="58"/>
      <c r="AX62" s="15"/>
      <c r="AY62" s="58"/>
      <c r="AZ62" s="15"/>
      <c r="BA62" s="58"/>
      <c r="BB62" s="15"/>
      <c r="BC62" s="58"/>
      <c r="BD62" s="15"/>
      <c r="BE62" s="58"/>
      <c r="BF62" s="15"/>
      <c r="BG62" s="58"/>
      <c r="BH62" s="15"/>
      <c r="BI62" s="58"/>
      <c r="BJ62" s="15"/>
      <c r="BK62" s="58"/>
      <c r="BL62" s="15"/>
      <c r="BM62" s="58"/>
      <c r="BN62" s="15"/>
      <c r="BO62" s="58"/>
      <c r="BP62" s="15"/>
      <c r="BQ62" s="58"/>
      <c r="BR62" s="15"/>
      <c r="BS62" s="58"/>
      <c r="BT62" s="15"/>
      <c r="BU62" s="58"/>
      <c r="BV62" s="15"/>
      <c r="BW62" s="58"/>
      <c r="BX62" s="15"/>
      <c r="BY62" s="58"/>
      <c r="BZ62" s="15"/>
      <c r="CA62" s="58"/>
      <c r="CB62" s="15"/>
      <c r="CC62" s="58"/>
      <c r="CD62" s="15"/>
      <c r="CE62" s="58"/>
      <c r="CF62" s="15"/>
      <c r="CG62" s="58"/>
      <c r="CH62" s="15"/>
      <c r="CI62" s="58"/>
      <c r="CJ62" s="15"/>
      <c r="CK62" s="58"/>
      <c r="CL62" s="15"/>
      <c r="CM62" s="58"/>
      <c r="CN62" s="15"/>
      <c r="CO62" s="58"/>
      <c r="CP62" s="15"/>
      <c r="CQ62" s="58"/>
      <c r="CR62" s="15"/>
      <c r="CS62" s="58"/>
      <c r="CT62" s="15"/>
      <c r="CU62" s="58"/>
      <c r="CV62" s="15"/>
      <c r="CW62" s="58"/>
      <c r="CX62" s="15"/>
      <c r="CY62" s="58"/>
      <c r="CZ62" s="15"/>
      <c r="DA62" s="58"/>
      <c r="DB62" s="15"/>
      <c r="DC62" s="58"/>
      <c r="DD62" s="15"/>
      <c r="DE62" s="58"/>
      <c r="DF62" s="15"/>
      <c r="DG62" s="58"/>
      <c r="DH62" s="15"/>
      <c r="DI62" s="58"/>
      <c r="DJ62" s="15"/>
      <c r="DK62" s="58"/>
      <c r="DL62" s="15"/>
      <c r="DM62" s="58"/>
      <c r="DN62" s="15"/>
      <c r="DO62" s="58"/>
      <c r="DP62" s="15"/>
      <c r="DQ62" s="58"/>
      <c r="DR62" s="15"/>
      <c r="DS62" s="58"/>
      <c r="DT62" s="15"/>
      <c r="DU62" s="58"/>
      <c r="DV62" s="15"/>
      <c r="DW62" s="58"/>
      <c r="DX62" s="15"/>
      <c r="DY62" s="58"/>
      <c r="DZ62" s="15"/>
      <c r="EA62" s="58"/>
      <c r="EB62" s="15"/>
      <c r="EC62" s="58"/>
      <c r="ED62" s="15"/>
      <c r="EE62" s="217"/>
      <c r="EF62" s="222"/>
      <c r="EG62" s="37"/>
      <c r="EH62" s="222"/>
      <c r="EI62" s="224"/>
      <c r="EJ62" s="224"/>
      <c r="EK62" s="224"/>
      <c r="EL62" s="224"/>
      <c r="EM62" s="224"/>
      <c r="EN62" s="246"/>
      <c r="EO62" s="246"/>
      <c r="EP62" s="246"/>
      <c r="EQ62" s="246"/>
      <c r="ER62" s="246"/>
      <c r="ES62" s="246"/>
      <c r="ET62" s="246"/>
      <c r="EU62" s="246"/>
      <c r="EV62" s="246"/>
      <c r="EW62" s="246"/>
      <c r="EX62" s="246"/>
      <c r="EY62" s="246"/>
      <c r="EZ62" s="246"/>
      <c r="FA62" s="246"/>
      <c r="FB62" s="63">
        <f>MEDIAN(AE62,AI62)</f>
        <v>25312.96715</v>
      </c>
      <c r="FC62" s="63">
        <f>AVERAGE(AE62,AI62)</f>
        <v>25312.96715</v>
      </c>
      <c r="FD62" s="64">
        <f>STDEV(AE62,AI62)</f>
        <v>1360.5199039184408</v>
      </c>
      <c r="FE62" s="62">
        <f t="shared" si="2"/>
        <v>5.3747942540921793E-2</v>
      </c>
      <c r="FF62" s="88">
        <f t="shared" si="8"/>
        <v>21271.428571428572</v>
      </c>
      <c r="FG62" s="88">
        <f t="shared" si="9"/>
        <v>4041.5714285714289</v>
      </c>
      <c r="FH62" s="74">
        <f t="shared" si="11"/>
        <v>25313</v>
      </c>
      <c r="FI62" s="260">
        <f t="shared" si="12"/>
        <v>50626</v>
      </c>
      <c r="FJ62" s="60" t="s">
        <v>1032</v>
      </c>
    </row>
    <row r="63" spans="1:167" s="40" customFormat="1" ht="72.5" x14ac:dyDescent="0.35">
      <c r="A63" s="36">
        <v>57</v>
      </c>
      <c r="B63" s="210" t="s">
        <v>250</v>
      </c>
      <c r="C63" s="38" t="s">
        <v>934</v>
      </c>
      <c r="D63" s="249" t="s">
        <v>64</v>
      </c>
      <c r="E63" s="220">
        <v>4</v>
      </c>
      <c r="F63" s="58"/>
      <c r="G63" s="58"/>
      <c r="H63" s="58"/>
      <c r="I63" s="58"/>
      <c r="J63" s="58"/>
      <c r="K63" s="58"/>
      <c r="L63" s="15"/>
      <c r="M63" s="58"/>
      <c r="N63" s="15"/>
      <c r="O63" s="58"/>
      <c r="P63" s="15"/>
      <c r="Q63" s="58"/>
      <c r="R63" s="15"/>
      <c r="S63" s="58"/>
      <c r="T63" s="15"/>
      <c r="U63" s="58"/>
      <c r="V63" s="15"/>
      <c r="W63" s="58"/>
      <c r="X63" s="15"/>
      <c r="Y63" s="58"/>
      <c r="Z63" s="15"/>
      <c r="AA63" s="58"/>
      <c r="AB63" s="15"/>
      <c r="AC63" s="58"/>
      <c r="AD63" s="58">
        <v>81443.599999999991</v>
      </c>
      <c r="AE63" s="58">
        <f t="shared" ref="AE63" si="45">+(AD63*5.1%)+AD63</f>
        <v>85597.223599999998</v>
      </c>
      <c r="AF63" s="15"/>
      <c r="AG63" s="58"/>
      <c r="AH63" s="15">
        <v>87000</v>
      </c>
      <c r="AI63" s="58">
        <f t="shared" ref="AI63" si="46">+(AH63*5.1%)+AH63</f>
        <v>91437</v>
      </c>
      <c r="AJ63" s="15"/>
      <c r="AK63" s="58"/>
      <c r="AL63" s="15"/>
      <c r="AM63" s="58"/>
      <c r="AN63" s="15"/>
      <c r="AO63" s="58"/>
      <c r="AP63" s="15"/>
      <c r="AQ63" s="58"/>
      <c r="AR63" s="15"/>
      <c r="AS63" s="58"/>
      <c r="AT63" s="15"/>
      <c r="AU63" s="58"/>
      <c r="AV63" s="15"/>
      <c r="AW63" s="58"/>
      <c r="AX63" s="15"/>
      <c r="AY63" s="58"/>
      <c r="AZ63" s="15"/>
      <c r="BA63" s="58"/>
      <c r="BB63" s="15"/>
      <c r="BC63" s="58"/>
      <c r="BD63" s="15"/>
      <c r="BE63" s="58"/>
      <c r="BF63" s="15"/>
      <c r="BG63" s="58"/>
      <c r="BH63" s="15"/>
      <c r="BI63" s="58"/>
      <c r="BJ63" s="15"/>
      <c r="BK63" s="58"/>
      <c r="BL63" s="15"/>
      <c r="BM63" s="58"/>
      <c r="BN63" s="15"/>
      <c r="BO63" s="58"/>
      <c r="BP63" s="15"/>
      <c r="BQ63" s="58"/>
      <c r="BR63" s="15"/>
      <c r="BS63" s="58"/>
      <c r="BT63" s="15"/>
      <c r="BU63" s="58"/>
      <c r="BV63" s="15"/>
      <c r="BW63" s="58"/>
      <c r="BX63" s="15"/>
      <c r="BY63" s="58"/>
      <c r="BZ63" s="15"/>
      <c r="CA63" s="58"/>
      <c r="CB63" s="15"/>
      <c r="CC63" s="58"/>
      <c r="CD63" s="15"/>
      <c r="CE63" s="58"/>
      <c r="CF63" s="15"/>
      <c r="CG63" s="58"/>
      <c r="CH63" s="15"/>
      <c r="CI63" s="58"/>
      <c r="CJ63" s="15"/>
      <c r="CK63" s="58"/>
      <c r="CL63" s="15"/>
      <c r="CM63" s="58"/>
      <c r="CN63" s="15"/>
      <c r="CO63" s="58"/>
      <c r="CP63" s="15"/>
      <c r="CQ63" s="58"/>
      <c r="CR63" s="15"/>
      <c r="CS63" s="58"/>
      <c r="CT63" s="15"/>
      <c r="CU63" s="58"/>
      <c r="CV63" s="15"/>
      <c r="CW63" s="58"/>
      <c r="CX63" s="15"/>
      <c r="CY63" s="58"/>
      <c r="CZ63" s="15"/>
      <c r="DA63" s="58"/>
      <c r="DB63" s="15"/>
      <c r="DC63" s="58"/>
      <c r="DD63" s="15"/>
      <c r="DE63" s="58"/>
      <c r="DF63" s="15"/>
      <c r="DG63" s="58"/>
      <c r="DH63" s="15"/>
      <c r="DI63" s="58"/>
      <c r="DJ63" s="15"/>
      <c r="DK63" s="58"/>
      <c r="DL63" s="15"/>
      <c r="DM63" s="58"/>
      <c r="DN63" s="15"/>
      <c r="DO63" s="58"/>
      <c r="DP63" s="15"/>
      <c r="DQ63" s="58"/>
      <c r="DR63" s="15"/>
      <c r="DS63" s="58"/>
      <c r="DT63" s="15"/>
      <c r="DU63" s="58"/>
      <c r="DV63" s="15"/>
      <c r="DW63" s="58"/>
      <c r="DX63" s="15"/>
      <c r="DY63" s="58"/>
      <c r="DZ63" s="15"/>
      <c r="EA63" s="58"/>
      <c r="EB63" s="15"/>
      <c r="EC63" s="58"/>
      <c r="ED63" s="15"/>
      <c r="EE63" s="217"/>
      <c r="EF63" s="222"/>
      <c r="EG63" s="37"/>
      <c r="EH63" s="222"/>
      <c r="EI63" s="224"/>
      <c r="EJ63" s="224"/>
      <c r="EK63" s="224"/>
      <c r="EL63" s="224"/>
      <c r="EM63" s="224"/>
      <c r="EN63" s="246"/>
      <c r="EO63" s="246"/>
      <c r="EP63" s="246"/>
      <c r="EQ63" s="246"/>
      <c r="ER63" s="246"/>
      <c r="ES63" s="246"/>
      <c r="ET63" s="246"/>
      <c r="EU63" s="246"/>
      <c r="EV63" s="246"/>
      <c r="EW63" s="246"/>
      <c r="EX63" s="246"/>
      <c r="EY63" s="246"/>
      <c r="EZ63" s="246"/>
      <c r="FA63" s="246"/>
      <c r="FB63" s="63">
        <f>MEDIAN(AE63,AI63)</f>
        <v>88517.111799999999</v>
      </c>
      <c r="FC63" s="63">
        <f>AVERAGE(AE63,AI63)</f>
        <v>88517.111799999999</v>
      </c>
      <c r="FD63" s="64">
        <f>STDEV(AE63,AI63)</f>
        <v>4129.3454930531661</v>
      </c>
      <c r="FE63" s="65">
        <f t="shared" si="2"/>
        <v>4.6650251110578668E-2</v>
      </c>
      <c r="FF63" s="88">
        <f t="shared" si="8"/>
        <v>74384.873949579836</v>
      </c>
      <c r="FG63" s="88">
        <f t="shared" si="9"/>
        <v>14133.126050420169</v>
      </c>
      <c r="FH63" s="74">
        <f t="shared" si="11"/>
        <v>88518</v>
      </c>
      <c r="FI63" s="260">
        <f t="shared" si="12"/>
        <v>354072</v>
      </c>
      <c r="FJ63" s="60" t="s">
        <v>1032</v>
      </c>
    </row>
    <row r="64" spans="1:167" s="40" customFormat="1" ht="43.5" x14ac:dyDescent="0.35">
      <c r="A64" s="37">
        <v>58</v>
      </c>
      <c r="B64" s="210" t="s">
        <v>936</v>
      </c>
      <c r="C64" s="38" t="s">
        <v>937</v>
      </c>
      <c r="D64" s="249" t="s">
        <v>64</v>
      </c>
      <c r="E64" s="220">
        <v>3</v>
      </c>
      <c r="F64" s="58"/>
      <c r="G64" s="58"/>
      <c r="H64" s="58"/>
      <c r="I64" s="58"/>
      <c r="J64" s="58"/>
      <c r="K64" s="58"/>
      <c r="L64" s="15"/>
      <c r="M64" s="58"/>
      <c r="N64" s="15"/>
      <c r="O64" s="58"/>
      <c r="P64" s="15"/>
      <c r="Q64" s="58"/>
      <c r="R64" s="15"/>
      <c r="S64" s="58"/>
      <c r="T64" s="15"/>
      <c r="U64" s="58"/>
      <c r="V64" s="15"/>
      <c r="W64" s="58"/>
      <c r="X64" s="15"/>
      <c r="Y64" s="58"/>
      <c r="Z64" s="15"/>
      <c r="AA64" s="58"/>
      <c r="AB64" s="15"/>
      <c r="AC64" s="58"/>
      <c r="AD64" s="58">
        <v>26679.8</v>
      </c>
      <c r="AE64" s="58">
        <f t="shared" ref="AE64" si="47">+(AD64*5.1%)+AD64</f>
        <v>28040.469799999999</v>
      </c>
      <c r="AF64" s="15"/>
      <c r="AG64" s="58"/>
      <c r="AH64" s="15">
        <v>29000</v>
      </c>
      <c r="AI64" s="58">
        <f t="shared" ref="AI64" si="48">+(AH64*5.1%)+AH64</f>
        <v>30479</v>
      </c>
      <c r="AJ64" s="15"/>
      <c r="AK64" s="58"/>
      <c r="AL64" s="15"/>
      <c r="AM64" s="58"/>
      <c r="AN64" s="15"/>
      <c r="AO64" s="58"/>
      <c r="AP64" s="15"/>
      <c r="AQ64" s="58"/>
      <c r="AR64" s="15"/>
      <c r="AS64" s="58"/>
      <c r="AT64" s="15"/>
      <c r="AU64" s="58"/>
      <c r="AV64" s="15"/>
      <c r="AW64" s="58"/>
      <c r="AX64" s="15"/>
      <c r="AY64" s="58"/>
      <c r="AZ64" s="15"/>
      <c r="BA64" s="58"/>
      <c r="BB64" s="15"/>
      <c r="BC64" s="58"/>
      <c r="BD64" s="15"/>
      <c r="BE64" s="58"/>
      <c r="BF64" s="15"/>
      <c r="BG64" s="58"/>
      <c r="BH64" s="15"/>
      <c r="BI64" s="58"/>
      <c r="BJ64" s="15"/>
      <c r="BK64" s="58"/>
      <c r="BL64" s="15"/>
      <c r="BM64" s="58"/>
      <c r="BN64" s="15"/>
      <c r="BO64" s="58"/>
      <c r="BP64" s="15"/>
      <c r="BQ64" s="58"/>
      <c r="BR64" s="15"/>
      <c r="BS64" s="58"/>
      <c r="BT64" s="15"/>
      <c r="BU64" s="58"/>
      <c r="BV64" s="15"/>
      <c r="BW64" s="58"/>
      <c r="BX64" s="15"/>
      <c r="BY64" s="58"/>
      <c r="BZ64" s="15"/>
      <c r="CA64" s="58"/>
      <c r="CB64" s="15"/>
      <c r="CC64" s="58"/>
      <c r="CD64" s="15"/>
      <c r="CE64" s="58"/>
      <c r="CF64" s="15"/>
      <c r="CG64" s="58"/>
      <c r="CH64" s="15"/>
      <c r="CI64" s="58"/>
      <c r="CJ64" s="15"/>
      <c r="CK64" s="58"/>
      <c r="CL64" s="15"/>
      <c r="CM64" s="58"/>
      <c r="CN64" s="15"/>
      <c r="CO64" s="58"/>
      <c r="CP64" s="15"/>
      <c r="CQ64" s="58"/>
      <c r="CR64" s="15"/>
      <c r="CS64" s="58"/>
      <c r="CT64" s="15"/>
      <c r="CU64" s="58"/>
      <c r="CV64" s="15"/>
      <c r="CW64" s="58"/>
      <c r="CX64" s="15"/>
      <c r="CY64" s="58"/>
      <c r="CZ64" s="15"/>
      <c r="DA64" s="58"/>
      <c r="DB64" s="15"/>
      <c r="DC64" s="58"/>
      <c r="DD64" s="15"/>
      <c r="DE64" s="58"/>
      <c r="DF64" s="15"/>
      <c r="DG64" s="58"/>
      <c r="DH64" s="15"/>
      <c r="DI64" s="58"/>
      <c r="DJ64" s="15"/>
      <c r="DK64" s="58"/>
      <c r="DL64" s="15"/>
      <c r="DM64" s="58"/>
      <c r="DN64" s="15"/>
      <c r="DO64" s="58"/>
      <c r="DP64" s="15"/>
      <c r="DQ64" s="58"/>
      <c r="DR64" s="15"/>
      <c r="DS64" s="58"/>
      <c r="DT64" s="15"/>
      <c r="DU64" s="58"/>
      <c r="DV64" s="15"/>
      <c r="DW64" s="58"/>
      <c r="DX64" s="15"/>
      <c r="DY64" s="58"/>
      <c r="DZ64" s="15"/>
      <c r="EA64" s="58"/>
      <c r="EB64" s="15"/>
      <c r="EC64" s="58"/>
      <c r="ED64" s="15"/>
      <c r="EE64" s="217"/>
      <c r="EF64" s="222"/>
      <c r="EG64" s="37"/>
      <c r="EH64" s="222"/>
      <c r="EI64" s="224"/>
      <c r="EJ64" s="224"/>
      <c r="EK64" s="224"/>
      <c r="EL64" s="224"/>
      <c r="EM64" s="224"/>
      <c r="EN64" s="246"/>
      <c r="EO64" s="246"/>
      <c r="EP64" s="246"/>
      <c r="EQ64" s="246"/>
      <c r="ER64" s="246"/>
      <c r="ES64" s="246"/>
      <c r="ET64" s="246"/>
      <c r="EU64" s="246"/>
      <c r="EV64" s="246"/>
      <c r="EW64" s="246"/>
      <c r="EX64" s="246"/>
      <c r="EY64" s="246"/>
      <c r="EZ64" s="246"/>
      <c r="FA64" s="246"/>
      <c r="FB64" s="63">
        <f>MEDIAN(AE64,AI64)</f>
        <v>29259.734899999999</v>
      </c>
      <c r="FC64" s="63">
        <f>AVERAGE(AE64,AI64)</f>
        <v>29259.734899999999</v>
      </c>
      <c r="FD64" s="64">
        <f>STDEV(AE64,AI64)</f>
        <v>1724.3012405481888</v>
      </c>
      <c r="FE64" s="65">
        <f t="shared" si="2"/>
        <v>5.8930856565901045E-2</v>
      </c>
      <c r="FF64" s="88">
        <f t="shared" si="8"/>
        <v>24588.235294117647</v>
      </c>
      <c r="FG64" s="88">
        <f t="shared" si="9"/>
        <v>4671.7647058823532</v>
      </c>
      <c r="FH64" s="74">
        <f t="shared" si="11"/>
        <v>29260</v>
      </c>
      <c r="FI64" s="260">
        <f t="shared" si="12"/>
        <v>87780</v>
      </c>
      <c r="FJ64" s="60" t="s">
        <v>1032</v>
      </c>
    </row>
    <row r="65" spans="1:166" s="40" customFormat="1" ht="72.5" x14ac:dyDescent="0.35">
      <c r="A65" s="37">
        <v>59</v>
      </c>
      <c r="B65" s="210" t="s">
        <v>251</v>
      </c>
      <c r="C65" s="38" t="s">
        <v>938</v>
      </c>
      <c r="D65" s="249" t="s">
        <v>64</v>
      </c>
      <c r="E65" s="220">
        <v>3</v>
      </c>
      <c r="F65" s="58"/>
      <c r="G65" s="58"/>
      <c r="H65" s="58"/>
      <c r="I65" s="58"/>
      <c r="J65" s="58"/>
      <c r="K65" s="58"/>
      <c r="L65" s="15"/>
      <c r="M65" s="58"/>
      <c r="N65" s="15"/>
      <c r="O65" s="58"/>
      <c r="P65" s="15"/>
      <c r="Q65" s="58"/>
      <c r="R65" s="15"/>
      <c r="S65" s="58"/>
      <c r="T65" s="15"/>
      <c r="U65" s="58"/>
      <c r="V65" s="15"/>
      <c r="W65" s="58"/>
      <c r="X65" s="15"/>
      <c r="Y65" s="58"/>
      <c r="Z65" s="15"/>
      <c r="AA65" s="58"/>
      <c r="AB65" s="15"/>
      <c r="AC65" s="58"/>
      <c r="AD65" s="58">
        <v>68805.8</v>
      </c>
      <c r="AE65" s="58">
        <f t="shared" ref="AE65" si="49">+(AD65*5.1%)+AD65</f>
        <v>72314.895799999998</v>
      </c>
      <c r="AF65" s="15"/>
      <c r="AG65" s="58"/>
      <c r="AH65" s="15">
        <v>74000</v>
      </c>
      <c r="AI65" s="58">
        <f t="shared" ref="AI65" si="50">+(AH65*5.1%)+AH65</f>
        <v>77774</v>
      </c>
      <c r="AJ65" s="15"/>
      <c r="AK65" s="58"/>
      <c r="AL65" s="15"/>
      <c r="AM65" s="58"/>
      <c r="AN65" s="15"/>
      <c r="AO65" s="58"/>
      <c r="AP65" s="15"/>
      <c r="AQ65" s="58"/>
      <c r="AR65" s="15"/>
      <c r="AS65" s="58"/>
      <c r="AT65" s="15"/>
      <c r="AU65" s="58"/>
      <c r="AV65" s="15"/>
      <c r="AW65" s="58"/>
      <c r="AX65" s="15"/>
      <c r="AY65" s="58"/>
      <c r="AZ65" s="15"/>
      <c r="BA65" s="58"/>
      <c r="BB65" s="15"/>
      <c r="BC65" s="58"/>
      <c r="BD65" s="15"/>
      <c r="BE65" s="58"/>
      <c r="BF65" s="15"/>
      <c r="BG65" s="58"/>
      <c r="BH65" s="15"/>
      <c r="BI65" s="58"/>
      <c r="BJ65" s="15"/>
      <c r="BK65" s="58"/>
      <c r="BL65" s="15"/>
      <c r="BM65" s="58"/>
      <c r="BN65" s="15"/>
      <c r="BO65" s="58"/>
      <c r="BP65" s="15"/>
      <c r="BQ65" s="58"/>
      <c r="BR65" s="15"/>
      <c r="BS65" s="58"/>
      <c r="BT65" s="15"/>
      <c r="BU65" s="58"/>
      <c r="BV65" s="15"/>
      <c r="BW65" s="58"/>
      <c r="BX65" s="15"/>
      <c r="BY65" s="58"/>
      <c r="BZ65" s="15"/>
      <c r="CA65" s="58"/>
      <c r="CB65" s="15"/>
      <c r="CC65" s="58"/>
      <c r="CD65" s="15"/>
      <c r="CE65" s="58"/>
      <c r="CF65" s="15"/>
      <c r="CG65" s="58"/>
      <c r="CH65" s="15"/>
      <c r="CI65" s="58"/>
      <c r="CJ65" s="15"/>
      <c r="CK65" s="58"/>
      <c r="CL65" s="15"/>
      <c r="CM65" s="58"/>
      <c r="CN65" s="15"/>
      <c r="CO65" s="58"/>
      <c r="CP65" s="15"/>
      <c r="CQ65" s="58"/>
      <c r="CR65" s="15"/>
      <c r="CS65" s="58"/>
      <c r="CT65" s="15"/>
      <c r="CU65" s="58"/>
      <c r="CV65" s="15"/>
      <c r="CW65" s="58"/>
      <c r="CX65" s="15"/>
      <c r="CY65" s="58"/>
      <c r="CZ65" s="15"/>
      <c r="DA65" s="58"/>
      <c r="DB65" s="15"/>
      <c r="DC65" s="58"/>
      <c r="DD65" s="15"/>
      <c r="DE65" s="58"/>
      <c r="DF65" s="15"/>
      <c r="DG65" s="58"/>
      <c r="DH65" s="15"/>
      <c r="DI65" s="58"/>
      <c r="DJ65" s="15"/>
      <c r="DK65" s="58"/>
      <c r="DL65" s="15"/>
      <c r="DM65" s="58"/>
      <c r="DN65" s="15"/>
      <c r="DO65" s="58"/>
      <c r="DP65" s="15"/>
      <c r="DQ65" s="58"/>
      <c r="DR65" s="15"/>
      <c r="DS65" s="58"/>
      <c r="DT65" s="15"/>
      <c r="DU65" s="58"/>
      <c r="DV65" s="15"/>
      <c r="DW65" s="58"/>
      <c r="DX65" s="15"/>
      <c r="DY65" s="58"/>
      <c r="DZ65" s="15"/>
      <c r="EA65" s="58"/>
      <c r="EB65" s="15"/>
      <c r="EC65" s="58"/>
      <c r="ED65" s="15"/>
      <c r="EE65" s="217"/>
      <c r="EF65" s="222"/>
      <c r="EG65" s="37"/>
      <c r="EH65" s="222"/>
      <c r="EI65" s="224"/>
      <c r="EJ65" s="224"/>
      <c r="EK65" s="224"/>
      <c r="EL65" s="224"/>
      <c r="EM65" s="224"/>
      <c r="EN65" s="246"/>
      <c r="EO65" s="246"/>
      <c r="EP65" s="246"/>
      <c r="EQ65" s="246"/>
      <c r="ER65" s="246"/>
      <c r="ES65" s="246"/>
      <c r="ET65" s="246"/>
      <c r="EU65" s="246"/>
      <c r="EV65" s="246"/>
      <c r="EW65" s="246"/>
      <c r="EX65" s="246"/>
      <c r="EY65" s="246"/>
      <c r="EZ65" s="246"/>
      <c r="FA65" s="246"/>
      <c r="FB65" s="63">
        <f>MEDIAN(AE65,AI65)</f>
        <v>75044.447899999999</v>
      </c>
      <c r="FC65" s="63">
        <f>AVERAGE(AE65,AI65)</f>
        <v>75044.447899999999</v>
      </c>
      <c r="FD65" s="64">
        <f>STDEV(AE65,AI65)</f>
        <v>3860.1695990239637</v>
      </c>
      <c r="FE65" s="65">
        <f t="shared" si="2"/>
        <v>5.1438443576369675E-2</v>
      </c>
      <c r="FF65" s="88">
        <f t="shared" si="8"/>
        <v>63063.025210084037</v>
      </c>
      <c r="FG65" s="88">
        <f t="shared" si="9"/>
        <v>11981.974789915967</v>
      </c>
      <c r="FH65" s="74">
        <f t="shared" si="11"/>
        <v>75045</v>
      </c>
      <c r="FI65" s="260">
        <f t="shared" si="12"/>
        <v>225135</v>
      </c>
      <c r="FJ65" s="60" t="s">
        <v>1032</v>
      </c>
    </row>
    <row r="66" spans="1:166" s="40" customFormat="1" ht="102.75" customHeight="1" x14ac:dyDescent="0.35">
      <c r="A66" s="37">
        <v>60</v>
      </c>
      <c r="B66" s="210" t="s">
        <v>939</v>
      </c>
      <c r="C66" s="38" t="s">
        <v>1044</v>
      </c>
      <c r="D66" s="249" t="s">
        <v>329</v>
      </c>
      <c r="E66" s="220">
        <v>3</v>
      </c>
      <c r="F66" s="58"/>
      <c r="G66" s="58"/>
      <c r="H66" s="58"/>
      <c r="I66" s="58"/>
      <c r="J66" s="58"/>
      <c r="K66" s="58"/>
      <c r="L66" s="15"/>
      <c r="M66" s="58"/>
      <c r="N66" s="15"/>
      <c r="O66" s="58"/>
      <c r="P66" s="15"/>
      <c r="Q66" s="58"/>
      <c r="R66" s="15"/>
      <c r="S66" s="58"/>
      <c r="T66" s="15"/>
      <c r="U66" s="58"/>
      <c r="V66" s="15"/>
      <c r="W66" s="58"/>
      <c r="X66" s="15"/>
      <c r="Y66" s="58"/>
      <c r="Z66" s="15"/>
      <c r="AA66" s="58"/>
      <c r="AB66" s="15"/>
      <c r="AC66" s="58"/>
      <c r="AD66" s="58">
        <v>82847.8</v>
      </c>
      <c r="AE66" s="58">
        <f t="shared" ref="AE66" si="51">+(AD66*5.1%)+AD66</f>
        <v>87073.037800000006</v>
      </c>
      <c r="AF66" s="15"/>
      <c r="AG66" s="58"/>
      <c r="AH66" s="15"/>
      <c r="AI66" s="58"/>
      <c r="AJ66" s="15"/>
      <c r="AK66" s="58"/>
      <c r="AL66" s="15"/>
      <c r="AM66" s="58"/>
      <c r="AN66" s="15"/>
      <c r="AO66" s="58"/>
      <c r="AP66" s="15"/>
      <c r="AQ66" s="58"/>
      <c r="AR66" s="15">
        <v>74340</v>
      </c>
      <c r="AS66" s="58">
        <f t="shared" ref="AS66" si="52">+(AR66*5.1%)+AR66</f>
        <v>78131.34</v>
      </c>
      <c r="AT66" s="15"/>
      <c r="AU66" s="58"/>
      <c r="AV66" s="15"/>
      <c r="AW66" s="58"/>
      <c r="AX66" s="15"/>
      <c r="AY66" s="58"/>
      <c r="AZ66" s="15"/>
      <c r="BA66" s="58"/>
      <c r="BB66" s="15"/>
      <c r="BC66" s="58"/>
      <c r="BD66" s="15"/>
      <c r="BE66" s="58"/>
      <c r="BF66" s="15"/>
      <c r="BG66" s="58"/>
      <c r="BH66" s="15"/>
      <c r="BI66" s="58"/>
      <c r="BJ66" s="15"/>
      <c r="BK66" s="58"/>
      <c r="BL66" s="15"/>
      <c r="BM66" s="58"/>
      <c r="BN66" s="15"/>
      <c r="BO66" s="58"/>
      <c r="BP66" s="15"/>
      <c r="BQ66" s="58"/>
      <c r="BR66" s="15"/>
      <c r="BS66" s="58"/>
      <c r="BT66" s="15"/>
      <c r="BU66" s="58"/>
      <c r="BV66" s="15"/>
      <c r="BW66" s="58"/>
      <c r="BX66" s="15"/>
      <c r="BY66" s="58"/>
      <c r="BZ66" s="15"/>
      <c r="CA66" s="58"/>
      <c r="CB66" s="15"/>
      <c r="CC66" s="58"/>
      <c r="CD66" s="15"/>
      <c r="CE66" s="58"/>
      <c r="CF66" s="15"/>
      <c r="CG66" s="58"/>
      <c r="CH66" s="15"/>
      <c r="CI66" s="58"/>
      <c r="CJ66" s="15"/>
      <c r="CK66" s="58"/>
      <c r="CL66" s="15"/>
      <c r="CM66" s="58"/>
      <c r="CN66" s="15"/>
      <c r="CO66" s="58"/>
      <c r="CP66" s="15"/>
      <c r="CQ66" s="58"/>
      <c r="CR66" s="15"/>
      <c r="CS66" s="58"/>
      <c r="CT66" s="15"/>
      <c r="CU66" s="58"/>
      <c r="CV66" s="15"/>
      <c r="CW66" s="58"/>
      <c r="CX66" s="15"/>
      <c r="CY66" s="58"/>
      <c r="CZ66" s="15"/>
      <c r="DA66" s="58"/>
      <c r="DB66" s="15"/>
      <c r="DC66" s="58"/>
      <c r="DD66" s="15"/>
      <c r="DE66" s="58"/>
      <c r="DF66" s="15"/>
      <c r="DG66" s="58"/>
      <c r="DH66" s="15"/>
      <c r="DI66" s="58"/>
      <c r="DJ66" s="15"/>
      <c r="DK66" s="58"/>
      <c r="DL66" s="15"/>
      <c r="DM66" s="58"/>
      <c r="DN66" s="15"/>
      <c r="DO66" s="58"/>
      <c r="DP66" s="15"/>
      <c r="DQ66" s="58"/>
      <c r="DR66" s="15"/>
      <c r="DS66" s="58"/>
      <c r="DT66" s="15"/>
      <c r="DU66" s="58"/>
      <c r="DV66" s="15"/>
      <c r="DW66" s="58"/>
      <c r="DX66" s="15"/>
      <c r="DY66" s="58"/>
      <c r="DZ66" s="15"/>
      <c r="EA66" s="58"/>
      <c r="EB66" s="15"/>
      <c r="EC66" s="58"/>
      <c r="ED66" s="15"/>
      <c r="EE66" s="217"/>
      <c r="EF66" s="222"/>
      <c r="EG66" s="37"/>
      <c r="EH66" s="222"/>
      <c r="EI66" s="58"/>
      <c r="EJ66" s="58"/>
      <c r="EK66" s="58"/>
      <c r="EL66" s="58"/>
      <c r="EM66" s="58"/>
      <c r="EN66" s="251" t="s">
        <v>209</v>
      </c>
      <c r="EO66" s="251" t="s">
        <v>209</v>
      </c>
      <c r="EP66" s="251" t="s">
        <v>209</v>
      </c>
      <c r="EQ66" s="251" t="s">
        <v>209</v>
      </c>
      <c r="ER66" s="251"/>
      <c r="ES66" s="251"/>
      <c r="ET66" s="251"/>
      <c r="EU66" s="251"/>
      <c r="EV66" s="251"/>
      <c r="EW66" s="251"/>
      <c r="EX66" s="251"/>
      <c r="EY66" s="251"/>
      <c r="EZ66" s="251"/>
      <c r="FA66" s="251"/>
      <c r="FB66" s="63">
        <f>MEDIAN(AE66,AS66)</f>
        <v>82602.188900000008</v>
      </c>
      <c r="FC66" s="63">
        <f>AVERAGE(AE66,AS66)</f>
        <v>82602.188900000008</v>
      </c>
      <c r="FD66" s="64">
        <f>STDEV(AE66,AS66)</f>
        <v>6322.7351497008394</v>
      </c>
      <c r="FE66" s="65">
        <f t="shared" si="2"/>
        <v>7.6544401957135536E-2</v>
      </c>
      <c r="FF66" s="88">
        <f t="shared" si="8"/>
        <v>69414.28571428571</v>
      </c>
      <c r="FG66" s="88">
        <f t="shared" si="9"/>
        <v>13188.714285714284</v>
      </c>
      <c r="FH66" s="74">
        <f t="shared" si="11"/>
        <v>82603</v>
      </c>
      <c r="FI66" s="260">
        <f t="shared" si="12"/>
        <v>247809</v>
      </c>
      <c r="FJ66" s="60" t="s">
        <v>1032</v>
      </c>
    </row>
    <row r="67" spans="1:166" s="40" customFormat="1" ht="58" x14ac:dyDescent="0.35">
      <c r="A67" s="36">
        <v>61</v>
      </c>
      <c r="B67" s="210" t="s">
        <v>252</v>
      </c>
      <c r="C67" s="36" t="s">
        <v>940</v>
      </c>
      <c r="D67" s="249" t="s">
        <v>64</v>
      </c>
      <c r="E67" s="220">
        <v>3</v>
      </c>
      <c r="F67" s="58"/>
      <c r="G67" s="58"/>
      <c r="H67" s="58"/>
      <c r="I67" s="58"/>
      <c r="J67" s="58"/>
      <c r="K67" s="58"/>
      <c r="L67" s="15"/>
      <c r="M67" s="58"/>
      <c r="N67" s="15"/>
      <c r="O67" s="58"/>
      <c r="P67" s="15"/>
      <c r="Q67" s="58"/>
      <c r="R67" s="15"/>
      <c r="S67" s="58"/>
      <c r="T67" s="15"/>
      <c r="U67" s="58"/>
      <c r="V67" s="15"/>
      <c r="W67" s="58"/>
      <c r="X67" s="15"/>
      <c r="Y67" s="58"/>
      <c r="Z67" s="15"/>
      <c r="AA67" s="58"/>
      <c r="AB67" s="15"/>
      <c r="AC67" s="58"/>
      <c r="AD67" s="58"/>
      <c r="AE67" s="58"/>
      <c r="AF67" s="15"/>
      <c r="AG67" s="58"/>
      <c r="AH67" s="15"/>
      <c r="AI67" s="58"/>
      <c r="AJ67" s="15"/>
      <c r="AK67" s="58"/>
      <c r="AL67" s="15"/>
      <c r="AM67" s="58"/>
      <c r="AN67" s="15"/>
      <c r="AO67" s="58"/>
      <c r="AP67" s="15"/>
      <c r="AQ67" s="58"/>
      <c r="AR67" s="15"/>
      <c r="AS67" s="58"/>
      <c r="AT67" s="15"/>
      <c r="AU67" s="58"/>
      <c r="AV67" s="15"/>
      <c r="AW67" s="58"/>
      <c r="AX67" s="15"/>
      <c r="AY67" s="58"/>
      <c r="AZ67" s="15"/>
      <c r="BA67" s="58"/>
      <c r="BB67" s="15"/>
      <c r="BC67" s="58"/>
      <c r="BD67" s="15"/>
      <c r="BE67" s="58"/>
      <c r="BF67" s="15"/>
      <c r="BG67" s="58"/>
      <c r="BH67" s="15"/>
      <c r="BI67" s="58"/>
      <c r="BJ67" s="15"/>
      <c r="BK67" s="58"/>
      <c r="BL67" s="15"/>
      <c r="BM67" s="58"/>
      <c r="BN67" s="15"/>
      <c r="BO67" s="58"/>
      <c r="BP67" s="15"/>
      <c r="BQ67" s="58"/>
      <c r="BR67" s="15"/>
      <c r="BS67" s="58"/>
      <c r="BT67" s="15"/>
      <c r="BU67" s="58"/>
      <c r="BV67" s="15"/>
      <c r="BW67" s="58"/>
      <c r="BX67" s="15"/>
      <c r="BY67" s="58"/>
      <c r="BZ67" s="15"/>
      <c r="CA67" s="58"/>
      <c r="CB67" s="15"/>
      <c r="CC67" s="58"/>
      <c r="CD67" s="15"/>
      <c r="CE67" s="58"/>
      <c r="CF67" s="15"/>
      <c r="CG67" s="58"/>
      <c r="CH67" s="15"/>
      <c r="CI67" s="58"/>
      <c r="CJ67" s="15"/>
      <c r="CK67" s="58"/>
      <c r="CL67" s="15"/>
      <c r="CM67" s="58"/>
      <c r="CN67" s="15"/>
      <c r="CO67" s="58"/>
      <c r="CP67" s="15"/>
      <c r="CQ67" s="58"/>
      <c r="CR67" s="15"/>
      <c r="CS67" s="58"/>
      <c r="CT67" s="15"/>
      <c r="CU67" s="58"/>
      <c r="CV67" s="15"/>
      <c r="CW67" s="58"/>
      <c r="CX67" s="15"/>
      <c r="CY67" s="58"/>
      <c r="CZ67" s="15"/>
      <c r="DA67" s="58"/>
      <c r="DB67" s="15"/>
      <c r="DC67" s="58"/>
      <c r="DD67" s="15"/>
      <c r="DE67" s="58"/>
      <c r="DF67" s="15"/>
      <c r="DG67" s="58"/>
      <c r="DH67" s="15"/>
      <c r="DI67" s="58"/>
      <c r="DJ67" s="15"/>
      <c r="DK67" s="58"/>
      <c r="DL67" s="15"/>
      <c r="DM67" s="58"/>
      <c r="DN67" s="15"/>
      <c r="DO67" s="58"/>
      <c r="DP67" s="15"/>
      <c r="DQ67" s="58"/>
      <c r="DR67" s="15"/>
      <c r="DS67" s="58"/>
      <c r="DT67" s="15"/>
      <c r="DU67" s="58"/>
      <c r="DV67" s="15"/>
      <c r="DW67" s="58"/>
      <c r="DX67" s="15"/>
      <c r="DY67" s="58"/>
      <c r="DZ67" s="15"/>
      <c r="EA67" s="58"/>
      <c r="EB67" s="15"/>
      <c r="EC67" s="58"/>
      <c r="ED67" s="15"/>
      <c r="EE67" s="217"/>
      <c r="EF67" s="8">
        <v>700000</v>
      </c>
      <c r="EG67" s="316">
        <v>694500</v>
      </c>
      <c r="EH67" s="8">
        <v>695000</v>
      </c>
      <c r="EI67" s="222"/>
      <c r="EJ67" s="222"/>
      <c r="EK67" s="222"/>
      <c r="EL67" s="222"/>
      <c r="EM67" s="222"/>
      <c r="EN67" s="251" t="s">
        <v>209</v>
      </c>
      <c r="EO67" s="251" t="s">
        <v>209</v>
      </c>
      <c r="EP67" s="251" t="s">
        <v>209</v>
      </c>
      <c r="EQ67" s="251" t="s">
        <v>209</v>
      </c>
      <c r="ER67" s="208"/>
      <c r="ES67" s="208"/>
      <c r="ET67" s="208"/>
      <c r="EU67" s="208"/>
      <c r="EV67" s="208"/>
      <c r="EW67" s="208"/>
      <c r="EX67" s="208"/>
      <c r="EY67" s="208"/>
      <c r="EZ67" s="208"/>
      <c r="FA67" s="208"/>
      <c r="FB67" s="59">
        <f>MEDIAN(EF67,EG67,EH67)</f>
        <v>695000</v>
      </c>
      <c r="FC67" s="59">
        <f>AVERAGE(EF67,EG67,EH67)</f>
        <v>696500</v>
      </c>
      <c r="FD67" s="60">
        <f>STDEV(EF67,EG67,EH67)</f>
        <v>3041.3812651491098</v>
      </c>
      <c r="FE67" s="65">
        <f t="shared" si="2"/>
        <v>4.3666636972707965E-3</v>
      </c>
      <c r="FF67" s="88">
        <f t="shared" si="8"/>
        <v>585294.1176470588</v>
      </c>
      <c r="FG67" s="88">
        <f t="shared" si="9"/>
        <v>111205.88235294117</v>
      </c>
      <c r="FH67" s="74">
        <f t="shared" si="11"/>
        <v>696500</v>
      </c>
      <c r="FI67" s="260">
        <f t="shared" si="12"/>
        <v>2089500</v>
      </c>
      <c r="FJ67" s="60" t="s">
        <v>65</v>
      </c>
    </row>
    <row r="68" spans="1:166" s="40" customFormat="1" ht="43.5" x14ac:dyDescent="0.35">
      <c r="A68" s="37">
        <v>62</v>
      </c>
      <c r="B68" s="210" t="s">
        <v>253</v>
      </c>
      <c r="C68" s="36" t="s">
        <v>941</v>
      </c>
      <c r="D68" s="249" t="s">
        <v>64</v>
      </c>
      <c r="E68" s="220">
        <v>4</v>
      </c>
      <c r="F68" s="58"/>
      <c r="G68" s="58"/>
      <c r="H68" s="58"/>
      <c r="I68" s="58"/>
      <c r="J68" s="58"/>
      <c r="K68" s="58"/>
      <c r="L68" s="15"/>
      <c r="M68" s="58"/>
      <c r="N68" s="15"/>
      <c r="O68" s="58"/>
      <c r="P68" s="15"/>
      <c r="Q68" s="58"/>
      <c r="R68" s="15"/>
      <c r="S68" s="58"/>
      <c r="T68" s="15"/>
      <c r="U68" s="58"/>
      <c r="V68" s="15"/>
      <c r="W68" s="58"/>
      <c r="X68" s="15"/>
      <c r="Y68" s="58"/>
      <c r="Z68" s="15"/>
      <c r="AA68" s="58"/>
      <c r="AB68" s="15"/>
      <c r="AC68" s="58"/>
      <c r="AD68" s="58"/>
      <c r="AE68" s="58"/>
      <c r="AF68" s="15"/>
      <c r="AG68" s="58"/>
      <c r="AH68" s="15"/>
      <c r="AI68" s="58"/>
      <c r="AJ68" s="15"/>
      <c r="AK68" s="58"/>
      <c r="AL68" s="15"/>
      <c r="AM68" s="58"/>
      <c r="AN68" s="15"/>
      <c r="AO68" s="58"/>
      <c r="AP68" s="15"/>
      <c r="AQ68" s="58"/>
      <c r="AR68" s="15"/>
      <c r="AS68" s="58"/>
      <c r="AT68" s="15"/>
      <c r="AU68" s="58"/>
      <c r="AV68" s="15"/>
      <c r="AW68" s="58"/>
      <c r="AX68" s="15"/>
      <c r="AY68" s="58"/>
      <c r="AZ68" s="15"/>
      <c r="BA68" s="58"/>
      <c r="BB68" s="15"/>
      <c r="BC68" s="58"/>
      <c r="BD68" s="15"/>
      <c r="BE68" s="58"/>
      <c r="BF68" s="15"/>
      <c r="BG68" s="58"/>
      <c r="BH68" s="15"/>
      <c r="BI68" s="58"/>
      <c r="BJ68" s="15"/>
      <c r="BK68" s="58"/>
      <c r="BL68" s="15"/>
      <c r="BM68" s="58"/>
      <c r="BN68" s="15"/>
      <c r="BO68" s="58"/>
      <c r="BP68" s="15"/>
      <c r="BQ68" s="58"/>
      <c r="BR68" s="15"/>
      <c r="BS68" s="58"/>
      <c r="BT68" s="15"/>
      <c r="BU68" s="58"/>
      <c r="BV68" s="15"/>
      <c r="BW68" s="58"/>
      <c r="BX68" s="15"/>
      <c r="BY68" s="58"/>
      <c r="BZ68" s="15"/>
      <c r="CA68" s="58"/>
      <c r="CB68" s="15"/>
      <c r="CC68" s="58"/>
      <c r="CD68" s="15"/>
      <c r="CE68" s="58"/>
      <c r="CF68" s="15"/>
      <c r="CG68" s="58"/>
      <c r="CH68" s="15"/>
      <c r="CI68" s="58"/>
      <c r="CJ68" s="15"/>
      <c r="CK68" s="58"/>
      <c r="CL68" s="15"/>
      <c r="CM68" s="58"/>
      <c r="CN68" s="15"/>
      <c r="CO68" s="58"/>
      <c r="CP68" s="15"/>
      <c r="CQ68" s="58"/>
      <c r="CR68" s="15"/>
      <c r="CS68" s="58"/>
      <c r="CT68" s="15"/>
      <c r="CU68" s="58"/>
      <c r="CV68" s="15"/>
      <c r="CW68" s="58"/>
      <c r="CX68" s="15"/>
      <c r="CY68" s="58"/>
      <c r="CZ68" s="15"/>
      <c r="DA68" s="58"/>
      <c r="DB68" s="15"/>
      <c r="DC68" s="58"/>
      <c r="DD68" s="15"/>
      <c r="DE68" s="58"/>
      <c r="DF68" s="15"/>
      <c r="DG68" s="58"/>
      <c r="DH68" s="15"/>
      <c r="DI68" s="58"/>
      <c r="DJ68" s="15"/>
      <c r="DK68" s="58"/>
      <c r="DL68" s="15"/>
      <c r="DM68" s="58"/>
      <c r="DN68" s="15"/>
      <c r="DO68" s="58"/>
      <c r="DP68" s="15"/>
      <c r="DQ68" s="58"/>
      <c r="DR68" s="15"/>
      <c r="DS68" s="58"/>
      <c r="DT68" s="15"/>
      <c r="DU68" s="58"/>
      <c r="DV68" s="15"/>
      <c r="DW68" s="58"/>
      <c r="DX68" s="15"/>
      <c r="DY68" s="58"/>
      <c r="DZ68" s="15"/>
      <c r="EA68" s="58"/>
      <c r="EB68" s="15"/>
      <c r="EC68" s="58"/>
      <c r="ED68" s="15"/>
      <c r="EE68" s="217"/>
      <c r="EF68" s="8">
        <v>940000</v>
      </c>
      <c r="EG68" s="8">
        <v>895400</v>
      </c>
      <c r="EH68" s="8">
        <v>920000</v>
      </c>
      <c r="EI68" s="226"/>
      <c r="EJ68" s="227"/>
      <c r="EK68" s="227"/>
      <c r="EL68" s="227"/>
      <c r="EM68" s="227"/>
      <c r="EN68" s="208" t="s">
        <v>209</v>
      </c>
      <c r="EO68" s="246" t="s">
        <v>209</v>
      </c>
      <c r="EP68" s="246" t="s">
        <v>209</v>
      </c>
      <c r="EQ68" s="246" t="s">
        <v>209</v>
      </c>
      <c r="ER68" s="246"/>
      <c r="ES68" s="246"/>
      <c r="ET68" s="246"/>
      <c r="EU68" s="246"/>
      <c r="EV68" s="246"/>
      <c r="EW68" s="246"/>
      <c r="EX68" s="246"/>
      <c r="EY68" s="246"/>
      <c r="EZ68" s="246"/>
      <c r="FA68" s="246"/>
      <c r="FB68" s="59">
        <f>MEDIAN(EF68,EG68,EH68)</f>
        <v>920000</v>
      </c>
      <c r="FC68" s="59">
        <f>AVERAGE(EF68,EG68,EH68)</f>
        <v>918466.66666666663</v>
      </c>
      <c r="FD68" s="60">
        <f>STDEV(EF68,EG68,EH68)</f>
        <v>22339.501635742308</v>
      </c>
      <c r="FE68" s="65">
        <f t="shared" si="2"/>
        <v>2.4322604669821779E-2</v>
      </c>
      <c r="FF68" s="88">
        <f t="shared" si="8"/>
        <v>771821.00840336143</v>
      </c>
      <c r="FG68" s="88">
        <f t="shared" si="9"/>
        <v>146645.99159663866</v>
      </c>
      <c r="FH68" s="74">
        <f t="shared" si="11"/>
        <v>918467</v>
      </c>
      <c r="FI68" s="260">
        <f t="shared" si="12"/>
        <v>3673868</v>
      </c>
      <c r="FJ68" s="60" t="s">
        <v>65</v>
      </c>
    </row>
    <row r="69" spans="1:166" s="40" customFormat="1" ht="58" x14ac:dyDescent="0.35">
      <c r="A69" s="37">
        <v>63</v>
      </c>
      <c r="B69" s="210" t="s">
        <v>254</v>
      </c>
      <c r="C69" s="36" t="s">
        <v>942</v>
      </c>
      <c r="D69" s="249" t="s">
        <v>64</v>
      </c>
      <c r="E69" s="220">
        <v>3</v>
      </c>
      <c r="F69" s="58"/>
      <c r="G69" s="58"/>
      <c r="H69" s="58"/>
      <c r="I69" s="58"/>
      <c r="J69" s="58"/>
      <c r="K69" s="58"/>
      <c r="L69" s="15"/>
      <c r="M69" s="58"/>
      <c r="N69" s="15"/>
      <c r="O69" s="58"/>
      <c r="P69" s="15"/>
      <c r="Q69" s="58"/>
      <c r="R69" s="15"/>
      <c r="S69" s="58"/>
      <c r="T69" s="15"/>
      <c r="U69" s="58"/>
      <c r="V69" s="15"/>
      <c r="W69" s="58"/>
      <c r="X69" s="15"/>
      <c r="Y69" s="58"/>
      <c r="Z69" s="15"/>
      <c r="AA69" s="58"/>
      <c r="AB69" s="15"/>
      <c r="AC69" s="58"/>
      <c r="AD69" s="58"/>
      <c r="AE69" s="58"/>
      <c r="AF69" s="15"/>
      <c r="AG69" s="58"/>
      <c r="AH69" s="15"/>
      <c r="AI69" s="58"/>
      <c r="AJ69" s="15"/>
      <c r="AK69" s="58"/>
      <c r="AL69" s="15"/>
      <c r="AM69" s="58"/>
      <c r="AN69" s="15"/>
      <c r="AO69" s="58"/>
      <c r="AP69" s="15"/>
      <c r="AQ69" s="58"/>
      <c r="AR69" s="15"/>
      <c r="AS69" s="58"/>
      <c r="AT69" s="15"/>
      <c r="AU69" s="58"/>
      <c r="AV69" s="15"/>
      <c r="AW69" s="58"/>
      <c r="AX69" s="15"/>
      <c r="AY69" s="58"/>
      <c r="AZ69" s="15"/>
      <c r="BA69" s="58"/>
      <c r="BB69" s="15"/>
      <c r="BC69" s="58"/>
      <c r="BD69" s="15"/>
      <c r="BE69" s="58"/>
      <c r="BF69" s="15"/>
      <c r="BG69" s="58"/>
      <c r="BH69" s="15"/>
      <c r="BI69" s="58"/>
      <c r="BJ69" s="15"/>
      <c r="BK69" s="58"/>
      <c r="BL69" s="15"/>
      <c r="BM69" s="58"/>
      <c r="BN69" s="15"/>
      <c r="BO69" s="58"/>
      <c r="BP69" s="15"/>
      <c r="BQ69" s="58"/>
      <c r="BR69" s="15"/>
      <c r="BS69" s="58"/>
      <c r="BT69" s="15"/>
      <c r="BU69" s="58"/>
      <c r="BV69" s="15"/>
      <c r="BW69" s="58"/>
      <c r="BX69" s="15"/>
      <c r="BY69" s="58"/>
      <c r="BZ69" s="15"/>
      <c r="CA69" s="58"/>
      <c r="CB69" s="15"/>
      <c r="CC69" s="58"/>
      <c r="CD69" s="15"/>
      <c r="CE69" s="58"/>
      <c r="CF69" s="15"/>
      <c r="CG69" s="58"/>
      <c r="CH69" s="15"/>
      <c r="CI69" s="58"/>
      <c r="CJ69" s="15"/>
      <c r="CK69" s="58"/>
      <c r="CL69" s="15"/>
      <c r="CM69" s="58"/>
      <c r="CN69" s="15"/>
      <c r="CO69" s="58"/>
      <c r="CP69" s="15"/>
      <c r="CQ69" s="58"/>
      <c r="CR69" s="15"/>
      <c r="CS69" s="58"/>
      <c r="CT69" s="15"/>
      <c r="CU69" s="58"/>
      <c r="CV69" s="15"/>
      <c r="CW69" s="58"/>
      <c r="CX69" s="15"/>
      <c r="CY69" s="58"/>
      <c r="CZ69" s="15"/>
      <c r="DA69" s="58"/>
      <c r="DB69" s="15"/>
      <c r="DC69" s="58"/>
      <c r="DD69" s="15"/>
      <c r="DE69" s="58"/>
      <c r="DF69" s="15"/>
      <c r="DG69" s="58"/>
      <c r="DH69" s="15"/>
      <c r="DI69" s="58"/>
      <c r="DJ69" s="15"/>
      <c r="DK69" s="58"/>
      <c r="DL69" s="15"/>
      <c r="DM69" s="58"/>
      <c r="DN69" s="15"/>
      <c r="DO69" s="58"/>
      <c r="DP69" s="15"/>
      <c r="DQ69" s="58"/>
      <c r="DR69" s="15"/>
      <c r="DS69" s="58"/>
      <c r="DT69" s="15"/>
      <c r="DU69" s="58"/>
      <c r="DV69" s="15"/>
      <c r="DW69" s="58"/>
      <c r="DX69" s="15"/>
      <c r="DY69" s="58"/>
      <c r="DZ69" s="15"/>
      <c r="EA69" s="58"/>
      <c r="EB69" s="15"/>
      <c r="EC69" s="58"/>
      <c r="ED69" s="15"/>
      <c r="EE69" s="217"/>
      <c r="EF69" s="8">
        <v>655000</v>
      </c>
      <c r="EG69" s="8">
        <v>580000</v>
      </c>
      <c r="EH69" s="8">
        <v>600000</v>
      </c>
      <c r="EI69" s="226"/>
      <c r="EJ69" s="227"/>
      <c r="EK69" s="227"/>
      <c r="EL69" s="227"/>
      <c r="EM69" s="227"/>
      <c r="EN69" s="208" t="s">
        <v>209</v>
      </c>
      <c r="EO69" s="246" t="s">
        <v>209</v>
      </c>
      <c r="EP69" s="246" t="s">
        <v>209</v>
      </c>
      <c r="EQ69" s="246" t="s">
        <v>209</v>
      </c>
      <c r="ER69" s="246"/>
      <c r="ES69" s="246"/>
      <c r="ET69" s="246"/>
      <c r="EU69" s="246"/>
      <c r="EV69" s="246"/>
      <c r="EW69" s="246"/>
      <c r="EX69" s="246"/>
      <c r="EY69" s="246"/>
      <c r="EZ69" s="246"/>
      <c r="FA69" s="246"/>
      <c r="FB69" s="59">
        <f>MEDIAN(EF69,EG69,EH69)</f>
        <v>600000</v>
      </c>
      <c r="FC69" s="59">
        <f>AVERAGE(EF69,EG69,EH69)</f>
        <v>611666.66666666663</v>
      </c>
      <c r="FD69" s="60">
        <f>STDEV(EF69,EG69,EH69)</f>
        <v>38837.267325770146</v>
      </c>
      <c r="FE69" s="65">
        <f t="shared" si="2"/>
        <v>6.3494170014883083E-2</v>
      </c>
      <c r="FF69" s="88">
        <f t="shared" si="8"/>
        <v>514005.8823529412</v>
      </c>
      <c r="FG69" s="88">
        <f t="shared" si="9"/>
        <v>97661.117647058825</v>
      </c>
      <c r="FH69" s="74">
        <f t="shared" si="11"/>
        <v>611667</v>
      </c>
      <c r="FI69" s="260">
        <f t="shared" si="12"/>
        <v>1835001</v>
      </c>
      <c r="FJ69" s="60" t="s">
        <v>65</v>
      </c>
    </row>
    <row r="70" spans="1:166" s="40" customFormat="1" ht="122.25" customHeight="1" x14ac:dyDescent="0.35">
      <c r="A70" s="36">
        <v>64</v>
      </c>
      <c r="B70" s="219" t="s">
        <v>255</v>
      </c>
      <c r="C70" s="36" t="s">
        <v>943</v>
      </c>
      <c r="D70" s="249" t="s">
        <v>64</v>
      </c>
      <c r="E70" s="233">
        <v>30</v>
      </c>
      <c r="F70" s="58"/>
      <c r="G70" s="58"/>
      <c r="H70" s="58"/>
      <c r="I70" s="58"/>
      <c r="J70" s="58"/>
      <c r="K70" s="58"/>
      <c r="L70" s="15"/>
      <c r="M70" s="58"/>
      <c r="N70" s="15"/>
      <c r="O70" s="58"/>
      <c r="P70" s="15"/>
      <c r="Q70" s="58"/>
      <c r="R70" s="15"/>
      <c r="S70" s="58"/>
      <c r="T70" s="15"/>
      <c r="U70" s="58"/>
      <c r="V70" s="15"/>
      <c r="W70" s="58"/>
      <c r="X70" s="15"/>
      <c r="Y70" s="58"/>
      <c r="Z70" s="15"/>
      <c r="AA70" s="58"/>
      <c r="AB70" s="15"/>
      <c r="AC70" s="58"/>
      <c r="AD70" s="58"/>
      <c r="AE70" s="58"/>
      <c r="AF70" s="15"/>
      <c r="AG70" s="58"/>
      <c r="AH70" s="15"/>
      <c r="AI70" s="58"/>
      <c r="AJ70" s="15"/>
      <c r="AK70" s="58"/>
      <c r="AL70" s="15"/>
      <c r="AM70" s="58"/>
      <c r="AN70" s="15"/>
      <c r="AO70" s="58"/>
      <c r="AP70" s="15"/>
      <c r="AQ70" s="58"/>
      <c r="AR70" s="15"/>
      <c r="AS70" s="58"/>
      <c r="AT70" s="15"/>
      <c r="AU70" s="58"/>
      <c r="AV70" s="15"/>
      <c r="AW70" s="58"/>
      <c r="AX70" s="15"/>
      <c r="AY70" s="58"/>
      <c r="AZ70" s="15"/>
      <c r="BA70" s="58"/>
      <c r="BB70" s="15"/>
      <c r="BC70" s="58"/>
      <c r="BD70" s="15"/>
      <c r="BE70" s="58"/>
      <c r="BF70" s="15"/>
      <c r="BG70" s="58"/>
      <c r="BH70" s="15"/>
      <c r="BI70" s="58"/>
      <c r="BJ70" s="15"/>
      <c r="BK70" s="58"/>
      <c r="BL70" s="15"/>
      <c r="BM70" s="58"/>
      <c r="BN70" s="15"/>
      <c r="BO70" s="58"/>
      <c r="BP70" s="15"/>
      <c r="BQ70" s="58"/>
      <c r="BR70" s="15"/>
      <c r="BS70" s="58"/>
      <c r="BT70" s="15"/>
      <c r="BU70" s="58"/>
      <c r="BV70" s="15"/>
      <c r="BW70" s="58"/>
      <c r="BX70" s="15"/>
      <c r="BY70" s="58"/>
      <c r="BZ70" s="15"/>
      <c r="CA70" s="58"/>
      <c r="CB70" s="15"/>
      <c r="CC70" s="58"/>
      <c r="CD70" s="15"/>
      <c r="CE70" s="58"/>
      <c r="CF70" s="15"/>
      <c r="CG70" s="58"/>
      <c r="CH70" s="15"/>
      <c r="CI70" s="58"/>
      <c r="CJ70" s="15"/>
      <c r="CK70" s="58"/>
      <c r="CL70" s="15"/>
      <c r="CM70" s="58"/>
      <c r="CN70" s="15"/>
      <c r="CO70" s="58"/>
      <c r="CP70" s="15"/>
      <c r="CQ70" s="58"/>
      <c r="CR70" s="15"/>
      <c r="CS70" s="58"/>
      <c r="CT70" s="15"/>
      <c r="CU70" s="58"/>
      <c r="CV70" s="15"/>
      <c r="CW70" s="58"/>
      <c r="CX70" s="15"/>
      <c r="CY70" s="58"/>
      <c r="CZ70" s="15"/>
      <c r="DA70" s="58"/>
      <c r="DB70" s="15"/>
      <c r="DC70" s="58"/>
      <c r="DD70" s="15"/>
      <c r="DE70" s="58"/>
      <c r="DF70" s="15"/>
      <c r="DG70" s="58"/>
      <c r="DH70" s="15"/>
      <c r="DI70" s="58"/>
      <c r="DJ70" s="15"/>
      <c r="DK70" s="58"/>
      <c r="DL70" s="15"/>
      <c r="DM70" s="58"/>
      <c r="DN70" s="15"/>
      <c r="DO70" s="58"/>
      <c r="DP70" s="15"/>
      <c r="DQ70" s="58"/>
      <c r="DR70" s="15"/>
      <c r="DS70" s="58"/>
      <c r="DT70" s="15"/>
      <c r="DU70" s="58"/>
      <c r="DV70" s="15"/>
      <c r="DW70" s="58"/>
      <c r="DX70" s="15"/>
      <c r="DY70" s="58"/>
      <c r="DZ70" s="15"/>
      <c r="EA70" s="58"/>
      <c r="EB70" s="15"/>
      <c r="EC70" s="58"/>
      <c r="ED70" s="15"/>
      <c r="EE70" s="217"/>
      <c r="EF70" s="12">
        <v>2000000</v>
      </c>
      <c r="EG70" s="317">
        <v>1870000</v>
      </c>
      <c r="EH70" s="318">
        <v>1900000</v>
      </c>
      <c r="EI70" s="226"/>
      <c r="EJ70" s="227"/>
      <c r="EK70" s="227"/>
      <c r="EL70" s="227"/>
      <c r="EM70" s="227"/>
      <c r="EN70" s="208" t="s">
        <v>209</v>
      </c>
      <c r="EO70" s="246" t="s">
        <v>209</v>
      </c>
      <c r="EP70" s="246" t="s">
        <v>209</v>
      </c>
      <c r="EQ70" s="246" t="s">
        <v>209</v>
      </c>
      <c r="ER70" s="246"/>
      <c r="ES70" s="246"/>
      <c r="ET70" s="246"/>
      <c r="EU70" s="246"/>
      <c r="EV70" s="246"/>
      <c r="EW70" s="246"/>
      <c r="EX70" s="246"/>
      <c r="EY70" s="246"/>
      <c r="EZ70" s="246"/>
      <c r="FA70" s="246"/>
      <c r="FB70" s="59">
        <f>MEDIAN(EF70,EG70,EH70)</f>
        <v>1900000</v>
      </c>
      <c r="FC70" s="59">
        <f>AVERAGE(EF70,EG70,EH70)</f>
        <v>1923333.3333333333</v>
      </c>
      <c r="FD70" s="60">
        <f>STDEV(EF70,EG70,EH70)</f>
        <v>68068.592855540453</v>
      </c>
      <c r="FE70" s="65">
        <f t="shared" si="2"/>
        <v>3.5390949491615489E-2</v>
      </c>
      <c r="FF70" s="88">
        <f t="shared" si="8"/>
        <v>1616247.0588235294</v>
      </c>
      <c r="FG70" s="88">
        <f t="shared" si="9"/>
        <v>307086.9411764706</v>
      </c>
      <c r="FH70" s="74">
        <f t="shared" si="11"/>
        <v>1923334</v>
      </c>
      <c r="FI70" s="260">
        <f t="shared" si="12"/>
        <v>57700020</v>
      </c>
      <c r="FJ70" s="60" t="s">
        <v>65</v>
      </c>
    </row>
    <row r="71" spans="1:166" s="71" customFormat="1" ht="85.5" customHeight="1" x14ac:dyDescent="0.35">
      <c r="A71" s="36">
        <v>65</v>
      </c>
      <c r="B71" s="210" t="s">
        <v>256</v>
      </c>
      <c r="C71" s="38" t="s">
        <v>944</v>
      </c>
      <c r="D71" s="249" t="s">
        <v>64</v>
      </c>
      <c r="E71" s="220">
        <v>50</v>
      </c>
      <c r="F71" s="58"/>
      <c r="G71" s="58"/>
      <c r="H71" s="58"/>
      <c r="I71" s="58"/>
      <c r="J71" s="58"/>
      <c r="K71" s="58"/>
      <c r="L71" s="15"/>
      <c r="M71" s="58"/>
      <c r="N71" s="15"/>
      <c r="O71" s="58"/>
      <c r="P71" s="15"/>
      <c r="Q71" s="58"/>
      <c r="R71" s="15"/>
      <c r="S71" s="58"/>
      <c r="T71" s="15"/>
      <c r="U71" s="58">
        <f t="shared" ref="U71" si="53">+(T71*5.1%)+T71</f>
        <v>0</v>
      </c>
      <c r="V71" s="15">
        <v>20000</v>
      </c>
      <c r="W71" s="58">
        <f t="shared" ref="W71" si="54">+(V71*5.1%)+V71</f>
        <v>21020</v>
      </c>
      <c r="X71" s="15">
        <v>28000</v>
      </c>
      <c r="Y71" s="58">
        <f t="shared" ref="Y71" si="55">+(X71*5.1%)+X71</f>
        <v>29428</v>
      </c>
      <c r="Z71" s="15"/>
      <c r="AA71" s="58"/>
      <c r="AB71" s="15"/>
      <c r="AC71" s="58"/>
      <c r="AD71" s="58"/>
      <c r="AE71" s="58"/>
      <c r="AF71" s="15"/>
      <c r="AG71" s="58"/>
      <c r="AH71" s="15"/>
      <c r="AI71" s="58"/>
      <c r="AJ71" s="15"/>
      <c r="AK71" s="58"/>
      <c r="AL71" s="15"/>
      <c r="AM71" s="58"/>
      <c r="AN71" s="15"/>
      <c r="AO71" s="58"/>
      <c r="AP71" s="15"/>
      <c r="AQ71" s="58"/>
      <c r="AR71" s="15"/>
      <c r="AS71" s="58"/>
      <c r="AT71" s="15"/>
      <c r="AU71" s="58"/>
      <c r="AV71" s="15"/>
      <c r="AW71" s="58"/>
      <c r="AX71" s="15"/>
      <c r="AY71" s="58"/>
      <c r="AZ71" s="15"/>
      <c r="BA71" s="58"/>
      <c r="BB71" s="15"/>
      <c r="BC71" s="58"/>
      <c r="BD71" s="15"/>
      <c r="BE71" s="58"/>
      <c r="BF71" s="15"/>
      <c r="BG71" s="58"/>
      <c r="BH71" s="15"/>
      <c r="BI71" s="58"/>
      <c r="BJ71" s="15"/>
      <c r="BK71" s="58"/>
      <c r="BL71" s="15"/>
      <c r="BM71" s="58"/>
      <c r="BN71" s="15"/>
      <c r="BO71" s="58"/>
      <c r="BP71" s="15">
        <v>45000</v>
      </c>
      <c r="BQ71" s="58">
        <f t="shared" ref="BQ71" si="56">+(BP71*5.1%)+BP71</f>
        <v>47295</v>
      </c>
      <c r="BR71" s="15"/>
      <c r="BS71" s="58"/>
      <c r="BT71" s="15"/>
      <c r="BU71" s="58"/>
      <c r="BV71" s="15"/>
      <c r="BW71" s="58"/>
      <c r="BX71" s="15"/>
      <c r="BY71" s="58"/>
      <c r="BZ71" s="15"/>
      <c r="CA71" s="58"/>
      <c r="CB71" s="15"/>
      <c r="CC71" s="58"/>
      <c r="CD71" s="15"/>
      <c r="CE71" s="58"/>
      <c r="CF71" s="15"/>
      <c r="CG71" s="58"/>
      <c r="CH71" s="15"/>
      <c r="CI71" s="58"/>
      <c r="CJ71" s="15"/>
      <c r="CK71" s="58"/>
      <c r="CL71" s="15"/>
      <c r="CM71" s="58"/>
      <c r="CN71" s="15"/>
      <c r="CO71" s="58"/>
      <c r="CP71" s="15"/>
      <c r="CQ71" s="58"/>
      <c r="CR71" s="15"/>
      <c r="CS71" s="58"/>
      <c r="CT71" s="15"/>
      <c r="CU71" s="58"/>
      <c r="CV71" s="15"/>
      <c r="CW71" s="58"/>
      <c r="CX71" s="15"/>
      <c r="CY71" s="58"/>
      <c r="CZ71" s="15"/>
      <c r="DA71" s="58"/>
      <c r="DB71" s="15"/>
      <c r="DC71" s="58"/>
      <c r="DD71" s="15"/>
      <c r="DE71" s="58"/>
      <c r="DF71" s="15"/>
      <c r="DG71" s="58"/>
      <c r="DH71" s="15"/>
      <c r="DI71" s="58"/>
      <c r="DJ71" s="15"/>
      <c r="DK71" s="58"/>
      <c r="DL71" s="15"/>
      <c r="DM71" s="58"/>
      <c r="DN71" s="15"/>
      <c r="DO71" s="58"/>
      <c r="DP71" s="15"/>
      <c r="DQ71" s="58"/>
      <c r="DR71" s="15"/>
      <c r="DS71" s="58"/>
      <c r="DT71" s="15"/>
      <c r="DU71" s="58"/>
      <c r="DV71" s="15"/>
      <c r="DW71" s="58"/>
      <c r="DX71" s="15"/>
      <c r="DY71" s="58"/>
      <c r="DZ71" s="15"/>
      <c r="EA71" s="58"/>
      <c r="EB71" s="15"/>
      <c r="EC71" s="58"/>
      <c r="ED71" s="15"/>
      <c r="EE71" s="217"/>
      <c r="EF71" s="222"/>
      <c r="EG71" s="110"/>
      <c r="EH71" s="111"/>
      <c r="EI71" s="226"/>
      <c r="EJ71" s="222"/>
      <c r="EK71" s="222"/>
      <c r="EL71" s="222"/>
      <c r="EM71" s="222"/>
      <c r="EN71" s="208" t="s">
        <v>209</v>
      </c>
      <c r="EO71" s="246" t="s">
        <v>209</v>
      </c>
      <c r="EP71" s="246" t="s">
        <v>209</v>
      </c>
      <c r="EQ71" s="246" t="s">
        <v>209</v>
      </c>
      <c r="ER71" s="246"/>
      <c r="ES71" s="246"/>
      <c r="ET71" s="246"/>
      <c r="EU71" s="246"/>
      <c r="EV71" s="246"/>
      <c r="EW71" s="246"/>
      <c r="EX71" s="246"/>
      <c r="EY71" s="246"/>
      <c r="EZ71" s="246"/>
      <c r="FA71" s="246"/>
      <c r="FB71" s="63">
        <f>MEDIAN(W71,Y71)</f>
        <v>25224</v>
      </c>
      <c r="FC71" s="63">
        <f>AVERAGE(W71,Y71)</f>
        <v>25224</v>
      </c>
      <c r="FD71" s="60">
        <f>STDEV(W71,Y71)</f>
        <v>5945.3538162164914</v>
      </c>
      <c r="FE71" s="65">
        <f t="shared" ref="FE71:FE132" si="57">FD71/FC71</f>
        <v>0.23570226039551584</v>
      </c>
      <c r="FF71" s="88">
        <f t="shared" si="8"/>
        <v>21196.638655462186</v>
      </c>
      <c r="FG71" s="88">
        <f t="shared" si="9"/>
        <v>4027.3613445378155</v>
      </c>
      <c r="FH71" s="74">
        <f t="shared" ref="FH71:FH100" si="58">ROUNDUP(IF(FE71&lt;15%,FC71,FB71),0)</f>
        <v>25224</v>
      </c>
      <c r="FI71" s="260">
        <f t="shared" ref="FI71:FI92" si="59">+FH71*E71</f>
        <v>1261200</v>
      </c>
      <c r="FJ71" s="60" t="s">
        <v>1035</v>
      </c>
    </row>
    <row r="72" spans="1:166" s="40" customFormat="1" ht="85.5" customHeight="1" x14ac:dyDescent="0.35">
      <c r="A72" s="37">
        <v>66</v>
      </c>
      <c r="B72" s="210" t="s">
        <v>257</v>
      </c>
      <c r="C72" s="38" t="s">
        <v>945</v>
      </c>
      <c r="D72" s="249" t="s">
        <v>64</v>
      </c>
      <c r="E72" s="220">
        <v>50</v>
      </c>
      <c r="F72" s="58"/>
      <c r="G72" s="58"/>
      <c r="H72" s="58"/>
      <c r="I72" s="58"/>
      <c r="J72" s="58"/>
      <c r="K72" s="58"/>
      <c r="L72" s="15"/>
      <c r="M72" s="58"/>
      <c r="N72" s="15"/>
      <c r="O72" s="58"/>
      <c r="P72" s="15"/>
      <c r="Q72" s="58"/>
      <c r="R72" s="15"/>
      <c r="S72" s="58"/>
      <c r="T72" s="15"/>
      <c r="U72" s="58"/>
      <c r="V72" s="15"/>
      <c r="W72" s="58"/>
      <c r="X72" s="15"/>
      <c r="Y72" s="58"/>
      <c r="Z72" s="15"/>
      <c r="AA72" s="58"/>
      <c r="AB72" s="15"/>
      <c r="AC72" s="58"/>
      <c r="AD72" s="58"/>
      <c r="AE72" s="58"/>
      <c r="AF72" s="15"/>
      <c r="AG72" s="58"/>
      <c r="AH72" s="15"/>
      <c r="AI72" s="58"/>
      <c r="AJ72" s="15"/>
      <c r="AK72" s="58"/>
      <c r="AL72" s="15"/>
      <c r="AM72" s="58"/>
      <c r="AN72" s="15"/>
      <c r="AO72" s="58"/>
      <c r="AP72" s="15"/>
      <c r="AQ72" s="58"/>
      <c r="AR72" s="15"/>
      <c r="AS72" s="58"/>
      <c r="AT72" s="15"/>
      <c r="AU72" s="58"/>
      <c r="AV72" s="15"/>
      <c r="AW72" s="58"/>
      <c r="AX72" s="15"/>
      <c r="AY72" s="58"/>
      <c r="AZ72" s="15"/>
      <c r="BA72" s="58"/>
      <c r="BB72" s="15"/>
      <c r="BC72" s="58"/>
      <c r="BD72" s="15"/>
      <c r="BE72" s="58"/>
      <c r="BF72" s="15"/>
      <c r="BG72" s="58"/>
      <c r="BH72" s="15"/>
      <c r="BI72" s="58"/>
      <c r="BJ72" s="15"/>
      <c r="BK72" s="58"/>
      <c r="BL72" s="15"/>
      <c r="BM72" s="58"/>
      <c r="BN72" s="15"/>
      <c r="BO72" s="58"/>
      <c r="BP72" s="15"/>
      <c r="BQ72" s="58"/>
      <c r="BR72" s="15"/>
      <c r="BS72" s="58"/>
      <c r="BT72" s="15"/>
      <c r="BU72" s="58"/>
      <c r="BV72" s="15"/>
      <c r="BW72" s="58"/>
      <c r="BX72" s="15"/>
      <c r="BY72" s="58"/>
      <c r="BZ72" s="15"/>
      <c r="CA72" s="58"/>
      <c r="CB72" s="15"/>
      <c r="CC72" s="58"/>
      <c r="CD72" s="15"/>
      <c r="CE72" s="58"/>
      <c r="CF72" s="15"/>
      <c r="CG72" s="58"/>
      <c r="CH72" s="15"/>
      <c r="CI72" s="58"/>
      <c r="CJ72" s="15"/>
      <c r="CK72" s="58"/>
      <c r="CL72" s="15"/>
      <c r="CM72" s="58"/>
      <c r="CN72" s="15"/>
      <c r="CO72" s="58"/>
      <c r="CP72" s="15"/>
      <c r="CQ72" s="58"/>
      <c r="CR72" s="15"/>
      <c r="CS72" s="58"/>
      <c r="CT72" s="15"/>
      <c r="CU72" s="58"/>
      <c r="CV72" s="15"/>
      <c r="CW72" s="58"/>
      <c r="CX72" s="15"/>
      <c r="CY72" s="58"/>
      <c r="CZ72" s="15"/>
      <c r="DA72" s="58"/>
      <c r="DB72" s="15"/>
      <c r="DC72" s="58"/>
      <c r="DD72" s="15"/>
      <c r="DE72" s="58"/>
      <c r="DF72" s="15"/>
      <c r="DG72" s="58"/>
      <c r="DH72" s="15"/>
      <c r="DI72" s="58"/>
      <c r="DJ72" s="15"/>
      <c r="DK72" s="58"/>
      <c r="DL72" s="15"/>
      <c r="DM72" s="58"/>
      <c r="DN72" s="15"/>
      <c r="DO72" s="58"/>
      <c r="DP72" s="15"/>
      <c r="DQ72" s="58"/>
      <c r="DR72" s="15"/>
      <c r="DS72" s="58"/>
      <c r="DT72" s="15"/>
      <c r="DU72" s="58"/>
      <c r="DV72" s="15"/>
      <c r="DW72" s="58"/>
      <c r="DX72" s="15"/>
      <c r="DY72" s="58"/>
      <c r="DZ72" s="15"/>
      <c r="EA72" s="58"/>
      <c r="EB72" s="15"/>
      <c r="EC72" s="58"/>
      <c r="ED72" s="15"/>
      <c r="EE72" s="217"/>
      <c r="EF72" s="222"/>
      <c r="EG72" s="319">
        <v>29300</v>
      </c>
      <c r="EH72" s="236">
        <v>31000</v>
      </c>
      <c r="EI72" s="218"/>
      <c r="EJ72" s="218"/>
      <c r="EK72" s="218"/>
      <c r="EL72" s="218"/>
      <c r="EM72" s="218"/>
      <c r="EN72" s="246" t="s">
        <v>209</v>
      </c>
      <c r="EO72" s="246" t="s">
        <v>209</v>
      </c>
      <c r="EP72" s="246" t="s">
        <v>209</v>
      </c>
      <c r="EQ72" s="246" t="s">
        <v>209</v>
      </c>
      <c r="ER72" s="246"/>
      <c r="ES72" s="246"/>
      <c r="ET72" s="246"/>
      <c r="EU72" s="246"/>
      <c r="EV72" s="246"/>
      <c r="EW72" s="246"/>
      <c r="EX72" s="246"/>
      <c r="EY72" s="246"/>
      <c r="EZ72" s="246"/>
      <c r="FA72" s="246"/>
      <c r="FB72" s="59">
        <f>MEDIAN(EG72,EH72)</f>
        <v>30150</v>
      </c>
      <c r="FC72" s="59">
        <f>AVERAGE(EG72,EH72)</f>
        <v>30150</v>
      </c>
      <c r="FD72" s="60">
        <f>STDEV(EG72,EH72)</f>
        <v>1202.0815280171307</v>
      </c>
      <c r="FE72" s="65">
        <f t="shared" si="57"/>
        <v>3.9870034096753923E-2</v>
      </c>
      <c r="FF72" s="88">
        <f t="shared" ref="FF72:FF133" si="60">FH72/1.19</f>
        <v>25336.134453781513</v>
      </c>
      <c r="FG72" s="88">
        <f t="shared" ref="FG72:FG133" si="61">+FF72*19%</f>
        <v>4813.8655462184879</v>
      </c>
      <c r="FH72" s="74">
        <f t="shared" si="58"/>
        <v>30150</v>
      </c>
      <c r="FI72" s="260">
        <f t="shared" si="59"/>
        <v>1507500</v>
      </c>
      <c r="FJ72" s="60" t="s">
        <v>65</v>
      </c>
    </row>
    <row r="73" spans="1:166" s="40" customFormat="1" ht="85.5" customHeight="1" x14ac:dyDescent="0.35">
      <c r="A73" s="37">
        <v>67</v>
      </c>
      <c r="B73" s="210" t="s">
        <v>257</v>
      </c>
      <c r="C73" s="36" t="s">
        <v>946</v>
      </c>
      <c r="D73" s="249" t="s">
        <v>64</v>
      </c>
      <c r="E73" s="220">
        <v>4</v>
      </c>
      <c r="F73" s="58"/>
      <c r="G73" s="58"/>
      <c r="H73" s="58"/>
      <c r="I73" s="58"/>
      <c r="J73" s="58"/>
      <c r="K73" s="58"/>
      <c r="L73" s="15"/>
      <c r="M73" s="58"/>
      <c r="N73" s="15"/>
      <c r="O73" s="58"/>
      <c r="P73" s="15"/>
      <c r="Q73" s="58"/>
      <c r="R73" s="15"/>
      <c r="S73" s="58"/>
      <c r="T73" s="15"/>
      <c r="U73" s="58"/>
      <c r="V73" s="15"/>
      <c r="W73" s="58"/>
      <c r="X73" s="15"/>
      <c r="Y73" s="58"/>
      <c r="Z73" s="15"/>
      <c r="AA73" s="58"/>
      <c r="AB73" s="15"/>
      <c r="AC73" s="58"/>
      <c r="AD73" s="58">
        <v>41327.010199999997</v>
      </c>
      <c r="AE73" s="58">
        <f t="shared" ref="AE73" si="62">+(AD73*5.1%)+AD73</f>
        <v>43434.687720199996</v>
      </c>
      <c r="AF73" s="15"/>
      <c r="AG73" s="58"/>
      <c r="AH73" s="15"/>
      <c r="AI73" s="58"/>
      <c r="AJ73" s="15"/>
      <c r="AK73" s="58"/>
      <c r="AL73" s="15"/>
      <c r="AM73" s="58"/>
      <c r="AN73" s="15"/>
      <c r="AO73" s="58"/>
      <c r="AP73" s="15"/>
      <c r="AQ73" s="58"/>
      <c r="AR73" s="15"/>
      <c r="AS73" s="58"/>
      <c r="AT73" s="15"/>
      <c r="AU73" s="58"/>
      <c r="AV73" s="15"/>
      <c r="AW73" s="58"/>
      <c r="AX73" s="15"/>
      <c r="AY73" s="58"/>
      <c r="AZ73" s="15"/>
      <c r="BA73" s="58"/>
      <c r="BB73" s="15"/>
      <c r="BC73" s="58"/>
      <c r="BD73" s="15"/>
      <c r="BE73" s="58"/>
      <c r="BF73" s="15"/>
      <c r="BG73" s="58"/>
      <c r="BH73" s="15"/>
      <c r="BI73" s="58"/>
      <c r="BJ73" s="15"/>
      <c r="BK73" s="58"/>
      <c r="BL73" s="15"/>
      <c r="BM73" s="58"/>
      <c r="BN73" s="15"/>
      <c r="BO73" s="58"/>
      <c r="BP73" s="15"/>
      <c r="BQ73" s="58"/>
      <c r="BR73" s="15"/>
      <c r="BS73" s="58"/>
      <c r="BT73" s="15"/>
      <c r="BU73" s="58"/>
      <c r="BV73" s="15"/>
      <c r="BW73" s="58"/>
      <c r="BX73" s="15"/>
      <c r="BY73" s="58"/>
      <c r="BZ73" s="15"/>
      <c r="CA73" s="58"/>
      <c r="CB73" s="15"/>
      <c r="CC73" s="58"/>
      <c r="CD73" s="15"/>
      <c r="CE73" s="58"/>
      <c r="CF73" s="15"/>
      <c r="CG73" s="58"/>
      <c r="CH73" s="15"/>
      <c r="CI73" s="58"/>
      <c r="CJ73" s="15">
        <v>40307</v>
      </c>
      <c r="CK73" s="58">
        <f t="shared" ref="CK73" si="63">+(CJ73*5.1%)+CJ73</f>
        <v>42362.656999999999</v>
      </c>
      <c r="CL73" s="15"/>
      <c r="CM73" s="58"/>
      <c r="CN73" s="15"/>
      <c r="CO73" s="58"/>
      <c r="CP73" s="15"/>
      <c r="CQ73" s="58"/>
      <c r="CR73" s="15"/>
      <c r="CS73" s="58"/>
      <c r="CT73" s="15"/>
      <c r="CU73" s="58"/>
      <c r="CV73" s="15"/>
      <c r="CW73" s="58"/>
      <c r="CX73" s="15"/>
      <c r="CY73" s="58"/>
      <c r="CZ73" s="15"/>
      <c r="DA73" s="58"/>
      <c r="DB73" s="15"/>
      <c r="DC73" s="58"/>
      <c r="DD73" s="15"/>
      <c r="DE73" s="58"/>
      <c r="DF73" s="15"/>
      <c r="DG73" s="58"/>
      <c r="DH73" s="15"/>
      <c r="DI73" s="58"/>
      <c r="DJ73" s="15"/>
      <c r="DK73" s="58"/>
      <c r="DL73" s="15"/>
      <c r="DM73" s="58"/>
      <c r="DN73" s="15"/>
      <c r="DO73" s="58"/>
      <c r="DP73" s="15"/>
      <c r="DQ73" s="58"/>
      <c r="DR73" s="15"/>
      <c r="DS73" s="58"/>
      <c r="DT73" s="15"/>
      <c r="DU73" s="58"/>
      <c r="DV73" s="15"/>
      <c r="DW73" s="58"/>
      <c r="DX73" s="15"/>
      <c r="DY73" s="58"/>
      <c r="DZ73" s="15"/>
      <c r="EA73" s="58"/>
      <c r="EB73" s="15"/>
      <c r="EC73" s="58"/>
      <c r="ED73" s="15"/>
      <c r="EE73" s="217"/>
      <c r="EF73" s="222"/>
      <c r="EG73" s="109"/>
      <c r="EH73" s="223"/>
      <c r="EI73" s="224"/>
      <c r="EJ73" s="224"/>
      <c r="EK73" s="224"/>
      <c r="EL73" s="224"/>
      <c r="EM73" s="224"/>
      <c r="EN73" s="247" t="s">
        <v>209</v>
      </c>
      <c r="EO73" s="247" t="s">
        <v>209</v>
      </c>
      <c r="EP73" s="247" t="s">
        <v>209</v>
      </c>
      <c r="EQ73" s="247" t="s">
        <v>209</v>
      </c>
      <c r="ER73" s="247"/>
      <c r="ES73" s="247"/>
      <c r="ET73" s="247"/>
      <c r="EU73" s="247"/>
      <c r="EV73" s="247"/>
      <c r="EW73" s="247"/>
      <c r="EX73" s="247"/>
      <c r="EY73" s="247"/>
      <c r="EZ73" s="247"/>
      <c r="FA73" s="247"/>
      <c r="FB73" s="63">
        <f>MEDIAN(AE73,CK73)</f>
        <v>42898.672360099998</v>
      </c>
      <c r="FC73" s="63">
        <f>AVERAGE(AE73,CK73)</f>
        <v>42898.672360099998</v>
      </c>
      <c r="FD73" s="64">
        <f>STDEV(AE73,CK73)</f>
        <v>758.04019189371604</v>
      </c>
      <c r="FE73" s="65">
        <f t="shared" si="57"/>
        <v>1.7670481396966687E-2</v>
      </c>
      <c r="FF73" s="88">
        <f t="shared" si="60"/>
        <v>36049.579831932773</v>
      </c>
      <c r="FG73" s="88">
        <f t="shared" si="61"/>
        <v>6849.4201680672268</v>
      </c>
      <c r="FH73" s="74">
        <f t="shared" si="58"/>
        <v>42899</v>
      </c>
      <c r="FI73" s="260">
        <f t="shared" si="59"/>
        <v>171596</v>
      </c>
      <c r="FJ73" s="60" t="s">
        <v>65</v>
      </c>
    </row>
    <row r="74" spans="1:166" s="40" customFormat="1" ht="85.5" customHeight="1" x14ac:dyDescent="0.35">
      <c r="A74" s="37">
        <v>68</v>
      </c>
      <c r="B74" s="210" t="s">
        <v>258</v>
      </c>
      <c r="C74" s="38" t="s">
        <v>947</v>
      </c>
      <c r="D74" s="249" t="s">
        <v>64</v>
      </c>
      <c r="E74" s="220">
        <v>4</v>
      </c>
      <c r="F74" s="58"/>
      <c r="G74" s="58"/>
      <c r="H74" s="58"/>
      <c r="I74" s="58"/>
      <c r="J74" s="58"/>
      <c r="K74" s="58"/>
      <c r="L74" s="15"/>
      <c r="M74" s="58"/>
      <c r="N74" s="15"/>
      <c r="O74" s="58"/>
      <c r="P74" s="15"/>
      <c r="Q74" s="58"/>
      <c r="R74" s="15"/>
      <c r="S74" s="58"/>
      <c r="T74" s="15"/>
      <c r="U74" s="58">
        <f t="shared" ref="U74" si="64">+(T74*5.1%)+T74</f>
        <v>0</v>
      </c>
      <c r="V74" s="15">
        <v>35000</v>
      </c>
      <c r="W74" s="58">
        <f t="shared" ref="W74" si="65">+(V74*5.1%)+V74</f>
        <v>36785</v>
      </c>
      <c r="X74" s="15">
        <v>26000</v>
      </c>
      <c r="Y74" s="58">
        <f t="shared" ref="Y74" si="66">+(X74*5.1%)+X74</f>
        <v>27326</v>
      </c>
      <c r="Z74" s="15"/>
      <c r="AA74" s="58"/>
      <c r="AB74" s="15"/>
      <c r="AC74" s="58"/>
      <c r="AD74" s="58"/>
      <c r="AE74" s="58"/>
      <c r="AF74" s="15"/>
      <c r="AG74" s="58"/>
      <c r="AH74" s="15"/>
      <c r="AI74" s="58"/>
      <c r="AJ74" s="15"/>
      <c r="AK74" s="58"/>
      <c r="AL74" s="15"/>
      <c r="AM74" s="58"/>
      <c r="AN74" s="15"/>
      <c r="AO74" s="58"/>
      <c r="AP74" s="15"/>
      <c r="AQ74" s="58"/>
      <c r="AR74" s="15"/>
      <c r="AS74" s="58"/>
      <c r="AT74" s="15"/>
      <c r="AU74" s="58"/>
      <c r="AV74" s="15"/>
      <c r="AW74" s="58"/>
      <c r="AX74" s="15"/>
      <c r="AY74" s="58"/>
      <c r="AZ74" s="15"/>
      <c r="BA74" s="58"/>
      <c r="BB74" s="15"/>
      <c r="BC74" s="58"/>
      <c r="BD74" s="15"/>
      <c r="BE74" s="58"/>
      <c r="BF74" s="15"/>
      <c r="BG74" s="58"/>
      <c r="BH74" s="15"/>
      <c r="BI74" s="58"/>
      <c r="BJ74" s="15"/>
      <c r="BK74" s="58"/>
      <c r="BL74" s="15"/>
      <c r="BM74" s="58"/>
      <c r="BN74" s="15"/>
      <c r="BO74" s="58"/>
      <c r="BP74" s="15"/>
      <c r="BQ74" s="58"/>
      <c r="BR74" s="15"/>
      <c r="BS74" s="58"/>
      <c r="BT74" s="15"/>
      <c r="BU74" s="58"/>
      <c r="BV74" s="15"/>
      <c r="BW74" s="58"/>
      <c r="BX74" s="15"/>
      <c r="BY74" s="58"/>
      <c r="BZ74" s="15"/>
      <c r="CA74" s="58"/>
      <c r="CB74" s="15"/>
      <c r="CC74" s="58"/>
      <c r="CD74" s="15"/>
      <c r="CE74" s="58"/>
      <c r="CF74" s="15"/>
      <c r="CG74" s="58"/>
      <c r="CH74" s="15"/>
      <c r="CI74" s="58"/>
      <c r="CJ74" s="15"/>
      <c r="CK74" s="58"/>
      <c r="CL74" s="15"/>
      <c r="CM74" s="58"/>
      <c r="CN74" s="15"/>
      <c r="CO74" s="58"/>
      <c r="CP74" s="15"/>
      <c r="CQ74" s="58"/>
      <c r="CR74" s="15"/>
      <c r="CS74" s="58"/>
      <c r="CT74" s="15"/>
      <c r="CU74" s="58"/>
      <c r="CV74" s="15"/>
      <c r="CW74" s="58"/>
      <c r="CX74" s="15"/>
      <c r="CY74" s="58"/>
      <c r="CZ74" s="15"/>
      <c r="DA74" s="58"/>
      <c r="DB74" s="15"/>
      <c r="DC74" s="58"/>
      <c r="DD74" s="15"/>
      <c r="DE74" s="58"/>
      <c r="DF74" s="15"/>
      <c r="DG74" s="58"/>
      <c r="DH74" s="15"/>
      <c r="DI74" s="58"/>
      <c r="DJ74" s="15"/>
      <c r="DK74" s="58"/>
      <c r="DL74" s="15"/>
      <c r="DM74" s="58"/>
      <c r="DN74" s="15"/>
      <c r="DO74" s="58"/>
      <c r="DP74" s="15"/>
      <c r="DQ74" s="58"/>
      <c r="DR74" s="15"/>
      <c r="DS74" s="58"/>
      <c r="DT74" s="15"/>
      <c r="DU74" s="58"/>
      <c r="DV74" s="15"/>
      <c r="DW74" s="58"/>
      <c r="DX74" s="48"/>
      <c r="DY74" s="58"/>
      <c r="DZ74" s="15">
        <v>40000</v>
      </c>
      <c r="EA74" s="58">
        <f t="shared" ref="EA74" si="67">+(DZ74*5.1%)+DZ74</f>
        <v>42040</v>
      </c>
      <c r="EB74" s="15"/>
      <c r="EC74" s="58"/>
      <c r="ED74" s="15"/>
      <c r="EE74" s="217"/>
      <c r="EF74" s="222"/>
      <c r="EG74" s="109"/>
      <c r="EH74" s="223"/>
      <c r="EI74" s="224"/>
      <c r="EJ74" s="224"/>
      <c r="EK74" s="224"/>
      <c r="EL74" s="224"/>
      <c r="EM74" s="224"/>
      <c r="EN74" s="246" t="s">
        <v>209</v>
      </c>
      <c r="EO74" s="246" t="s">
        <v>209</v>
      </c>
      <c r="EP74" s="246" t="s">
        <v>209</v>
      </c>
      <c r="EQ74" s="246" t="s">
        <v>209</v>
      </c>
      <c r="ER74" s="246"/>
      <c r="ES74" s="246"/>
      <c r="ET74" s="246"/>
      <c r="EU74" s="246"/>
      <c r="EV74" s="246"/>
      <c r="EW74" s="246"/>
      <c r="EX74" s="246"/>
      <c r="EY74" s="246"/>
      <c r="EZ74" s="246"/>
      <c r="FA74" s="246"/>
      <c r="FB74" s="63">
        <f>MEDIAN(W74,Y74,EA74)</f>
        <v>36785</v>
      </c>
      <c r="FC74" s="63">
        <f>AVERAGE(W74,Y74,EA74)</f>
        <v>35383.666666666664</v>
      </c>
      <c r="FD74" s="64">
        <f>STDEV(W74,Y74,EA74)</f>
        <v>7456.4234277120595</v>
      </c>
      <c r="FE74" s="65">
        <f t="shared" si="57"/>
        <v>0.21073065993854206</v>
      </c>
      <c r="FF74" s="88">
        <f t="shared" si="60"/>
        <v>30911.764705882353</v>
      </c>
      <c r="FG74" s="88">
        <f t="shared" si="61"/>
        <v>5873.2352941176468</v>
      </c>
      <c r="FH74" s="74">
        <f t="shared" si="58"/>
        <v>36785</v>
      </c>
      <c r="FI74" s="260">
        <f t="shared" si="59"/>
        <v>147140</v>
      </c>
      <c r="FJ74" s="60" t="s">
        <v>1035</v>
      </c>
    </row>
    <row r="75" spans="1:166" s="40" customFormat="1" ht="85.5" customHeight="1" x14ac:dyDescent="0.35">
      <c r="A75" s="36">
        <v>69</v>
      </c>
      <c r="B75" s="210" t="s">
        <v>259</v>
      </c>
      <c r="C75" s="38" t="s">
        <v>948</v>
      </c>
      <c r="D75" s="249" t="s">
        <v>64</v>
      </c>
      <c r="E75" s="220">
        <v>4</v>
      </c>
      <c r="F75" s="58"/>
      <c r="G75" s="58"/>
      <c r="H75" s="58"/>
      <c r="I75" s="58"/>
      <c r="J75" s="58"/>
      <c r="K75" s="58"/>
      <c r="L75" s="15"/>
      <c r="M75" s="58"/>
      <c r="N75" s="15"/>
      <c r="O75" s="58"/>
      <c r="P75" s="15"/>
      <c r="Q75" s="58"/>
      <c r="R75" s="15"/>
      <c r="S75" s="58"/>
      <c r="T75" s="15"/>
      <c r="U75" s="58">
        <f t="shared" ref="U75" si="68">+(T75*5.1%)+T75</f>
        <v>0</v>
      </c>
      <c r="V75" s="15">
        <f>12000*6</f>
        <v>72000</v>
      </c>
      <c r="W75" s="58">
        <f t="shared" ref="W75" si="69">+(V75*5.1%)+V75</f>
        <v>75672</v>
      </c>
      <c r="X75" s="15">
        <f>10000*6</f>
        <v>60000</v>
      </c>
      <c r="Y75" s="58">
        <f t="shared" ref="Y75" si="70">+(X75*5.1%)+X75</f>
        <v>63060</v>
      </c>
      <c r="Z75" s="15"/>
      <c r="AA75" s="58"/>
      <c r="AB75" s="15"/>
      <c r="AC75" s="58"/>
      <c r="AD75" s="58">
        <v>56168</v>
      </c>
      <c r="AE75" s="58">
        <f t="shared" ref="AE75" si="71">+(AD75*5.1%)+AD75</f>
        <v>59032.567999999999</v>
      </c>
      <c r="AF75" s="15"/>
      <c r="AG75" s="58"/>
      <c r="AH75" s="15"/>
      <c r="AI75" s="58"/>
      <c r="AJ75" s="15"/>
      <c r="AK75" s="58"/>
      <c r="AL75" s="15"/>
      <c r="AM75" s="58"/>
      <c r="AN75" s="15"/>
      <c r="AO75" s="58"/>
      <c r="AP75" s="15"/>
      <c r="AQ75" s="58"/>
      <c r="AR75" s="15"/>
      <c r="AS75" s="58"/>
      <c r="AT75" s="15"/>
      <c r="AU75" s="58"/>
      <c r="AV75" s="15"/>
      <c r="AW75" s="58"/>
      <c r="AX75" s="15"/>
      <c r="AY75" s="58"/>
      <c r="AZ75" s="15"/>
      <c r="BA75" s="58"/>
      <c r="BB75" s="15"/>
      <c r="BC75" s="58"/>
      <c r="BD75" s="15"/>
      <c r="BE75" s="58"/>
      <c r="BF75" s="15"/>
      <c r="BG75" s="58"/>
      <c r="BH75" s="15"/>
      <c r="BI75" s="58"/>
      <c r="BJ75" s="15"/>
      <c r="BK75" s="58"/>
      <c r="BL75" s="15"/>
      <c r="BM75" s="58"/>
      <c r="BN75" s="15"/>
      <c r="BO75" s="58"/>
      <c r="BP75" s="15"/>
      <c r="BQ75" s="58"/>
      <c r="BR75" s="15"/>
      <c r="BS75" s="58"/>
      <c r="BT75" s="15"/>
      <c r="BU75" s="58"/>
      <c r="BV75" s="15"/>
      <c r="BW75" s="58"/>
      <c r="BX75" s="15"/>
      <c r="BY75" s="58"/>
      <c r="BZ75" s="15"/>
      <c r="CA75" s="58"/>
      <c r="CB75" s="15"/>
      <c r="CC75" s="58"/>
      <c r="CD75" s="15"/>
      <c r="CE75" s="58"/>
      <c r="CF75" s="15"/>
      <c r="CG75" s="58"/>
      <c r="CH75" s="15"/>
      <c r="CI75" s="58"/>
      <c r="CJ75" s="15"/>
      <c r="CK75" s="58"/>
      <c r="CL75" s="15"/>
      <c r="CM75" s="58"/>
      <c r="CN75" s="15"/>
      <c r="CO75" s="58"/>
      <c r="CP75" s="15"/>
      <c r="CQ75" s="58"/>
      <c r="CR75" s="15"/>
      <c r="CS75" s="58"/>
      <c r="CT75" s="15"/>
      <c r="CU75" s="58"/>
      <c r="CV75" s="15"/>
      <c r="CW75" s="58"/>
      <c r="CX75" s="15"/>
      <c r="CY75" s="58"/>
      <c r="CZ75" s="15"/>
      <c r="DA75" s="58"/>
      <c r="DB75" s="15"/>
      <c r="DC75" s="58"/>
      <c r="DD75" s="15"/>
      <c r="DE75" s="58"/>
      <c r="DF75" s="15"/>
      <c r="DG75" s="58"/>
      <c r="DH75" s="15"/>
      <c r="DI75" s="58"/>
      <c r="DJ75" s="15"/>
      <c r="DK75" s="58"/>
      <c r="DL75" s="15"/>
      <c r="DM75" s="58"/>
      <c r="DN75" s="15"/>
      <c r="DO75" s="58"/>
      <c r="DP75" s="15"/>
      <c r="DQ75" s="58"/>
      <c r="DR75" s="15"/>
      <c r="DS75" s="58"/>
      <c r="DT75" s="15"/>
      <c r="DU75" s="58"/>
      <c r="DV75" s="15"/>
      <c r="DW75" s="58"/>
      <c r="DX75" s="15"/>
      <c r="DY75" s="58"/>
      <c r="DZ75" s="15"/>
      <c r="EA75" s="58"/>
      <c r="EB75" s="15"/>
      <c r="EC75" s="58"/>
      <c r="ED75" s="15"/>
      <c r="EE75" s="217"/>
      <c r="EF75" s="222"/>
      <c r="EG75" s="109"/>
      <c r="EH75" s="223"/>
      <c r="EI75" s="224"/>
      <c r="EJ75" s="224"/>
      <c r="EK75" s="224"/>
      <c r="EL75" s="224"/>
      <c r="EM75" s="224"/>
      <c r="EN75" s="246" t="s">
        <v>209</v>
      </c>
      <c r="EO75" s="246" t="s">
        <v>209</v>
      </c>
      <c r="EP75" s="246" t="s">
        <v>209</v>
      </c>
      <c r="EQ75" s="246" t="s">
        <v>209</v>
      </c>
      <c r="ER75" s="246"/>
      <c r="ES75" s="246"/>
      <c r="ET75" s="246"/>
      <c r="EU75" s="246"/>
      <c r="EV75" s="246"/>
      <c r="EW75" s="246"/>
      <c r="EX75" s="246"/>
      <c r="EY75" s="246"/>
      <c r="EZ75" s="246"/>
      <c r="FA75" s="246"/>
      <c r="FB75" s="63">
        <f>MEDIAN(W75,Y75,AE75)</f>
        <v>63060</v>
      </c>
      <c r="FC75" s="63">
        <f>AVERAGE(W75,Y75,AE75)</f>
        <v>65921.522666666671</v>
      </c>
      <c r="FD75" s="64">
        <f>STDEV(W75,Y75,AE75)</f>
        <v>8680.9508868292469</v>
      </c>
      <c r="FE75" s="65">
        <f t="shared" si="57"/>
        <v>0.13168614036305906</v>
      </c>
      <c r="FF75" s="88">
        <f t="shared" si="60"/>
        <v>55396.638655462186</v>
      </c>
      <c r="FG75" s="88">
        <f t="shared" si="61"/>
        <v>10525.361344537816</v>
      </c>
      <c r="FH75" s="74">
        <f t="shared" si="58"/>
        <v>65922</v>
      </c>
      <c r="FI75" s="260">
        <f t="shared" si="59"/>
        <v>263688</v>
      </c>
      <c r="FJ75" s="60" t="s">
        <v>1032</v>
      </c>
    </row>
    <row r="76" spans="1:166" s="40" customFormat="1" ht="85.5" customHeight="1" x14ac:dyDescent="0.35">
      <c r="A76" s="37">
        <v>70</v>
      </c>
      <c r="B76" s="210" t="s">
        <v>260</v>
      </c>
      <c r="C76" s="38" t="s">
        <v>949</v>
      </c>
      <c r="D76" s="249" t="s">
        <v>64</v>
      </c>
      <c r="E76" s="220">
        <v>5</v>
      </c>
      <c r="F76" s="58"/>
      <c r="G76" s="58"/>
      <c r="H76" s="58"/>
      <c r="I76" s="58"/>
      <c r="J76" s="58"/>
      <c r="K76" s="58"/>
      <c r="L76" s="15"/>
      <c r="M76" s="58"/>
      <c r="N76" s="15"/>
      <c r="O76" s="58"/>
      <c r="P76" s="15"/>
      <c r="Q76" s="58"/>
      <c r="R76" s="15"/>
      <c r="S76" s="58"/>
      <c r="T76" s="15"/>
      <c r="U76" s="58"/>
      <c r="V76" s="15"/>
      <c r="W76" s="58"/>
      <c r="X76" s="15"/>
      <c r="Y76" s="58"/>
      <c r="Z76" s="15"/>
      <c r="AA76" s="58"/>
      <c r="AB76" s="15"/>
      <c r="AC76" s="58"/>
      <c r="AD76" s="58">
        <v>25275.599999999999</v>
      </c>
      <c r="AE76" s="58">
        <f t="shared" ref="AE76" si="72">+(AD76*5.1%)+AD76</f>
        <v>26564.655599999998</v>
      </c>
      <c r="AF76" s="15"/>
      <c r="AG76" s="58"/>
      <c r="AH76" s="15"/>
      <c r="AI76" s="58"/>
      <c r="AJ76" s="15"/>
      <c r="AK76" s="58"/>
      <c r="AL76" s="15">
        <v>19000</v>
      </c>
      <c r="AM76" s="58">
        <f t="shared" ref="AM76" si="73">+(AL76*5.1%)+AL76</f>
        <v>19969</v>
      </c>
      <c r="AN76" s="15">
        <v>20000</v>
      </c>
      <c r="AO76" s="58">
        <f t="shared" ref="AO76" si="74">+(AN76*5.1%)+AN76</f>
        <v>21020</v>
      </c>
      <c r="AP76" s="15"/>
      <c r="AQ76" s="58"/>
      <c r="AR76" s="15"/>
      <c r="AS76" s="58"/>
      <c r="AT76" s="15"/>
      <c r="AU76" s="58"/>
      <c r="AV76" s="15"/>
      <c r="AW76" s="58"/>
      <c r="AX76" s="15"/>
      <c r="AY76" s="58"/>
      <c r="AZ76" s="15"/>
      <c r="BA76" s="58"/>
      <c r="BB76" s="15"/>
      <c r="BC76" s="58"/>
      <c r="BD76" s="15"/>
      <c r="BE76" s="58"/>
      <c r="BF76" s="15"/>
      <c r="BG76" s="58"/>
      <c r="BH76" s="15"/>
      <c r="BI76" s="58"/>
      <c r="BJ76" s="15"/>
      <c r="BK76" s="58"/>
      <c r="BL76" s="15"/>
      <c r="BM76" s="58"/>
      <c r="BN76" s="15"/>
      <c r="BO76" s="58"/>
      <c r="BP76" s="15"/>
      <c r="BQ76" s="58"/>
      <c r="BR76" s="15"/>
      <c r="BS76" s="58"/>
      <c r="BT76" s="15"/>
      <c r="BU76" s="58"/>
      <c r="BV76" s="15"/>
      <c r="BW76" s="58"/>
      <c r="BX76" s="15"/>
      <c r="BY76" s="58"/>
      <c r="BZ76" s="15"/>
      <c r="CA76" s="58"/>
      <c r="CB76" s="15"/>
      <c r="CC76" s="58"/>
      <c r="CD76" s="15"/>
      <c r="CE76" s="58"/>
      <c r="CF76" s="15"/>
      <c r="CG76" s="58"/>
      <c r="CH76" s="15"/>
      <c r="CI76" s="58"/>
      <c r="CJ76" s="15"/>
      <c r="CK76" s="58"/>
      <c r="CL76" s="15"/>
      <c r="CM76" s="58"/>
      <c r="CN76" s="15"/>
      <c r="CO76" s="58"/>
      <c r="CP76" s="15"/>
      <c r="CQ76" s="58"/>
      <c r="CR76" s="15"/>
      <c r="CS76" s="58"/>
      <c r="CT76" s="15"/>
      <c r="CU76" s="58"/>
      <c r="CV76" s="15"/>
      <c r="CW76" s="58"/>
      <c r="CX76" s="15"/>
      <c r="CY76" s="58"/>
      <c r="CZ76" s="15"/>
      <c r="DA76" s="58"/>
      <c r="DB76" s="15"/>
      <c r="DC76" s="58"/>
      <c r="DD76" s="15"/>
      <c r="DE76" s="58"/>
      <c r="DF76" s="15"/>
      <c r="DG76" s="58"/>
      <c r="DH76" s="15"/>
      <c r="DI76" s="58"/>
      <c r="DJ76" s="15"/>
      <c r="DK76" s="58"/>
      <c r="DL76" s="15"/>
      <c r="DM76" s="58"/>
      <c r="DN76" s="15"/>
      <c r="DO76" s="58"/>
      <c r="DP76" s="15"/>
      <c r="DQ76" s="58"/>
      <c r="DR76" s="15"/>
      <c r="DS76" s="58"/>
      <c r="DT76" s="15"/>
      <c r="DU76" s="58"/>
      <c r="DV76" s="15"/>
      <c r="DW76" s="58"/>
      <c r="DX76" s="15"/>
      <c r="DY76" s="58"/>
      <c r="DZ76" s="15">
        <v>20000</v>
      </c>
      <c r="EA76" s="58">
        <f t="shared" ref="EA76" si="75">+(DZ76*5.1%)+DZ76</f>
        <v>21020</v>
      </c>
      <c r="EB76" s="15"/>
      <c r="EC76" s="58"/>
      <c r="ED76" s="15"/>
      <c r="EE76" s="217"/>
      <c r="EF76" s="222"/>
      <c r="EG76" s="234"/>
      <c r="EH76" s="223"/>
      <c r="EI76" s="224"/>
      <c r="EJ76" s="224"/>
      <c r="EK76" s="224"/>
      <c r="EL76" s="224"/>
      <c r="EM76" s="224"/>
      <c r="EN76" s="246" t="s">
        <v>209</v>
      </c>
      <c r="EO76" s="246" t="s">
        <v>209</v>
      </c>
      <c r="EP76" s="246" t="s">
        <v>209</v>
      </c>
      <c r="EQ76" s="246" t="s">
        <v>209</v>
      </c>
      <c r="ER76" s="246"/>
      <c r="ES76" s="246"/>
      <c r="ET76" s="246"/>
      <c r="EU76" s="246"/>
      <c r="EV76" s="246"/>
      <c r="EW76" s="246"/>
      <c r="EX76" s="246"/>
      <c r="EY76" s="246"/>
      <c r="EZ76" s="246"/>
      <c r="FA76" s="246"/>
      <c r="FB76" s="63">
        <f>MEDIAN(AE76,AM76,AO76,BQ76,EA76)</f>
        <v>21020</v>
      </c>
      <c r="FC76" s="63">
        <f>AVERAGE(AE76,AM76,AO76,BQ76,EA76)</f>
        <v>22143.4139</v>
      </c>
      <c r="FD76" s="64">
        <f>STDEV(AE76,AM76,AO76,BQ76,EA76)</f>
        <v>2988.8443452142965</v>
      </c>
      <c r="FE76" s="65">
        <f t="shared" si="57"/>
        <v>0.13497667336716751</v>
      </c>
      <c r="FF76" s="88">
        <f t="shared" si="60"/>
        <v>18608.403361344539</v>
      </c>
      <c r="FG76" s="88">
        <f t="shared" si="61"/>
        <v>3535.5966386554624</v>
      </c>
      <c r="FH76" s="74">
        <f t="shared" si="58"/>
        <v>22144</v>
      </c>
      <c r="FI76" s="260">
        <f t="shared" si="59"/>
        <v>110720</v>
      </c>
      <c r="FJ76" s="60" t="s">
        <v>1032</v>
      </c>
    </row>
    <row r="77" spans="1:166" s="40" customFormat="1" ht="85.5" customHeight="1" x14ac:dyDescent="0.35">
      <c r="A77" s="37">
        <v>71</v>
      </c>
      <c r="B77" s="210" t="s">
        <v>261</v>
      </c>
      <c r="C77" s="38" t="s">
        <v>950</v>
      </c>
      <c r="D77" s="249" t="s">
        <v>64</v>
      </c>
      <c r="E77" s="220">
        <v>3</v>
      </c>
      <c r="F77" s="58"/>
      <c r="G77" s="58"/>
      <c r="H77" s="58"/>
      <c r="I77" s="58"/>
      <c r="J77" s="58"/>
      <c r="K77" s="58"/>
      <c r="L77" s="15"/>
      <c r="M77" s="58"/>
      <c r="N77" s="15"/>
      <c r="O77" s="58"/>
      <c r="P77" s="15"/>
      <c r="Q77" s="58"/>
      <c r="R77" s="15"/>
      <c r="S77" s="58"/>
      <c r="T77" s="15"/>
      <c r="U77" s="58"/>
      <c r="V77" s="15">
        <v>10000</v>
      </c>
      <c r="W77" s="58">
        <f t="shared" ref="W77" si="76">+(V77*5.1%)+V77</f>
        <v>10510</v>
      </c>
      <c r="X77" s="15">
        <v>8000</v>
      </c>
      <c r="Y77" s="58">
        <f t="shared" ref="Y77" si="77">+(X77*5.1%)+X77</f>
        <v>8408</v>
      </c>
      <c r="Z77" s="15"/>
      <c r="AA77" s="58"/>
      <c r="AB77" s="15"/>
      <c r="AC77" s="58"/>
      <c r="AD77" s="58"/>
      <c r="AE77" s="58"/>
      <c r="AF77" s="15"/>
      <c r="AG77" s="58"/>
      <c r="AH77" s="15"/>
      <c r="AI77" s="58"/>
      <c r="AJ77" s="15">
        <v>9000</v>
      </c>
      <c r="AK77" s="58">
        <f t="shared" ref="AK77" si="78">+(AJ77*5.1%)+AJ77</f>
        <v>9459</v>
      </c>
      <c r="AL77" s="15"/>
      <c r="AM77" s="58"/>
      <c r="AN77" s="15"/>
      <c r="AO77" s="58"/>
      <c r="AP77" s="15"/>
      <c r="AQ77" s="58"/>
      <c r="AR77" s="15"/>
      <c r="AS77" s="58"/>
      <c r="AT77" s="15"/>
      <c r="AU77" s="58"/>
      <c r="AV77" s="15"/>
      <c r="AW77" s="58"/>
      <c r="AX77" s="15"/>
      <c r="AY77" s="58"/>
      <c r="AZ77" s="15"/>
      <c r="BA77" s="58"/>
      <c r="BB77" s="15"/>
      <c r="BC77" s="58"/>
      <c r="BD77" s="15"/>
      <c r="BE77" s="58"/>
      <c r="BF77" s="15"/>
      <c r="BG77" s="58"/>
      <c r="BH77" s="15"/>
      <c r="BI77" s="58"/>
      <c r="BJ77" s="15"/>
      <c r="BK77" s="58"/>
      <c r="BL77" s="15"/>
      <c r="BM77" s="58"/>
      <c r="BN77" s="15"/>
      <c r="BO77" s="58"/>
      <c r="BP77" s="15"/>
      <c r="BQ77" s="58"/>
      <c r="BR77" s="15"/>
      <c r="BS77" s="58"/>
      <c r="BT77" s="15"/>
      <c r="BU77" s="58"/>
      <c r="BV77" s="15"/>
      <c r="BW77" s="58"/>
      <c r="BX77" s="15"/>
      <c r="BY77" s="58"/>
      <c r="BZ77" s="15"/>
      <c r="CA77" s="58"/>
      <c r="CB77" s="15"/>
      <c r="CC77" s="58"/>
      <c r="CD77" s="15"/>
      <c r="CE77" s="58"/>
      <c r="CF77" s="15"/>
      <c r="CG77" s="58"/>
      <c r="CH77" s="15"/>
      <c r="CI77" s="58"/>
      <c r="CJ77" s="15"/>
      <c r="CK77" s="58"/>
      <c r="CL77" s="15"/>
      <c r="CM77" s="58"/>
      <c r="CN77" s="15"/>
      <c r="CO77" s="58"/>
      <c r="CP77" s="15"/>
      <c r="CQ77" s="58"/>
      <c r="CR77" s="15"/>
      <c r="CS77" s="58"/>
      <c r="CT77" s="15"/>
      <c r="CU77" s="58"/>
      <c r="CV77" s="15"/>
      <c r="CW77" s="58"/>
      <c r="CX77" s="15"/>
      <c r="CY77" s="58"/>
      <c r="CZ77" s="15"/>
      <c r="DA77" s="58"/>
      <c r="DB77" s="15"/>
      <c r="DC77" s="58"/>
      <c r="DD77" s="15"/>
      <c r="DE77" s="58"/>
      <c r="DF77" s="15"/>
      <c r="DG77" s="58"/>
      <c r="DH77" s="15"/>
      <c r="DI77" s="58"/>
      <c r="DJ77" s="15"/>
      <c r="DK77" s="58"/>
      <c r="DL77" s="15"/>
      <c r="DM77" s="58"/>
      <c r="DN77" s="15"/>
      <c r="DO77" s="58"/>
      <c r="DP77" s="15"/>
      <c r="DQ77" s="58"/>
      <c r="DR77" s="15"/>
      <c r="DS77" s="58"/>
      <c r="DT77" s="15"/>
      <c r="DU77" s="58"/>
      <c r="DV77" s="15"/>
      <c r="DW77" s="58"/>
      <c r="DX77" s="15"/>
      <c r="DY77" s="58"/>
      <c r="DZ77" s="15">
        <v>15000</v>
      </c>
      <c r="EA77" s="58">
        <f t="shared" ref="EA77" si="79">+(DZ77*5.1%)+DZ77</f>
        <v>15765</v>
      </c>
      <c r="EB77" s="15"/>
      <c r="EC77" s="58"/>
      <c r="ED77" s="15"/>
      <c r="EE77" s="217"/>
      <c r="EF77" s="222"/>
      <c r="EG77" s="234"/>
      <c r="EH77" s="223"/>
      <c r="EI77" s="224"/>
      <c r="EJ77" s="224"/>
      <c r="EK77" s="224"/>
      <c r="EL77" s="224"/>
      <c r="EM77" s="224"/>
      <c r="EN77" s="246" t="s">
        <v>209</v>
      </c>
      <c r="EO77" s="246" t="s">
        <v>209</v>
      </c>
      <c r="EP77" s="246" t="s">
        <v>209</v>
      </c>
      <c r="EQ77" s="246" t="s">
        <v>209</v>
      </c>
      <c r="ER77" s="246"/>
      <c r="ES77" s="246"/>
      <c r="ET77" s="246"/>
      <c r="EU77" s="246"/>
      <c r="EV77" s="246"/>
      <c r="EW77" s="246"/>
      <c r="EX77" s="246"/>
      <c r="EY77" s="246"/>
      <c r="EZ77" s="246"/>
      <c r="FA77" s="246"/>
      <c r="FB77" s="63">
        <f>MEDIAN(W77,Y77,AK77)</f>
        <v>9459</v>
      </c>
      <c r="FC77" s="63">
        <f>AVERAGE(W77,Y77,AK77)</f>
        <v>9459</v>
      </c>
      <c r="FD77" s="64">
        <f>STDEV(W77,Y77,AK77)</f>
        <v>1051</v>
      </c>
      <c r="FE77" s="65">
        <f t="shared" si="57"/>
        <v>0.1111111111111111</v>
      </c>
      <c r="FF77" s="88">
        <f t="shared" si="60"/>
        <v>7948.7394957983197</v>
      </c>
      <c r="FG77" s="88">
        <f t="shared" si="61"/>
        <v>1510.2605042016808</v>
      </c>
      <c r="FH77" s="74">
        <f t="shared" si="58"/>
        <v>9459</v>
      </c>
      <c r="FI77" s="260">
        <f t="shared" si="59"/>
        <v>28377</v>
      </c>
      <c r="FJ77" s="60" t="s">
        <v>1032</v>
      </c>
    </row>
    <row r="78" spans="1:166" s="40" customFormat="1" ht="85.5" customHeight="1" x14ac:dyDescent="0.35">
      <c r="A78" s="36">
        <v>72</v>
      </c>
      <c r="B78" s="210" t="s">
        <v>262</v>
      </c>
      <c r="C78" s="38" t="s">
        <v>951</v>
      </c>
      <c r="D78" s="249" t="s">
        <v>64</v>
      </c>
      <c r="E78" s="220">
        <v>2</v>
      </c>
      <c r="F78" s="58"/>
      <c r="G78" s="58"/>
      <c r="H78" s="58"/>
      <c r="I78" s="58"/>
      <c r="J78" s="58"/>
      <c r="K78" s="58"/>
      <c r="L78" s="15"/>
      <c r="M78" s="58"/>
      <c r="N78" s="15"/>
      <c r="O78" s="58"/>
      <c r="P78" s="15"/>
      <c r="Q78" s="58"/>
      <c r="R78" s="15"/>
      <c r="S78" s="58"/>
      <c r="T78" s="15"/>
      <c r="U78" s="58"/>
      <c r="V78" s="15"/>
      <c r="W78" s="58"/>
      <c r="X78" s="15"/>
      <c r="Y78" s="58"/>
      <c r="Z78" s="15"/>
      <c r="AA78" s="58"/>
      <c r="AB78" s="15"/>
      <c r="AC78" s="58"/>
      <c r="AD78" s="58">
        <v>42126</v>
      </c>
      <c r="AE78" s="58">
        <f t="shared" ref="AE78" si="80">+(AD78*5.1%)+AD78</f>
        <v>44274.425999999999</v>
      </c>
      <c r="AF78" s="15"/>
      <c r="AG78" s="58"/>
      <c r="AH78" s="15"/>
      <c r="AI78" s="58"/>
      <c r="AJ78" s="15"/>
      <c r="AK78" s="58"/>
      <c r="AL78" s="15"/>
      <c r="AM78" s="58"/>
      <c r="AN78" s="15"/>
      <c r="AO78" s="58"/>
      <c r="AP78" s="15"/>
      <c r="AQ78" s="58"/>
      <c r="AR78" s="15"/>
      <c r="AS78" s="58"/>
      <c r="AT78" s="15"/>
      <c r="AU78" s="58"/>
      <c r="AV78" s="15"/>
      <c r="AW78" s="58"/>
      <c r="AX78" s="15"/>
      <c r="AY78" s="58"/>
      <c r="AZ78" s="15"/>
      <c r="BA78" s="58"/>
      <c r="BB78" s="15"/>
      <c r="BC78" s="58"/>
      <c r="BD78" s="15"/>
      <c r="BE78" s="58"/>
      <c r="BF78" s="15"/>
      <c r="BG78" s="58"/>
      <c r="BH78" s="15"/>
      <c r="BI78" s="58"/>
      <c r="BJ78" s="15"/>
      <c r="BK78" s="58"/>
      <c r="BL78" s="15"/>
      <c r="BM78" s="58"/>
      <c r="BN78" s="15"/>
      <c r="BO78" s="58"/>
      <c r="BP78" s="15"/>
      <c r="BQ78" s="58"/>
      <c r="BR78" s="15"/>
      <c r="BS78" s="58"/>
      <c r="BT78" s="15"/>
      <c r="BU78" s="58"/>
      <c r="BV78" s="15"/>
      <c r="BW78" s="58"/>
      <c r="BX78" s="15"/>
      <c r="BY78" s="58"/>
      <c r="BZ78" s="15"/>
      <c r="CA78" s="58"/>
      <c r="CB78" s="15"/>
      <c r="CC78" s="58"/>
      <c r="CD78" s="15"/>
      <c r="CE78" s="58"/>
      <c r="CF78" s="15"/>
      <c r="CG78" s="58"/>
      <c r="CH78" s="15"/>
      <c r="CI78" s="58"/>
      <c r="CJ78" s="15">
        <v>57546</v>
      </c>
      <c r="CK78" s="58">
        <f>+(CJ78*5.1%)+CJ78</f>
        <v>60480.845999999998</v>
      </c>
      <c r="CL78" s="15"/>
      <c r="CM78" s="58"/>
      <c r="CN78" s="15"/>
      <c r="CO78" s="58"/>
      <c r="CP78" s="15"/>
      <c r="CQ78" s="58"/>
      <c r="CR78" s="15"/>
      <c r="CS78" s="58"/>
      <c r="CT78" s="15"/>
      <c r="CU78" s="58"/>
      <c r="CV78" s="15"/>
      <c r="CW78" s="58"/>
      <c r="CX78" s="15"/>
      <c r="CY78" s="58"/>
      <c r="CZ78" s="15"/>
      <c r="DA78" s="58"/>
      <c r="DB78" s="15"/>
      <c r="DC78" s="58"/>
      <c r="DD78" s="15"/>
      <c r="DE78" s="58"/>
      <c r="DF78" s="15"/>
      <c r="DG78" s="58"/>
      <c r="DH78" s="15"/>
      <c r="DI78" s="58"/>
      <c r="DJ78" s="15"/>
      <c r="DK78" s="58"/>
      <c r="DL78" s="15"/>
      <c r="DM78" s="58"/>
      <c r="DN78" s="15"/>
      <c r="DO78" s="58"/>
      <c r="DP78" s="15"/>
      <c r="DQ78" s="58"/>
      <c r="DR78" s="15"/>
      <c r="DS78" s="58"/>
      <c r="DT78" s="15"/>
      <c r="DU78" s="58"/>
      <c r="DV78" s="15"/>
      <c r="DW78" s="58"/>
      <c r="DX78" s="15"/>
      <c r="DY78" s="58"/>
      <c r="DZ78" s="15"/>
      <c r="EA78" s="58"/>
      <c r="EB78" s="15"/>
      <c r="EC78" s="58"/>
      <c r="ED78" s="15"/>
      <c r="EE78" s="217"/>
      <c r="EF78" s="222"/>
      <c r="EG78" s="109"/>
      <c r="EH78" s="223"/>
      <c r="EI78" s="224"/>
      <c r="EJ78" s="224"/>
      <c r="EK78" s="224"/>
      <c r="EL78" s="224"/>
      <c r="EM78" s="224"/>
      <c r="EN78" s="246" t="s">
        <v>209</v>
      </c>
      <c r="EO78" s="246" t="s">
        <v>209</v>
      </c>
      <c r="EP78" s="246" t="s">
        <v>209</v>
      </c>
      <c r="EQ78" s="246" t="s">
        <v>209</v>
      </c>
      <c r="ER78" s="246"/>
      <c r="ES78" s="246"/>
      <c r="ET78" s="246"/>
      <c r="EU78" s="246"/>
      <c r="EV78" s="246"/>
      <c r="EW78" s="246"/>
      <c r="EX78" s="246"/>
      <c r="EY78" s="246"/>
      <c r="EZ78" s="246"/>
      <c r="FA78" s="246"/>
      <c r="FB78" s="63">
        <f>MEDIAN(AE78,CK78)</f>
        <v>52377.635999999999</v>
      </c>
      <c r="FC78" s="63">
        <f>AVERAGE(AE78,CK78)</f>
        <v>52377.635999999999</v>
      </c>
      <c r="FD78" s="64">
        <f>STDEV(AE78,CK78)</f>
        <v>11459.669480757291</v>
      </c>
      <c r="FE78" s="65">
        <f t="shared" si="57"/>
        <v>0.2187893604201093</v>
      </c>
      <c r="FF78" s="88">
        <f t="shared" si="60"/>
        <v>44015.126050420171</v>
      </c>
      <c r="FG78" s="88">
        <f t="shared" si="61"/>
        <v>8362.8739495798327</v>
      </c>
      <c r="FH78" s="74">
        <f t="shared" si="58"/>
        <v>52378</v>
      </c>
      <c r="FI78" s="260">
        <f t="shared" si="59"/>
        <v>104756</v>
      </c>
      <c r="FJ78" s="60" t="s">
        <v>66</v>
      </c>
    </row>
    <row r="79" spans="1:166" s="40" customFormat="1" ht="85.5" customHeight="1" x14ac:dyDescent="0.35">
      <c r="A79" s="36">
        <v>73</v>
      </c>
      <c r="B79" s="210" t="s">
        <v>263</v>
      </c>
      <c r="C79" s="38" t="s">
        <v>952</v>
      </c>
      <c r="D79" s="249" t="s">
        <v>64</v>
      </c>
      <c r="E79" s="220">
        <v>30</v>
      </c>
      <c r="F79" s="58"/>
      <c r="G79" s="58"/>
      <c r="H79" s="58"/>
      <c r="I79" s="58"/>
      <c r="J79" s="58"/>
      <c r="K79" s="58"/>
      <c r="L79" s="15"/>
      <c r="M79" s="58"/>
      <c r="N79" s="15"/>
      <c r="O79" s="58"/>
      <c r="P79" s="15"/>
      <c r="Q79" s="58"/>
      <c r="R79" s="15"/>
      <c r="S79" s="58"/>
      <c r="T79" s="15"/>
      <c r="U79" s="58"/>
      <c r="V79" s="15"/>
      <c r="W79" s="58"/>
      <c r="X79" s="15"/>
      <c r="Y79" s="58"/>
      <c r="Z79" s="15"/>
      <c r="AA79" s="58"/>
      <c r="AB79" s="15"/>
      <c r="AC79" s="58"/>
      <c r="AD79" s="58">
        <v>141122.1</v>
      </c>
      <c r="AE79" s="58">
        <f t="shared" ref="AE79" si="81">+(AD79*5.1%)+AD79</f>
        <v>148319.32709999999</v>
      </c>
      <c r="AF79" s="15"/>
      <c r="AG79" s="58"/>
      <c r="AH79" s="15"/>
      <c r="AI79" s="58"/>
      <c r="AJ79" s="15"/>
      <c r="AK79" s="58"/>
      <c r="AL79" s="15"/>
      <c r="AM79" s="58"/>
      <c r="AN79" s="15"/>
      <c r="AO79" s="58"/>
      <c r="AP79" s="15"/>
      <c r="AQ79" s="58"/>
      <c r="AR79" s="15"/>
      <c r="AS79" s="58"/>
      <c r="AT79" s="15"/>
      <c r="AU79" s="58"/>
      <c r="AV79" s="15"/>
      <c r="AW79" s="58"/>
      <c r="AX79" s="15"/>
      <c r="AY79" s="58"/>
      <c r="AZ79" s="15"/>
      <c r="BA79" s="58"/>
      <c r="BB79" s="15"/>
      <c r="BC79" s="58"/>
      <c r="BD79" s="15"/>
      <c r="BE79" s="58"/>
      <c r="BF79" s="15"/>
      <c r="BG79" s="58"/>
      <c r="BH79" s="15"/>
      <c r="BI79" s="58"/>
      <c r="BJ79" s="15"/>
      <c r="BK79" s="58"/>
      <c r="BL79" s="15"/>
      <c r="BM79" s="58"/>
      <c r="BN79" s="15"/>
      <c r="BO79" s="58"/>
      <c r="BP79" s="15"/>
      <c r="BQ79" s="58"/>
      <c r="BR79" s="15"/>
      <c r="BS79" s="58"/>
      <c r="BT79" s="15"/>
      <c r="BU79" s="58"/>
      <c r="BV79" s="15"/>
      <c r="BW79" s="58"/>
      <c r="BX79" s="15">
        <v>150000</v>
      </c>
      <c r="BY79" s="58">
        <f t="shared" ref="BY79" si="82">+(BX79*5.1%)+BX79</f>
        <v>157650</v>
      </c>
      <c r="BZ79" s="15">
        <v>135000</v>
      </c>
      <c r="CA79" s="58">
        <f t="shared" ref="CA79" si="83">+(BZ79*5.1%)+BZ79</f>
        <v>141885</v>
      </c>
      <c r="CB79" s="15"/>
      <c r="CC79" s="58"/>
      <c r="CD79" s="15"/>
      <c r="CE79" s="58"/>
      <c r="CF79" s="15"/>
      <c r="CG79" s="58"/>
      <c r="CH79" s="15"/>
      <c r="CI79" s="58"/>
      <c r="CJ79" s="15"/>
      <c r="CK79" s="58"/>
      <c r="CL79" s="15"/>
      <c r="CM79" s="58"/>
      <c r="CN79" s="15"/>
      <c r="CO79" s="58"/>
      <c r="CP79" s="15"/>
      <c r="CQ79" s="58"/>
      <c r="CR79" s="15"/>
      <c r="CS79" s="58"/>
      <c r="CT79" s="15"/>
      <c r="CU79" s="58"/>
      <c r="CV79" s="15"/>
      <c r="CW79" s="58"/>
      <c r="CX79" s="15"/>
      <c r="CY79" s="58"/>
      <c r="CZ79" s="15"/>
      <c r="DA79" s="58"/>
      <c r="DB79" s="15"/>
      <c r="DC79" s="58"/>
      <c r="DD79" s="15"/>
      <c r="DE79" s="58"/>
      <c r="DF79" s="15"/>
      <c r="DG79" s="58"/>
      <c r="DH79" s="15"/>
      <c r="DI79" s="58"/>
      <c r="DJ79" s="15"/>
      <c r="DK79" s="58"/>
      <c r="DL79" s="15"/>
      <c r="DM79" s="58"/>
      <c r="DN79" s="15"/>
      <c r="DO79" s="58"/>
      <c r="DP79" s="15"/>
      <c r="DQ79" s="58"/>
      <c r="DR79" s="15"/>
      <c r="DS79" s="58"/>
      <c r="DT79" s="15"/>
      <c r="DU79" s="58"/>
      <c r="DV79" s="15"/>
      <c r="DW79" s="58"/>
      <c r="DX79" s="15"/>
      <c r="DY79" s="58"/>
      <c r="DZ79" s="15"/>
      <c r="EA79" s="58"/>
      <c r="EB79" s="15"/>
      <c r="EC79" s="58"/>
      <c r="ED79" s="15"/>
      <c r="EE79" s="217"/>
      <c r="EF79" s="222"/>
      <c r="EG79" s="234"/>
      <c r="EH79" s="223"/>
      <c r="EI79" s="224"/>
      <c r="EJ79" s="224"/>
      <c r="EK79" s="224"/>
      <c r="EL79" s="224"/>
      <c r="EM79" s="224"/>
      <c r="EN79" s="246" t="s">
        <v>209</v>
      </c>
      <c r="EO79" s="246" t="s">
        <v>209</v>
      </c>
      <c r="EP79" s="246" t="s">
        <v>209</v>
      </c>
      <c r="EQ79" s="246" t="s">
        <v>209</v>
      </c>
      <c r="ER79" s="246"/>
      <c r="ES79" s="246"/>
      <c r="ET79" s="246"/>
      <c r="EU79" s="246"/>
      <c r="EV79" s="246"/>
      <c r="EW79" s="246"/>
      <c r="EX79" s="246"/>
      <c r="EY79" s="246"/>
      <c r="EZ79" s="246"/>
      <c r="FA79" s="246"/>
      <c r="FB79" s="63">
        <f>MEDIAN(BY79,CA79)</f>
        <v>149767.5</v>
      </c>
      <c r="FC79" s="63">
        <f>AVERAGE(BY79,CA79)</f>
        <v>149767.5</v>
      </c>
      <c r="FD79" s="64">
        <f>STDEV(BY79,CA79)</f>
        <v>11147.538405405921</v>
      </c>
      <c r="FE79" s="65">
        <f t="shared" si="57"/>
        <v>7.4432292756478682E-2</v>
      </c>
      <c r="FF79" s="88">
        <f t="shared" si="60"/>
        <v>125855.46218487395</v>
      </c>
      <c r="FG79" s="88">
        <f t="shared" si="61"/>
        <v>23912.537815126052</v>
      </c>
      <c r="FH79" s="74">
        <f t="shared" si="58"/>
        <v>149768</v>
      </c>
      <c r="FI79" s="260">
        <f t="shared" si="59"/>
        <v>4493040</v>
      </c>
      <c r="FJ79" s="60" t="s">
        <v>65</v>
      </c>
    </row>
    <row r="80" spans="1:166" s="40" customFormat="1" ht="85.5" customHeight="1" x14ac:dyDescent="0.35">
      <c r="A80" s="37">
        <v>74</v>
      </c>
      <c r="B80" s="210" t="s">
        <v>264</v>
      </c>
      <c r="C80" s="38" t="s">
        <v>953</v>
      </c>
      <c r="D80" s="249" t="s">
        <v>64</v>
      </c>
      <c r="E80" s="220">
        <v>40</v>
      </c>
      <c r="F80" s="58"/>
      <c r="G80" s="58"/>
      <c r="H80" s="58"/>
      <c r="I80" s="58"/>
      <c r="J80" s="58"/>
      <c r="K80" s="58"/>
      <c r="L80" s="15"/>
      <c r="M80" s="58"/>
      <c r="N80" s="15"/>
      <c r="O80" s="58"/>
      <c r="P80" s="15"/>
      <c r="Q80" s="58"/>
      <c r="R80" s="15"/>
      <c r="S80" s="58"/>
      <c r="T80" s="15"/>
      <c r="U80" s="58"/>
      <c r="V80" s="15"/>
      <c r="W80" s="58"/>
      <c r="X80" s="15"/>
      <c r="Y80" s="58"/>
      <c r="Z80" s="15"/>
      <c r="AA80" s="58"/>
      <c r="AB80" s="15"/>
      <c r="AC80" s="58"/>
      <c r="AD80" s="58"/>
      <c r="AE80" s="58">
        <f t="shared" ref="AE80" si="84">+(AD80*5.1%)+AD80</f>
        <v>0</v>
      </c>
      <c r="AF80" s="15"/>
      <c r="AG80" s="58"/>
      <c r="AH80" s="15"/>
      <c r="AI80" s="58"/>
      <c r="AJ80" s="15"/>
      <c r="AK80" s="58"/>
      <c r="AL80" s="15"/>
      <c r="AM80" s="58"/>
      <c r="AN80" s="15"/>
      <c r="AO80" s="58"/>
      <c r="AP80" s="15"/>
      <c r="AQ80" s="58"/>
      <c r="AR80" s="15"/>
      <c r="AS80" s="58"/>
      <c r="AT80" s="15"/>
      <c r="AU80" s="58"/>
      <c r="AV80" s="15"/>
      <c r="AW80" s="58"/>
      <c r="AX80" s="15"/>
      <c r="AY80" s="58"/>
      <c r="AZ80" s="15"/>
      <c r="BA80" s="58"/>
      <c r="BB80" s="15"/>
      <c r="BC80" s="58"/>
      <c r="BD80" s="15"/>
      <c r="BE80" s="58"/>
      <c r="BF80" s="15"/>
      <c r="BG80" s="58"/>
      <c r="BH80" s="15"/>
      <c r="BI80" s="58"/>
      <c r="BJ80" s="15"/>
      <c r="BK80" s="58"/>
      <c r="BL80" s="15"/>
      <c r="BM80" s="58"/>
      <c r="BN80" s="15"/>
      <c r="BO80" s="58"/>
      <c r="BP80" s="15"/>
      <c r="BQ80" s="58"/>
      <c r="BR80" s="15"/>
      <c r="BS80" s="58"/>
      <c r="BT80" s="15"/>
      <c r="BU80" s="58"/>
      <c r="BV80" s="15"/>
      <c r="BW80" s="58"/>
      <c r="BX80" s="15"/>
      <c r="BY80" s="58"/>
      <c r="BZ80" s="15"/>
      <c r="CA80" s="58"/>
      <c r="CB80" s="15"/>
      <c r="CC80" s="58"/>
      <c r="CD80" s="15"/>
      <c r="CE80" s="58"/>
      <c r="CF80" s="15"/>
      <c r="CG80" s="58"/>
      <c r="CH80" s="15"/>
      <c r="CI80" s="58"/>
      <c r="CJ80" s="15"/>
      <c r="CK80" s="58"/>
      <c r="CL80" s="15"/>
      <c r="CM80" s="58"/>
      <c r="CN80" s="15"/>
      <c r="CO80" s="58"/>
      <c r="CP80" s="15"/>
      <c r="CQ80" s="58"/>
      <c r="CR80" s="15"/>
      <c r="CS80" s="58"/>
      <c r="CT80" s="15">
        <v>200000</v>
      </c>
      <c r="CU80" s="58">
        <f t="shared" ref="CU80" si="85">+(CT80*5.1%)+CT80</f>
        <v>210200</v>
      </c>
      <c r="CV80" s="15">
        <v>200000</v>
      </c>
      <c r="CW80" s="58">
        <f t="shared" ref="CW80" si="86">+(CV80*5.1%)+CV80</f>
        <v>210200</v>
      </c>
      <c r="CX80" s="15"/>
      <c r="CY80" s="58"/>
      <c r="CZ80" s="15"/>
      <c r="DA80" s="58"/>
      <c r="DB80" s="15"/>
      <c r="DC80" s="58"/>
      <c r="DD80" s="15"/>
      <c r="DE80" s="58"/>
      <c r="DF80" s="15"/>
      <c r="DG80" s="58"/>
      <c r="DH80" s="15"/>
      <c r="DI80" s="58"/>
      <c r="DJ80" s="15"/>
      <c r="DK80" s="58"/>
      <c r="DL80" s="15"/>
      <c r="DM80" s="58"/>
      <c r="DN80" s="15"/>
      <c r="DO80" s="58"/>
      <c r="DP80" s="15"/>
      <c r="DQ80" s="58"/>
      <c r="DR80" s="15"/>
      <c r="DS80" s="58"/>
      <c r="DT80" s="15"/>
      <c r="DU80" s="58"/>
      <c r="DV80" s="15"/>
      <c r="DW80" s="58"/>
      <c r="DX80" s="15"/>
      <c r="DY80" s="58"/>
      <c r="DZ80" s="15"/>
      <c r="EA80" s="58"/>
      <c r="EB80" s="15"/>
      <c r="EC80" s="58"/>
      <c r="ED80" s="15"/>
      <c r="EE80" s="217"/>
      <c r="EF80" s="222"/>
      <c r="EG80" s="234"/>
      <c r="EH80" s="223"/>
      <c r="EI80" s="224"/>
      <c r="EJ80" s="224"/>
      <c r="EK80" s="224"/>
      <c r="EL80" s="224"/>
      <c r="EM80" s="224"/>
      <c r="EN80" s="246" t="s">
        <v>209</v>
      </c>
      <c r="EO80" s="246" t="s">
        <v>209</v>
      </c>
      <c r="EP80" s="246" t="s">
        <v>209</v>
      </c>
      <c r="EQ80" s="246" t="s">
        <v>209</v>
      </c>
      <c r="ER80" s="246"/>
      <c r="ES80" s="246"/>
      <c r="ET80" s="246"/>
      <c r="EU80" s="246"/>
      <c r="EV80" s="246"/>
      <c r="EW80" s="246"/>
      <c r="EX80" s="246"/>
      <c r="EY80" s="246"/>
      <c r="EZ80" s="246"/>
      <c r="FA80" s="246"/>
      <c r="FB80" s="63">
        <f>MEDIAN(CU80,CW80)</f>
        <v>210200</v>
      </c>
      <c r="FC80" s="63">
        <f>AVERAGE(CU80,CW80)</f>
        <v>210200</v>
      </c>
      <c r="FD80" s="64">
        <f>STDEV(CU80,CW80)</f>
        <v>0</v>
      </c>
      <c r="FE80" s="65">
        <f t="shared" si="57"/>
        <v>0</v>
      </c>
      <c r="FF80" s="88">
        <f t="shared" si="60"/>
        <v>176638.65546218489</v>
      </c>
      <c r="FG80" s="88">
        <f t="shared" si="61"/>
        <v>33561.34453781513</v>
      </c>
      <c r="FH80" s="74">
        <f t="shared" si="58"/>
        <v>210200</v>
      </c>
      <c r="FI80" s="260">
        <f t="shared" si="59"/>
        <v>8408000</v>
      </c>
      <c r="FJ80" s="60" t="s">
        <v>65</v>
      </c>
    </row>
    <row r="81" spans="1:167" s="40" customFormat="1" ht="85.5" customHeight="1" x14ac:dyDescent="0.35">
      <c r="A81" s="37">
        <v>75</v>
      </c>
      <c r="B81" s="210" t="s">
        <v>265</v>
      </c>
      <c r="C81" s="38" t="s">
        <v>954</v>
      </c>
      <c r="D81" s="249" t="s">
        <v>64</v>
      </c>
      <c r="E81" s="220">
        <v>30</v>
      </c>
      <c r="F81" s="58"/>
      <c r="G81" s="58"/>
      <c r="H81" s="58"/>
      <c r="I81" s="58"/>
      <c r="J81" s="58"/>
      <c r="K81" s="58"/>
      <c r="L81" s="15"/>
      <c r="M81" s="58"/>
      <c r="N81" s="15"/>
      <c r="O81" s="58"/>
      <c r="P81" s="15"/>
      <c r="Q81" s="58"/>
      <c r="R81" s="15"/>
      <c r="S81" s="58"/>
      <c r="T81" s="15"/>
      <c r="U81" s="58"/>
      <c r="V81" s="15"/>
      <c r="W81" s="58"/>
      <c r="X81" s="15"/>
      <c r="Y81" s="58"/>
      <c r="Z81" s="15"/>
      <c r="AA81" s="58"/>
      <c r="AB81" s="15"/>
      <c r="AC81" s="58"/>
      <c r="AD81" s="58"/>
      <c r="AE81" s="58"/>
      <c r="AF81" s="15"/>
      <c r="AG81" s="58"/>
      <c r="AH81" s="15"/>
      <c r="AI81" s="58"/>
      <c r="AJ81" s="15"/>
      <c r="AK81" s="58"/>
      <c r="AL81" s="15"/>
      <c r="AM81" s="58"/>
      <c r="AN81" s="15"/>
      <c r="AO81" s="58"/>
      <c r="AP81" s="15"/>
      <c r="AQ81" s="58"/>
      <c r="AR81" s="15"/>
      <c r="AS81" s="58"/>
      <c r="AT81" s="15"/>
      <c r="AU81" s="58"/>
      <c r="AV81" s="15"/>
      <c r="AW81" s="58"/>
      <c r="AX81" s="15"/>
      <c r="AY81" s="58"/>
      <c r="AZ81" s="15"/>
      <c r="BA81" s="58"/>
      <c r="BB81" s="15"/>
      <c r="BC81" s="58"/>
      <c r="BD81" s="15"/>
      <c r="BE81" s="58"/>
      <c r="BF81" s="15"/>
      <c r="BG81" s="58"/>
      <c r="BH81" s="15"/>
      <c r="BI81" s="58"/>
      <c r="BJ81" s="15"/>
      <c r="BK81" s="58"/>
      <c r="BL81" s="15"/>
      <c r="BM81" s="58"/>
      <c r="BN81" s="15"/>
      <c r="BO81" s="58"/>
      <c r="BP81" s="15"/>
      <c r="BQ81" s="58"/>
      <c r="BR81" s="15"/>
      <c r="BS81" s="58"/>
      <c r="BT81" s="15">
        <v>70000</v>
      </c>
      <c r="BU81" s="58">
        <f t="shared" ref="BU81" si="87">+(BT81*5.1%)+BT81</f>
        <v>73570</v>
      </c>
      <c r="BV81" s="15"/>
      <c r="BW81" s="58"/>
      <c r="BX81" s="15"/>
      <c r="BY81" s="58"/>
      <c r="BZ81" s="15"/>
      <c r="CA81" s="58"/>
      <c r="CB81" s="15">
        <v>85000</v>
      </c>
      <c r="CC81" s="58">
        <f t="shared" ref="CC81" si="88">+(CB81*5.1%)+CB81</f>
        <v>89335</v>
      </c>
      <c r="CD81" s="15"/>
      <c r="CE81" s="58"/>
      <c r="CF81" s="15"/>
      <c r="CG81" s="58"/>
      <c r="CH81" s="15"/>
      <c r="CI81" s="58"/>
      <c r="CJ81" s="15"/>
      <c r="CK81" s="58"/>
      <c r="CL81" s="15"/>
      <c r="CM81" s="58"/>
      <c r="CN81" s="15"/>
      <c r="CO81" s="58"/>
      <c r="CP81" s="15"/>
      <c r="CQ81" s="58"/>
      <c r="CR81" s="15"/>
      <c r="CS81" s="58"/>
      <c r="CT81" s="15"/>
      <c r="CU81" s="58"/>
      <c r="CV81" s="15"/>
      <c r="CW81" s="58"/>
      <c r="CX81" s="15"/>
      <c r="CY81" s="58"/>
      <c r="CZ81" s="15"/>
      <c r="DA81" s="58"/>
      <c r="DB81" s="15"/>
      <c r="DC81" s="58"/>
      <c r="DD81" s="15"/>
      <c r="DE81" s="58"/>
      <c r="DF81" s="15"/>
      <c r="DG81" s="58"/>
      <c r="DH81" s="15"/>
      <c r="DI81" s="58"/>
      <c r="DJ81" s="15"/>
      <c r="DK81" s="58"/>
      <c r="DL81" s="15"/>
      <c r="DM81" s="58"/>
      <c r="DN81" s="15"/>
      <c r="DO81" s="58"/>
      <c r="DP81" s="15"/>
      <c r="DQ81" s="58"/>
      <c r="DR81" s="15"/>
      <c r="DS81" s="58"/>
      <c r="DT81" s="15"/>
      <c r="DU81" s="58"/>
      <c r="DV81" s="15"/>
      <c r="DW81" s="58"/>
      <c r="DX81" s="15"/>
      <c r="DY81" s="58"/>
      <c r="DZ81" s="15"/>
      <c r="EA81" s="58"/>
      <c r="EB81" s="15"/>
      <c r="EC81" s="58"/>
      <c r="ED81" s="15"/>
      <c r="EE81" s="217"/>
      <c r="EF81" s="222"/>
      <c r="EG81" s="234"/>
      <c r="EH81" s="223"/>
      <c r="EI81" s="224"/>
      <c r="EJ81" s="224"/>
      <c r="EK81" s="224"/>
      <c r="EL81" s="224"/>
      <c r="EM81" s="224"/>
      <c r="EN81" s="246" t="s">
        <v>209</v>
      </c>
      <c r="EO81" s="246" t="s">
        <v>209</v>
      </c>
      <c r="EP81" s="246" t="s">
        <v>209</v>
      </c>
      <c r="EQ81" s="246" t="s">
        <v>209</v>
      </c>
      <c r="ER81" s="246"/>
      <c r="ES81" s="246"/>
      <c r="ET81" s="246"/>
      <c r="EU81" s="246"/>
      <c r="EV81" s="246"/>
      <c r="EW81" s="246"/>
      <c r="EX81" s="246"/>
      <c r="EY81" s="246"/>
      <c r="EZ81" s="246"/>
      <c r="FA81" s="246"/>
      <c r="FB81" s="63">
        <f>MEDIAN(BU81,CC81)</f>
        <v>81452.5</v>
      </c>
      <c r="FC81" s="63">
        <f>AVERAGE(BU81,CC81)</f>
        <v>81452.5</v>
      </c>
      <c r="FD81" s="64">
        <f>STDEV(BU81,CC81)</f>
        <v>11147.538405405921</v>
      </c>
      <c r="FE81" s="65">
        <f t="shared" si="57"/>
        <v>0.1368593770038479</v>
      </c>
      <c r="FF81" s="88">
        <f t="shared" si="60"/>
        <v>68447.899159663866</v>
      </c>
      <c r="FG81" s="88">
        <f t="shared" si="61"/>
        <v>13005.100840336134</v>
      </c>
      <c r="FH81" s="74">
        <f t="shared" si="58"/>
        <v>81453</v>
      </c>
      <c r="FI81" s="260">
        <f t="shared" si="59"/>
        <v>2443590</v>
      </c>
      <c r="FJ81" s="60" t="s">
        <v>65</v>
      </c>
    </row>
    <row r="82" spans="1:167" s="40" customFormat="1" ht="85.5" customHeight="1" x14ac:dyDescent="0.35">
      <c r="A82" s="37">
        <v>76</v>
      </c>
      <c r="B82" s="219" t="s">
        <v>242</v>
      </c>
      <c r="C82" s="38" t="s">
        <v>920</v>
      </c>
      <c r="D82" s="249" t="s">
        <v>64</v>
      </c>
      <c r="E82" s="220">
        <v>100</v>
      </c>
      <c r="F82" s="58"/>
      <c r="G82" s="58"/>
      <c r="H82" s="58"/>
      <c r="I82" s="58"/>
      <c r="J82" s="58"/>
      <c r="K82" s="58"/>
      <c r="L82" s="15"/>
      <c r="M82" s="58"/>
      <c r="N82" s="15"/>
      <c r="O82" s="58"/>
      <c r="P82" s="15"/>
      <c r="Q82" s="58"/>
      <c r="R82" s="15"/>
      <c r="S82" s="58"/>
      <c r="T82" s="15"/>
      <c r="U82" s="58"/>
      <c r="V82" s="15"/>
      <c r="W82" s="58"/>
      <c r="X82" s="15"/>
      <c r="Y82" s="58"/>
      <c r="Z82" s="15"/>
      <c r="AA82" s="58"/>
      <c r="AB82" s="15"/>
      <c r="AC82" s="58"/>
      <c r="AD82" s="58"/>
      <c r="AE82" s="58"/>
      <c r="AF82" s="15"/>
      <c r="AG82" s="58"/>
      <c r="AH82" s="15"/>
      <c r="AI82" s="58"/>
      <c r="AJ82" s="15"/>
      <c r="AK82" s="58"/>
      <c r="AL82" s="15"/>
      <c r="AM82" s="58"/>
      <c r="AN82" s="15"/>
      <c r="AO82" s="58"/>
      <c r="AP82" s="15"/>
      <c r="AQ82" s="58"/>
      <c r="AR82" s="15"/>
      <c r="AS82" s="58"/>
      <c r="AT82" s="15"/>
      <c r="AU82" s="58"/>
      <c r="AV82" s="15"/>
      <c r="AW82" s="58"/>
      <c r="AX82" s="15"/>
      <c r="AY82" s="58"/>
      <c r="AZ82" s="15"/>
      <c r="BA82" s="58"/>
      <c r="BB82" s="15"/>
      <c r="BC82" s="58"/>
      <c r="BD82" s="15"/>
      <c r="BE82" s="58"/>
      <c r="BF82" s="15"/>
      <c r="BG82" s="58"/>
      <c r="BH82" s="15"/>
      <c r="BI82" s="58"/>
      <c r="BJ82" s="15"/>
      <c r="BK82" s="58"/>
      <c r="BL82" s="15"/>
      <c r="BM82" s="58"/>
      <c r="BN82" s="15"/>
      <c r="BO82" s="58"/>
      <c r="BP82" s="15"/>
      <c r="BQ82" s="58"/>
      <c r="BR82" s="15"/>
      <c r="BS82" s="58"/>
      <c r="BT82" s="15"/>
      <c r="BU82" s="58"/>
      <c r="BV82" s="15"/>
      <c r="BW82" s="58"/>
      <c r="BX82" s="15"/>
      <c r="BY82" s="58"/>
      <c r="BZ82" s="15"/>
      <c r="CA82" s="58"/>
      <c r="CB82" s="15"/>
      <c r="CC82" s="58"/>
      <c r="CD82" s="15"/>
      <c r="CE82" s="58"/>
      <c r="CF82" s="15"/>
      <c r="CG82" s="58"/>
      <c r="CH82" s="15"/>
      <c r="CI82" s="58"/>
      <c r="CJ82" s="15"/>
      <c r="CK82" s="58"/>
      <c r="CL82" s="15"/>
      <c r="CM82" s="58"/>
      <c r="CN82" s="15"/>
      <c r="CO82" s="58"/>
      <c r="CP82" s="15"/>
      <c r="CQ82" s="58"/>
      <c r="CR82" s="15"/>
      <c r="CS82" s="58"/>
      <c r="CT82" s="15"/>
      <c r="CU82" s="58"/>
      <c r="CV82" s="15"/>
      <c r="CW82" s="58"/>
      <c r="CX82" s="15"/>
      <c r="CY82" s="58"/>
      <c r="CZ82" s="15"/>
      <c r="DA82" s="58"/>
      <c r="DB82" s="15"/>
      <c r="DC82" s="58"/>
      <c r="DD82" s="15"/>
      <c r="DE82" s="58"/>
      <c r="DF82" s="15"/>
      <c r="DG82" s="58"/>
      <c r="DH82" s="15"/>
      <c r="DI82" s="58"/>
      <c r="DJ82" s="15"/>
      <c r="DK82" s="58"/>
      <c r="DL82" s="15"/>
      <c r="DM82" s="58"/>
      <c r="DN82" s="15"/>
      <c r="DO82" s="58"/>
      <c r="DP82" s="15"/>
      <c r="DQ82" s="58"/>
      <c r="DR82" s="15"/>
      <c r="DS82" s="58"/>
      <c r="DT82" s="15"/>
      <c r="DU82" s="58"/>
      <c r="DV82" s="15"/>
      <c r="DW82" s="58"/>
      <c r="DX82" s="15"/>
      <c r="DY82" s="58"/>
      <c r="DZ82" s="15"/>
      <c r="EA82" s="58"/>
      <c r="EB82" s="15"/>
      <c r="EC82" s="58"/>
      <c r="ED82" s="15"/>
      <c r="EE82" s="217"/>
      <c r="EF82" s="8">
        <v>46000</v>
      </c>
      <c r="EG82" s="312">
        <v>42180</v>
      </c>
      <c r="EH82" s="236">
        <v>45000</v>
      </c>
      <c r="EI82" s="218"/>
      <c r="EJ82" s="218"/>
      <c r="EK82" s="218"/>
      <c r="EL82" s="218"/>
      <c r="EM82" s="218"/>
      <c r="EN82" s="246" t="s">
        <v>209</v>
      </c>
      <c r="EO82" s="246" t="s">
        <v>209</v>
      </c>
      <c r="EP82" s="246" t="s">
        <v>209</v>
      </c>
      <c r="EQ82" s="246" t="s">
        <v>209</v>
      </c>
      <c r="ER82" s="246"/>
      <c r="ES82" s="246"/>
      <c r="ET82" s="246"/>
      <c r="EU82" s="246"/>
      <c r="EV82" s="246"/>
      <c r="EW82" s="246"/>
      <c r="EX82" s="246"/>
      <c r="EY82" s="246"/>
      <c r="EZ82" s="246"/>
      <c r="FA82" s="246"/>
      <c r="FB82" s="59">
        <f>MEDIAN(EF82,EG82,EH82)</f>
        <v>45000</v>
      </c>
      <c r="FC82" s="59">
        <f t="shared" ref="FC82" si="89">AVERAGE(EF82,EG82,EH82)</f>
        <v>44393.333333333336</v>
      </c>
      <c r="FD82" s="60">
        <f t="shared" ref="FD82" si="90">STDEV(EF82,EG82,EH82)</f>
        <v>1980.9425366055759</v>
      </c>
      <c r="FE82" s="65">
        <f t="shared" si="57"/>
        <v>4.4622522975046756E-2</v>
      </c>
      <c r="FF82" s="88">
        <f t="shared" si="60"/>
        <v>37305.882352941175</v>
      </c>
      <c r="FG82" s="88">
        <f t="shared" si="61"/>
        <v>7088.1176470588234</v>
      </c>
      <c r="FH82" s="74">
        <f t="shared" si="58"/>
        <v>44394</v>
      </c>
      <c r="FI82" s="260">
        <f t="shared" si="59"/>
        <v>4439400</v>
      </c>
      <c r="FJ82" s="60" t="s">
        <v>65</v>
      </c>
    </row>
    <row r="83" spans="1:167" s="40" customFormat="1" ht="85.5" customHeight="1" x14ac:dyDescent="0.35">
      <c r="A83" s="36">
        <v>77</v>
      </c>
      <c r="B83" s="210" t="s">
        <v>266</v>
      </c>
      <c r="C83" s="38" t="s">
        <v>955</v>
      </c>
      <c r="D83" s="249" t="s">
        <v>64</v>
      </c>
      <c r="E83" s="220">
        <v>50</v>
      </c>
      <c r="F83" s="58"/>
      <c r="G83" s="58"/>
      <c r="H83" s="58"/>
      <c r="I83" s="58"/>
      <c r="J83" s="58"/>
      <c r="K83" s="58"/>
      <c r="L83" s="15"/>
      <c r="M83" s="58"/>
      <c r="N83" s="15"/>
      <c r="O83" s="58"/>
      <c r="P83" s="15"/>
      <c r="Q83" s="58"/>
      <c r="R83" s="15"/>
      <c r="S83" s="58"/>
      <c r="T83" s="15"/>
      <c r="U83" s="58"/>
      <c r="V83" s="15"/>
      <c r="W83" s="58"/>
      <c r="X83" s="15"/>
      <c r="Y83" s="58"/>
      <c r="Z83" s="15"/>
      <c r="AA83" s="58"/>
      <c r="AB83" s="15"/>
      <c r="AC83" s="58"/>
      <c r="AD83" s="58"/>
      <c r="AE83" s="58"/>
      <c r="AF83" s="15"/>
      <c r="AG83" s="58"/>
      <c r="AH83" s="15"/>
      <c r="AI83" s="58"/>
      <c r="AJ83" s="15"/>
      <c r="AK83" s="58"/>
      <c r="AL83" s="15"/>
      <c r="AM83" s="58"/>
      <c r="AN83" s="15"/>
      <c r="AO83" s="58"/>
      <c r="AP83" s="15"/>
      <c r="AQ83" s="58"/>
      <c r="AR83" s="15"/>
      <c r="AS83" s="58"/>
      <c r="AT83" s="15"/>
      <c r="AU83" s="58"/>
      <c r="AV83" s="15"/>
      <c r="AW83" s="58"/>
      <c r="AX83" s="15"/>
      <c r="AY83" s="58"/>
      <c r="AZ83" s="15"/>
      <c r="BA83" s="58"/>
      <c r="BB83" s="15"/>
      <c r="BC83" s="58"/>
      <c r="BD83" s="15"/>
      <c r="BE83" s="58"/>
      <c r="BF83" s="15"/>
      <c r="BG83" s="58"/>
      <c r="BH83" s="15"/>
      <c r="BI83" s="58"/>
      <c r="BJ83" s="15"/>
      <c r="BK83" s="58"/>
      <c r="BL83" s="15"/>
      <c r="BM83" s="58"/>
      <c r="BN83" s="15"/>
      <c r="BO83" s="58"/>
      <c r="BP83" s="15"/>
      <c r="BQ83" s="58"/>
      <c r="BR83" s="15"/>
      <c r="BS83" s="58"/>
      <c r="BT83" s="15"/>
      <c r="BU83" s="58"/>
      <c r="BV83" s="15"/>
      <c r="BW83" s="58"/>
      <c r="BX83" s="15"/>
      <c r="BY83" s="58"/>
      <c r="BZ83" s="15"/>
      <c r="CA83" s="58"/>
      <c r="CB83" s="15"/>
      <c r="CC83" s="58"/>
      <c r="CD83" s="15">
        <v>240000</v>
      </c>
      <c r="CE83" s="58">
        <f t="shared" ref="CE83" si="91">+(CD83*5.1%)+CD83</f>
        <v>252240</v>
      </c>
      <c r="CF83" s="15"/>
      <c r="CG83" s="58"/>
      <c r="CH83" s="15">
        <v>200000</v>
      </c>
      <c r="CI83" s="58">
        <f t="shared" ref="CI83" si="92">+(CH83*5.1%)+CH83</f>
        <v>210200</v>
      </c>
      <c r="CJ83" s="15"/>
      <c r="CK83" s="58"/>
      <c r="CL83" s="15"/>
      <c r="CM83" s="58"/>
      <c r="CN83" s="15"/>
      <c r="CO83" s="58"/>
      <c r="CP83" s="15"/>
      <c r="CQ83" s="58"/>
      <c r="CR83" s="15"/>
      <c r="CS83" s="58"/>
      <c r="CT83" s="15"/>
      <c r="CU83" s="58"/>
      <c r="CV83" s="15"/>
      <c r="CW83" s="58"/>
      <c r="CX83" s="15"/>
      <c r="CY83" s="58"/>
      <c r="CZ83" s="15"/>
      <c r="DA83" s="58"/>
      <c r="DB83" s="15"/>
      <c r="DC83" s="58"/>
      <c r="DD83" s="15"/>
      <c r="DE83" s="58"/>
      <c r="DF83" s="15"/>
      <c r="DG83" s="58"/>
      <c r="DH83" s="15"/>
      <c r="DI83" s="58"/>
      <c r="DJ83" s="15"/>
      <c r="DK83" s="58"/>
      <c r="DL83" s="15"/>
      <c r="DM83" s="58"/>
      <c r="DN83" s="15"/>
      <c r="DO83" s="58"/>
      <c r="DP83" s="15"/>
      <c r="DQ83" s="58"/>
      <c r="DR83" s="15"/>
      <c r="DS83" s="58"/>
      <c r="DT83" s="15"/>
      <c r="DU83" s="58"/>
      <c r="DV83" s="15"/>
      <c r="DW83" s="58"/>
      <c r="DX83" s="15"/>
      <c r="DY83" s="58"/>
      <c r="DZ83" s="15"/>
      <c r="EA83" s="58"/>
      <c r="EB83" s="15"/>
      <c r="EC83" s="58"/>
      <c r="ED83" s="15"/>
      <c r="EE83" s="217"/>
      <c r="EF83" s="222"/>
      <c r="EG83" s="234"/>
      <c r="EH83" s="223"/>
      <c r="EI83" s="224"/>
      <c r="EJ83" s="224"/>
      <c r="EK83" s="224"/>
      <c r="EL83" s="224"/>
      <c r="EM83" s="224"/>
      <c r="EN83" s="246" t="s">
        <v>209</v>
      </c>
      <c r="EO83" s="246" t="s">
        <v>209</v>
      </c>
      <c r="EP83" s="246" t="s">
        <v>209</v>
      </c>
      <c r="EQ83" s="246" t="s">
        <v>209</v>
      </c>
      <c r="ER83" s="246"/>
      <c r="ES83" s="246"/>
      <c r="ET83" s="246"/>
      <c r="EU83" s="246"/>
      <c r="EV83" s="246"/>
      <c r="EW83" s="246"/>
      <c r="EX83" s="246"/>
      <c r="EY83" s="246"/>
      <c r="EZ83" s="246"/>
      <c r="FA83" s="246"/>
      <c r="FB83" s="63">
        <f>MEDIAN(CE83,CI83)</f>
        <v>231220</v>
      </c>
      <c r="FC83" s="63">
        <f>AVERAGE(CE83,CI83)</f>
        <v>231220</v>
      </c>
      <c r="FD83" s="64">
        <f>STDEV(CE83,CI83)</f>
        <v>29726.769081082457</v>
      </c>
      <c r="FE83" s="65">
        <f t="shared" si="57"/>
        <v>0.12856486930664501</v>
      </c>
      <c r="FF83" s="88">
        <f t="shared" si="60"/>
        <v>194302.52100840336</v>
      </c>
      <c r="FG83" s="88">
        <f t="shared" si="61"/>
        <v>36917.478991596639</v>
      </c>
      <c r="FH83" s="74">
        <f t="shared" si="58"/>
        <v>231220</v>
      </c>
      <c r="FI83" s="260">
        <f t="shared" si="59"/>
        <v>11561000</v>
      </c>
      <c r="FJ83" s="60" t="s">
        <v>65</v>
      </c>
    </row>
    <row r="84" spans="1:167" s="40" customFormat="1" ht="85.5" customHeight="1" x14ac:dyDescent="0.35">
      <c r="A84" s="37">
        <v>78</v>
      </c>
      <c r="B84" s="210" t="s">
        <v>267</v>
      </c>
      <c r="C84" s="38" t="s">
        <v>956</v>
      </c>
      <c r="D84" s="249" t="s">
        <v>64</v>
      </c>
      <c r="E84" s="220">
        <v>10</v>
      </c>
      <c r="F84" s="58"/>
      <c r="G84" s="58"/>
      <c r="H84" s="58"/>
      <c r="I84" s="58"/>
      <c r="J84" s="58"/>
      <c r="K84" s="58"/>
      <c r="L84" s="15"/>
      <c r="M84" s="58"/>
      <c r="N84" s="15"/>
      <c r="O84" s="58"/>
      <c r="P84" s="15"/>
      <c r="Q84" s="58"/>
      <c r="R84" s="15"/>
      <c r="S84" s="58"/>
      <c r="T84" s="15"/>
      <c r="U84" s="58"/>
      <c r="V84" s="15"/>
      <c r="W84" s="58"/>
      <c r="X84" s="15"/>
      <c r="Y84" s="58"/>
      <c r="Z84" s="15"/>
      <c r="AA84" s="58"/>
      <c r="AB84" s="15"/>
      <c r="AC84" s="58"/>
      <c r="AD84" s="58">
        <v>33981.64</v>
      </c>
      <c r="AE84" s="58">
        <f t="shared" ref="AE84" si="93">+(AD84*5.1%)+AD84</f>
        <v>35714.70364</v>
      </c>
      <c r="AF84" s="15"/>
      <c r="AG84" s="58">
        <f t="shared" ref="AG84" si="94">+(AF84*5.1%)+AF84</f>
        <v>0</v>
      </c>
      <c r="AH84" s="15"/>
      <c r="AI84" s="58"/>
      <c r="AJ84" s="15"/>
      <c r="AK84" s="58"/>
      <c r="AL84" s="15"/>
      <c r="AM84" s="58"/>
      <c r="AN84" s="15"/>
      <c r="AO84" s="58"/>
      <c r="AP84" s="15"/>
      <c r="AQ84" s="58"/>
      <c r="AR84" s="15"/>
      <c r="AS84" s="58"/>
      <c r="AT84" s="15"/>
      <c r="AU84" s="58"/>
      <c r="AV84" s="15"/>
      <c r="AW84" s="58"/>
      <c r="AX84" s="15"/>
      <c r="AY84" s="58"/>
      <c r="AZ84" s="15"/>
      <c r="BA84" s="58"/>
      <c r="BB84" s="15"/>
      <c r="BC84" s="58"/>
      <c r="BD84" s="15"/>
      <c r="BE84" s="58"/>
      <c r="BF84" s="15"/>
      <c r="BG84" s="58"/>
      <c r="BH84" s="15">
        <v>25000</v>
      </c>
      <c r="BI84" s="58">
        <f t="shared" ref="BI84" si="95">+(BH84*5.1%)+BH84</f>
        <v>26275</v>
      </c>
      <c r="BJ84" s="15"/>
      <c r="BK84" s="58"/>
      <c r="BL84" s="15"/>
      <c r="BM84" s="58"/>
      <c r="BN84" s="15"/>
      <c r="BO84" s="58"/>
      <c r="BP84" s="15"/>
      <c r="BQ84" s="58"/>
      <c r="BR84" s="15"/>
      <c r="BS84" s="58"/>
      <c r="BT84" s="15"/>
      <c r="BU84" s="58"/>
      <c r="BV84" s="15"/>
      <c r="BW84" s="58"/>
      <c r="BX84" s="15"/>
      <c r="BY84" s="58"/>
      <c r="BZ84" s="15"/>
      <c r="CA84" s="58"/>
      <c r="CB84" s="15"/>
      <c r="CC84" s="58"/>
      <c r="CD84" s="15"/>
      <c r="CE84" s="58"/>
      <c r="CF84" s="15"/>
      <c r="CG84" s="58"/>
      <c r="CH84" s="15"/>
      <c r="CI84" s="58"/>
      <c r="CJ84" s="15"/>
      <c r="CK84" s="58"/>
      <c r="CL84" s="15"/>
      <c r="CM84" s="58"/>
      <c r="CN84" s="15"/>
      <c r="CO84" s="58"/>
      <c r="CP84" s="15"/>
      <c r="CQ84" s="58"/>
      <c r="CR84" s="15"/>
      <c r="CS84" s="58"/>
      <c r="CT84" s="15"/>
      <c r="CU84" s="58"/>
      <c r="CV84" s="15"/>
      <c r="CW84" s="58"/>
      <c r="CX84" s="15"/>
      <c r="CY84" s="58"/>
      <c r="CZ84" s="15"/>
      <c r="DA84" s="58"/>
      <c r="DB84" s="15"/>
      <c r="DC84" s="58"/>
      <c r="DD84" s="15"/>
      <c r="DE84" s="58"/>
      <c r="DF84" s="15"/>
      <c r="DG84" s="58"/>
      <c r="DH84" s="15"/>
      <c r="DI84" s="58"/>
      <c r="DJ84" s="15"/>
      <c r="DK84" s="58"/>
      <c r="DL84" s="15"/>
      <c r="DM84" s="58"/>
      <c r="DN84" s="15"/>
      <c r="DO84" s="58"/>
      <c r="DP84" s="15"/>
      <c r="DQ84" s="58"/>
      <c r="DR84" s="15"/>
      <c r="DS84" s="58"/>
      <c r="DT84" s="15"/>
      <c r="DU84" s="58"/>
      <c r="DV84" s="15"/>
      <c r="DW84" s="58"/>
      <c r="DX84" s="15"/>
      <c r="DY84" s="58"/>
      <c r="DZ84" s="15"/>
      <c r="EA84" s="58"/>
      <c r="EB84" s="15"/>
      <c r="EC84" s="58"/>
      <c r="ED84" s="15"/>
      <c r="EE84" s="217"/>
      <c r="EF84" s="8">
        <v>31200</v>
      </c>
      <c r="EG84" s="234"/>
      <c r="EH84" s="223"/>
      <c r="EI84" s="224"/>
      <c r="EJ84" s="224"/>
      <c r="EK84" s="224"/>
      <c r="EL84" s="224"/>
      <c r="EM84" s="224"/>
      <c r="EN84" s="246" t="s">
        <v>209</v>
      </c>
      <c r="EO84" s="246" t="s">
        <v>209</v>
      </c>
      <c r="EP84" s="246" t="s">
        <v>209</v>
      </c>
      <c r="EQ84" s="246" t="s">
        <v>209</v>
      </c>
      <c r="ER84" s="246"/>
      <c r="ES84" s="246"/>
      <c r="ET84" s="246"/>
      <c r="EU84" s="246"/>
      <c r="EV84" s="246"/>
      <c r="EW84" s="246"/>
      <c r="EX84" s="246"/>
      <c r="EY84" s="246"/>
      <c r="EZ84" s="246"/>
      <c r="FA84" s="246"/>
      <c r="FB84" s="63">
        <f>MEDIAN(AE84,BI84,EF84)</f>
        <v>31200</v>
      </c>
      <c r="FC84" s="63">
        <f>AVERAGE(AE84,BI84,EF84)</f>
        <v>31063.234546666663</v>
      </c>
      <c r="FD84" s="64">
        <f>STDEV(AE84,BI84,EF84)</f>
        <v>4721.3377124154695</v>
      </c>
      <c r="FE84" s="65">
        <f t="shared" si="57"/>
        <v>0.15199118125714012</v>
      </c>
      <c r="FF84" s="88">
        <f t="shared" si="60"/>
        <v>26218.487394957985</v>
      </c>
      <c r="FG84" s="88">
        <f t="shared" si="61"/>
        <v>4981.5126050420176</v>
      </c>
      <c r="FH84" s="74">
        <f t="shared" si="58"/>
        <v>31200</v>
      </c>
      <c r="FI84" s="260">
        <f t="shared" si="59"/>
        <v>312000</v>
      </c>
      <c r="FJ84" s="60" t="s">
        <v>65</v>
      </c>
    </row>
    <row r="85" spans="1:167" s="40" customFormat="1" ht="85.5" customHeight="1" x14ac:dyDescent="0.35">
      <c r="A85" s="37">
        <v>79</v>
      </c>
      <c r="B85" s="210" t="s">
        <v>268</v>
      </c>
      <c r="C85" s="38" t="s">
        <v>957</v>
      </c>
      <c r="D85" s="249" t="s">
        <v>64</v>
      </c>
      <c r="E85" s="220">
        <v>20</v>
      </c>
      <c r="F85" s="58"/>
      <c r="G85" s="58"/>
      <c r="H85" s="58"/>
      <c r="I85" s="58"/>
      <c r="J85" s="58"/>
      <c r="K85" s="58"/>
      <c r="L85" s="15"/>
      <c r="M85" s="58"/>
      <c r="N85" s="15"/>
      <c r="O85" s="58"/>
      <c r="P85" s="15"/>
      <c r="Q85" s="58"/>
      <c r="R85" s="15"/>
      <c r="S85" s="58"/>
      <c r="T85" s="15"/>
      <c r="U85" s="58"/>
      <c r="V85" s="15"/>
      <c r="W85" s="58"/>
      <c r="X85" s="15"/>
      <c r="Y85" s="58"/>
      <c r="Z85" s="15"/>
      <c r="AA85" s="58"/>
      <c r="AB85" s="15"/>
      <c r="AC85" s="58"/>
      <c r="AD85" s="58"/>
      <c r="AE85" s="58"/>
      <c r="AF85" s="15"/>
      <c r="AG85" s="58"/>
      <c r="AH85" s="15"/>
      <c r="AI85" s="58"/>
      <c r="AJ85" s="15"/>
      <c r="AK85" s="58"/>
      <c r="AL85" s="15"/>
      <c r="AM85" s="58"/>
      <c r="AN85" s="15"/>
      <c r="AO85" s="58"/>
      <c r="AP85" s="15"/>
      <c r="AQ85" s="58"/>
      <c r="AR85" s="15"/>
      <c r="AS85" s="58"/>
      <c r="AT85" s="15"/>
      <c r="AU85" s="58"/>
      <c r="AV85" s="15"/>
      <c r="AW85" s="58"/>
      <c r="AX85" s="15"/>
      <c r="AY85" s="58"/>
      <c r="AZ85" s="15"/>
      <c r="BA85" s="58"/>
      <c r="BB85" s="15"/>
      <c r="BC85" s="58"/>
      <c r="BD85" s="15"/>
      <c r="BE85" s="58"/>
      <c r="BF85" s="15"/>
      <c r="BG85" s="58"/>
      <c r="BH85" s="15"/>
      <c r="BI85" s="58"/>
      <c r="BJ85" s="15"/>
      <c r="BK85" s="58"/>
      <c r="BL85" s="15"/>
      <c r="BM85" s="58"/>
      <c r="BN85" s="15"/>
      <c r="BO85" s="58"/>
      <c r="BP85" s="15"/>
      <c r="BQ85" s="58"/>
      <c r="BR85" s="15"/>
      <c r="BS85" s="58"/>
      <c r="BT85" s="15"/>
      <c r="BU85" s="58"/>
      <c r="BV85" s="15"/>
      <c r="BW85" s="58"/>
      <c r="BX85" s="15"/>
      <c r="BY85" s="58"/>
      <c r="BZ85" s="15"/>
      <c r="CA85" s="58"/>
      <c r="CB85" s="15"/>
      <c r="CC85" s="58"/>
      <c r="CD85" s="15"/>
      <c r="CE85" s="58"/>
      <c r="CF85" s="15"/>
      <c r="CG85" s="58"/>
      <c r="CH85" s="15"/>
      <c r="CI85" s="58"/>
      <c r="CJ85" s="15"/>
      <c r="CK85" s="58"/>
      <c r="CL85" s="15"/>
      <c r="CM85" s="58"/>
      <c r="CN85" s="15"/>
      <c r="CO85" s="58"/>
      <c r="CP85" s="15"/>
      <c r="CQ85" s="58"/>
      <c r="CR85" s="15"/>
      <c r="CS85" s="58"/>
      <c r="CT85" s="15"/>
      <c r="CU85" s="58"/>
      <c r="CV85" s="15"/>
      <c r="CW85" s="58"/>
      <c r="CX85" s="15"/>
      <c r="CY85" s="58"/>
      <c r="CZ85" s="15"/>
      <c r="DA85" s="58"/>
      <c r="DB85" s="15"/>
      <c r="DC85" s="58"/>
      <c r="DD85" s="15"/>
      <c r="DE85" s="58"/>
      <c r="DF85" s="15"/>
      <c r="DG85" s="58"/>
      <c r="DH85" s="15"/>
      <c r="DI85" s="58"/>
      <c r="DJ85" s="15"/>
      <c r="DK85" s="58"/>
      <c r="DL85" s="15"/>
      <c r="DM85" s="58"/>
      <c r="DN85" s="15"/>
      <c r="DO85" s="58"/>
      <c r="DP85" s="15"/>
      <c r="DQ85" s="58"/>
      <c r="DR85" s="15"/>
      <c r="DS85" s="58"/>
      <c r="DT85" s="15"/>
      <c r="DU85" s="58"/>
      <c r="DV85" s="15"/>
      <c r="DW85" s="58"/>
      <c r="DX85" s="15"/>
      <c r="DY85" s="58"/>
      <c r="DZ85" s="15"/>
      <c r="EA85" s="58"/>
      <c r="EB85" s="15"/>
      <c r="EC85" s="58"/>
      <c r="ED85" s="15"/>
      <c r="EE85" s="217"/>
      <c r="EF85" s="8">
        <v>9500</v>
      </c>
      <c r="EG85" s="320">
        <v>8600</v>
      </c>
      <c r="EH85" s="236">
        <v>9000</v>
      </c>
      <c r="EI85" s="218"/>
      <c r="EJ85" s="218"/>
      <c r="EK85" s="218"/>
      <c r="EL85" s="218"/>
      <c r="EM85" s="218"/>
      <c r="EN85" s="246" t="s">
        <v>209</v>
      </c>
      <c r="EO85" s="246" t="s">
        <v>209</v>
      </c>
      <c r="EP85" s="246" t="s">
        <v>209</v>
      </c>
      <c r="EQ85" s="246" t="s">
        <v>209</v>
      </c>
      <c r="ER85" s="246"/>
      <c r="ES85" s="246"/>
      <c r="ET85" s="246"/>
      <c r="EU85" s="246"/>
      <c r="EV85" s="246"/>
      <c r="EW85" s="246"/>
      <c r="EX85" s="246"/>
      <c r="EY85" s="246"/>
      <c r="EZ85" s="246"/>
      <c r="FA85" s="246"/>
      <c r="FB85" s="59">
        <f>MEDIAN(EF85,EG85,EH85)</f>
        <v>9000</v>
      </c>
      <c r="FC85" s="59">
        <f>AVERAGE(EF85,EG85,EH85)</f>
        <v>9033.3333333333339</v>
      </c>
      <c r="FD85" s="60">
        <f>STDEV(EF85,EG85,EH85)</f>
        <v>450.92497528228938</v>
      </c>
      <c r="FE85" s="65">
        <f t="shared" si="57"/>
        <v>4.9917893942688855E-2</v>
      </c>
      <c r="FF85" s="88">
        <f t="shared" si="60"/>
        <v>7591.5966386554628</v>
      </c>
      <c r="FG85" s="88">
        <f t="shared" si="61"/>
        <v>1442.4033613445379</v>
      </c>
      <c r="FH85" s="74">
        <f t="shared" si="58"/>
        <v>9034</v>
      </c>
      <c r="FI85" s="260">
        <f t="shared" si="59"/>
        <v>180680</v>
      </c>
      <c r="FJ85" s="60" t="s">
        <v>65</v>
      </c>
    </row>
    <row r="86" spans="1:167" s="40" customFormat="1" ht="85.5" customHeight="1" x14ac:dyDescent="0.35">
      <c r="A86" s="36">
        <v>80</v>
      </c>
      <c r="B86" s="210" t="s">
        <v>269</v>
      </c>
      <c r="C86" s="38" t="s">
        <v>958</v>
      </c>
      <c r="D86" s="249" t="s">
        <v>64</v>
      </c>
      <c r="E86" s="220">
        <v>20</v>
      </c>
      <c r="F86" s="58"/>
      <c r="G86" s="58"/>
      <c r="H86" s="58"/>
      <c r="I86" s="58"/>
      <c r="J86" s="58"/>
      <c r="K86" s="58"/>
      <c r="L86" s="15"/>
      <c r="M86" s="58"/>
      <c r="N86" s="15"/>
      <c r="O86" s="58"/>
      <c r="P86" s="15"/>
      <c r="Q86" s="58"/>
      <c r="R86" s="15"/>
      <c r="S86" s="58"/>
      <c r="T86" s="15"/>
      <c r="U86" s="58"/>
      <c r="V86" s="15"/>
      <c r="W86" s="58"/>
      <c r="X86" s="15"/>
      <c r="Y86" s="58"/>
      <c r="Z86" s="15"/>
      <c r="AA86" s="58"/>
      <c r="AB86" s="15"/>
      <c r="AC86" s="58"/>
      <c r="AD86" s="58"/>
      <c r="AE86" s="58">
        <f t="shared" ref="AE86" si="96">+(AD86*5.1%)+AD86</f>
        <v>0</v>
      </c>
      <c r="AF86" s="15"/>
      <c r="AG86" s="58">
        <f t="shared" ref="AG86" si="97">+(AF86*5.1%)+AF86</f>
        <v>0</v>
      </c>
      <c r="AH86" s="15"/>
      <c r="AI86" s="58"/>
      <c r="AJ86" s="15"/>
      <c r="AK86" s="58"/>
      <c r="AL86" s="15"/>
      <c r="AM86" s="58"/>
      <c r="AN86" s="15"/>
      <c r="AO86" s="58"/>
      <c r="AP86" s="15"/>
      <c r="AQ86" s="58"/>
      <c r="AR86" s="15"/>
      <c r="AS86" s="58"/>
      <c r="AT86" s="15"/>
      <c r="AU86" s="58"/>
      <c r="AV86" s="15"/>
      <c r="AW86" s="58"/>
      <c r="AX86" s="15"/>
      <c r="AY86" s="58"/>
      <c r="AZ86" s="15"/>
      <c r="BA86" s="58"/>
      <c r="BB86" s="15"/>
      <c r="BC86" s="58"/>
      <c r="BD86" s="15"/>
      <c r="BE86" s="58"/>
      <c r="BF86" s="15"/>
      <c r="BG86" s="58"/>
      <c r="BH86" s="15"/>
      <c r="BI86" s="58"/>
      <c r="BJ86" s="15"/>
      <c r="BK86" s="58"/>
      <c r="BL86" s="15"/>
      <c r="BM86" s="58"/>
      <c r="BN86" s="15"/>
      <c r="BO86" s="58"/>
      <c r="BP86" s="15"/>
      <c r="BQ86" s="58"/>
      <c r="BR86" s="15"/>
      <c r="BS86" s="58"/>
      <c r="BT86" s="15"/>
      <c r="BU86" s="58"/>
      <c r="BV86" s="15"/>
      <c r="BW86" s="58"/>
      <c r="BX86" s="15"/>
      <c r="BY86" s="58"/>
      <c r="BZ86" s="15"/>
      <c r="CA86" s="58"/>
      <c r="CB86" s="15"/>
      <c r="CC86" s="58"/>
      <c r="CD86" s="15"/>
      <c r="CE86" s="58"/>
      <c r="CF86" s="15"/>
      <c r="CG86" s="58"/>
      <c r="CH86" s="15"/>
      <c r="CI86" s="58"/>
      <c r="CJ86" s="15"/>
      <c r="CK86" s="58">
        <f t="shared" ref="CK86" si="98">+(CJ86*5.1%)+CJ86</f>
        <v>0</v>
      </c>
      <c r="CL86" s="67"/>
      <c r="CM86" s="58"/>
      <c r="CN86" s="67"/>
      <c r="CO86" s="58"/>
      <c r="CP86" s="15"/>
      <c r="CQ86" s="58"/>
      <c r="CR86" s="15"/>
      <c r="CS86" s="58"/>
      <c r="CT86" s="15"/>
      <c r="CU86" s="58"/>
      <c r="CV86" s="15"/>
      <c r="CW86" s="58"/>
      <c r="CX86" s="15"/>
      <c r="CY86" s="58"/>
      <c r="CZ86" s="15"/>
      <c r="DA86" s="58"/>
      <c r="DB86" s="15"/>
      <c r="DC86" s="58"/>
      <c r="DD86" s="15"/>
      <c r="DE86" s="58"/>
      <c r="DF86" s="15"/>
      <c r="DG86" s="58"/>
      <c r="DH86" s="15"/>
      <c r="DI86" s="58"/>
      <c r="DJ86" s="15"/>
      <c r="DK86" s="58"/>
      <c r="DL86" s="15"/>
      <c r="DM86" s="58"/>
      <c r="DN86" s="15"/>
      <c r="DO86" s="58"/>
      <c r="DP86" s="15"/>
      <c r="DQ86" s="58"/>
      <c r="DR86" s="15"/>
      <c r="DS86" s="58"/>
      <c r="DT86" s="15"/>
      <c r="DU86" s="58"/>
      <c r="DV86" s="15"/>
      <c r="DW86" s="58"/>
      <c r="DX86" s="15"/>
      <c r="DY86" s="58"/>
      <c r="DZ86" s="15"/>
      <c r="EA86" s="58">
        <f t="shared" ref="EA86" si="99">+(DZ86*5.1%)+DZ86</f>
        <v>0</v>
      </c>
      <c r="EB86" s="15">
        <v>75900</v>
      </c>
      <c r="EC86" s="58">
        <f t="shared" ref="EC86" si="100">+(EB86*5.1%)+EB86</f>
        <v>79770.899999999994</v>
      </c>
      <c r="ED86" s="15">
        <v>84006</v>
      </c>
      <c r="EE86" s="217">
        <f t="shared" ref="EE86" si="101">+(ED86*5.1%)+ED86</f>
        <v>88290.305999999997</v>
      </c>
      <c r="EF86" s="8"/>
      <c r="EG86" s="234"/>
      <c r="EH86" s="223"/>
      <c r="EI86" s="224"/>
      <c r="EJ86" s="224"/>
      <c r="EK86" s="224"/>
      <c r="EL86" s="224"/>
      <c r="EM86" s="224"/>
      <c r="EN86" s="247" t="s">
        <v>209</v>
      </c>
      <c r="EO86" s="247" t="s">
        <v>209</v>
      </c>
      <c r="EP86" s="247" t="s">
        <v>209</v>
      </c>
      <c r="EQ86" s="247" t="s">
        <v>209</v>
      </c>
      <c r="ER86" s="247"/>
      <c r="ES86" s="247"/>
      <c r="ET86" s="247"/>
      <c r="EU86" s="247"/>
      <c r="EV86" s="247"/>
      <c r="EW86" s="247"/>
      <c r="EX86" s="247"/>
      <c r="EY86" s="247"/>
      <c r="EZ86" s="247"/>
      <c r="FA86" s="247"/>
      <c r="FB86" s="63">
        <f>MEDIAN(EC86,EE86)</f>
        <v>84030.603000000003</v>
      </c>
      <c r="FC86" s="63">
        <f>AVERAGE(EC86,EE86)</f>
        <v>84030.603000000003</v>
      </c>
      <c r="FD86" s="64">
        <f>STDEV(EC86,EE86)</f>
        <v>6024.1297542813627</v>
      </c>
      <c r="FE86" s="65">
        <f t="shared" si="57"/>
        <v>7.1689712309708914E-2</v>
      </c>
      <c r="FF86" s="88">
        <f t="shared" si="60"/>
        <v>70614.285714285725</v>
      </c>
      <c r="FG86" s="88">
        <f t="shared" si="61"/>
        <v>13416.714285714288</v>
      </c>
      <c r="FH86" s="74">
        <f t="shared" si="58"/>
        <v>84031</v>
      </c>
      <c r="FI86" s="260">
        <f t="shared" si="59"/>
        <v>1680620</v>
      </c>
      <c r="FJ86" s="60" t="s">
        <v>65</v>
      </c>
    </row>
    <row r="87" spans="1:167" s="40" customFormat="1" ht="85.5" customHeight="1" x14ac:dyDescent="0.35">
      <c r="A87" s="36">
        <v>81</v>
      </c>
      <c r="B87" s="210" t="s">
        <v>270</v>
      </c>
      <c r="C87" s="38" t="s">
        <v>959</v>
      </c>
      <c r="D87" s="249" t="s">
        <v>64</v>
      </c>
      <c r="E87" s="220">
        <v>20</v>
      </c>
      <c r="F87" s="58"/>
      <c r="G87" s="58"/>
      <c r="H87" s="58"/>
      <c r="I87" s="58"/>
      <c r="J87" s="58"/>
      <c r="K87" s="58"/>
      <c r="L87" s="15"/>
      <c r="M87" s="58"/>
      <c r="N87" s="15"/>
      <c r="O87" s="58"/>
      <c r="P87" s="15"/>
      <c r="Q87" s="58"/>
      <c r="R87" s="15"/>
      <c r="S87" s="58"/>
      <c r="T87" s="15">
        <v>30000</v>
      </c>
      <c r="U87" s="58">
        <f t="shared" ref="U87" si="102">+(T87*5.1%)+T87</f>
        <v>31530</v>
      </c>
      <c r="V87" s="15"/>
      <c r="W87" s="58"/>
      <c r="X87" s="15"/>
      <c r="Y87" s="58"/>
      <c r="Z87" s="15"/>
      <c r="AA87" s="58"/>
      <c r="AB87" s="15"/>
      <c r="AC87" s="58"/>
      <c r="AD87" s="58">
        <v>42126</v>
      </c>
      <c r="AE87" s="58">
        <f t="shared" ref="AE87" si="103">+(AD87*5.1%)+AD87</f>
        <v>44274.425999999999</v>
      </c>
      <c r="AF87" s="15"/>
      <c r="AG87" s="58"/>
      <c r="AH87" s="15"/>
      <c r="AI87" s="58"/>
      <c r="AJ87" s="15"/>
      <c r="AK87" s="58"/>
      <c r="AL87" s="15"/>
      <c r="AM87" s="58"/>
      <c r="AN87" s="15"/>
      <c r="AO87" s="58"/>
      <c r="AP87" s="15"/>
      <c r="AQ87" s="58"/>
      <c r="AR87" s="15"/>
      <c r="AS87" s="58"/>
      <c r="AT87" s="15"/>
      <c r="AU87" s="58"/>
      <c r="AV87" s="15"/>
      <c r="AW87" s="58"/>
      <c r="AX87" s="15"/>
      <c r="AY87" s="58"/>
      <c r="AZ87" s="15"/>
      <c r="BA87" s="58"/>
      <c r="BB87" s="15"/>
      <c r="BC87" s="58"/>
      <c r="BD87" s="15"/>
      <c r="BE87" s="58"/>
      <c r="BF87" s="15"/>
      <c r="BG87" s="58"/>
      <c r="BH87" s="15"/>
      <c r="BI87" s="58"/>
      <c r="BJ87" s="15"/>
      <c r="BK87" s="58"/>
      <c r="BL87" s="15"/>
      <c r="BM87" s="58"/>
      <c r="BN87" s="15"/>
      <c r="BO87" s="58"/>
      <c r="BP87" s="15"/>
      <c r="BQ87" s="58"/>
      <c r="BR87" s="15"/>
      <c r="BS87" s="58"/>
      <c r="BT87" s="15"/>
      <c r="BU87" s="58"/>
      <c r="BV87" s="15"/>
      <c r="BW87" s="58"/>
      <c r="BX87" s="15"/>
      <c r="BY87" s="58"/>
      <c r="BZ87" s="15"/>
      <c r="CA87" s="58"/>
      <c r="CB87" s="15"/>
      <c r="CC87" s="58"/>
      <c r="CD87" s="15"/>
      <c r="CE87" s="58"/>
      <c r="CF87" s="15"/>
      <c r="CG87" s="58"/>
      <c r="CH87" s="15"/>
      <c r="CI87" s="58"/>
      <c r="CJ87" s="15"/>
      <c r="CK87" s="58">
        <f t="shared" ref="CK87" si="104">+(CJ87*5.1%)+CJ87</f>
        <v>0</v>
      </c>
      <c r="CL87" s="15"/>
      <c r="CM87" s="58"/>
      <c r="CN87" s="15"/>
      <c r="CO87" s="58"/>
      <c r="CP87" s="15"/>
      <c r="CQ87" s="58"/>
      <c r="CR87" s="15"/>
      <c r="CS87" s="58"/>
      <c r="CT87" s="15"/>
      <c r="CU87" s="58"/>
      <c r="CV87" s="15"/>
      <c r="CW87" s="58"/>
      <c r="CX87" s="15"/>
      <c r="CY87" s="58"/>
      <c r="CZ87" s="15"/>
      <c r="DA87" s="58"/>
      <c r="DB87" s="15"/>
      <c r="DC87" s="58"/>
      <c r="DD87" s="15"/>
      <c r="DE87" s="58"/>
      <c r="DF87" s="15"/>
      <c r="DG87" s="58"/>
      <c r="DH87" s="15"/>
      <c r="DI87" s="58"/>
      <c r="DJ87" s="15"/>
      <c r="DK87" s="58"/>
      <c r="DL87" s="15"/>
      <c r="DM87" s="58"/>
      <c r="DN87" s="15"/>
      <c r="DO87" s="58"/>
      <c r="DP87" s="15"/>
      <c r="DQ87" s="58"/>
      <c r="DR87" s="15"/>
      <c r="DS87" s="58"/>
      <c r="DT87" s="15"/>
      <c r="DU87" s="58"/>
      <c r="DV87" s="15"/>
      <c r="DW87" s="58"/>
      <c r="DX87" s="15"/>
      <c r="DY87" s="58"/>
      <c r="DZ87" s="15"/>
      <c r="EA87" s="58"/>
      <c r="EB87" s="15"/>
      <c r="EC87" s="58"/>
      <c r="ED87" s="15"/>
      <c r="EE87" s="217"/>
      <c r="EF87" s="222"/>
      <c r="EG87" s="234"/>
      <c r="EH87" s="223"/>
      <c r="EI87" s="224"/>
      <c r="EJ87" s="224"/>
      <c r="EK87" s="224"/>
      <c r="EL87" s="224"/>
      <c r="EM87" s="224"/>
      <c r="EN87" s="246" t="s">
        <v>209</v>
      </c>
      <c r="EO87" s="246" t="s">
        <v>209</v>
      </c>
      <c r="EP87" s="246" t="s">
        <v>209</v>
      </c>
      <c r="EQ87" s="246" t="s">
        <v>209</v>
      </c>
      <c r="ER87" s="246"/>
      <c r="ES87" s="246"/>
      <c r="ET87" s="246"/>
      <c r="EU87" s="246"/>
      <c r="EV87" s="246"/>
      <c r="EW87" s="246"/>
      <c r="EX87" s="246"/>
      <c r="EY87" s="246"/>
      <c r="EZ87" s="246"/>
      <c r="FA87" s="246"/>
      <c r="FB87" s="63">
        <f>MEDIAN(U87,AE87)</f>
        <v>37902.213000000003</v>
      </c>
      <c r="FC87" s="63">
        <f>AVERAGE(U87,AE87)</f>
        <v>37902.213000000003</v>
      </c>
      <c r="FD87" s="64">
        <f>STDEV(U87,AE87)</f>
        <v>9011.670046930125</v>
      </c>
      <c r="FE87" s="65">
        <f t="shared" si="57"/>
        <v>0.23776105228816385</v>
      </c>
      <c r="FF87" s="88">
        <f t="shared" si="60"/>
        <v>31851.26050420168</v>
      </c>
      <c r="FG87" s="88">
        <f t="shared" si="61"/>
        <v>6051.7394957983197</v>
      </c>
      <c r="FH87" s="74">
        <f t="shared" si="58"/>
        <v>37903</v>
      </c>
      <c r="FI87" s="260">
        <f t="shared" si="59"/>
        <v>758060</v>
      </c>
      <c r="FJ87" s="60" t="s">
        <v>66</v>
      </c>
    </row>
    <row r="88" spans="1:167" s="40" customFormat="1" ht="85.5" customHeight="1" x14ac:dyDescent="0.35">
      <c r="A88" s="37">
        <v>82</v>
      </c>
      <c r="B88" s="210" t="s">
        <v>272</v>
      </c>
      <c r="C88" s="38" t="s">
        <v>960</v>
      </c>
      <c r="D88" s="249" t="s">
        <v>64</v>
      </c>
      <c r="E88" s="220">
        <v>15</v>
      </c>
      <c r="F88" s="58"/>
      <c r="G88" s="58"/>
      <c r="H88" s="58"/>
      <c r="I88" s="58"/>
      <c r="J88" s="58"/>
      <c r="K88" s="58"/>
      <c r="L88" s="15"/>
      <c r="M88" s="58"/>
      <c r="N88" s="15"/>
      <c r="O88" s="58"/>
      <c r="P88" s="15"/>
      <c r="Q88" s="58"/>
      <c r="R88" s="15"/>
      <c r="S88" s="58"/>
      <c r="T88" s="15"/>
      <c r="U88" s="58"/>
      <c r="V88" s="15"/>
      <c r="W88" s="58"/>
      <c r="X88" s="15"/>
      <c r="Y88" s="58"/>
      <c r="Z88" s="15"/>
      <c r="AA88" s="58"/>
      <c r="AB88" s="15"/>
      <c r="AC88" s="58"/>
      <c r="AD88" s="58"/>
      <c r="AE88" s="58"/>
      <c r="AF88" s="15"/>
      <c r="AG88" s="58"/>
      <c r="AH88" s="15"/>
      <c r="AI88" s="58"/>
      <c r="AJ88" s="15"/>
      <c r="AK88" s="58"/>
      <c r="AL88" s="15"/>
      <c r="AM88" s="58"/>
      <c r="AN88" s="15"/>
      <c r="AO88" s="58"/>
      <c r="AP88" s="15"/>
      <c r="AQ88" s="58"/>
      <c r="AR88" s="15"/>
      <c r="AS88" s="58"/>
      <c r="AT88" s="15"/>
      <c r="AU88" s="58"/>
      <c r="AV88" s="15"/>
      <c r="AW88" s="58"/>
      <c r="AX88" s="15"/>
      <c r="AY88" s="58"/>
      <c r="AZ88" s="15"/>
      <c r="BA88" s="58"/>
      <c r="BB88" s="15"/>
      <c r="BC88" s="58"/>
      <c r="BD88" s="15"/>
      <c r="BE88" s="58"/>
      <c r="BF88" s="15"/>
      <c r="BG88" s="58"/>
      <c r="BH88" s="15"/>
      <c r="BI88" s="58"/>
      <c r="BJ88" s="15"/>
      <c r="BK88" s="58"/>
      <c r="BL88" s="15"/>
      <c r="BM88" s="58"/>
      <c r="BN88" s="15"/>
      <c r="BO88" s="58"/>
      <c r="BP88" s="15"/>
      <c r="BQ88" s="58"/>
      <c r="BR88" s="15"/>
      <c r="BS88" s="58"/>
      <c r="BT88" s="15"/>
      <c r="BU88" s="58"/>
      <c r="BV88" s="15"/>
      <c r="BW88" s="58"/>
      <c r="BX88" s="15"/>
      <c r="BY88" s="58"/>
      <c r="BZ88" s="15"/>
      <c r="CA88" s="58"/>
      <c r="CB88" s="15"/>
      <c r="CC88" s="58"/>
      <c r="CD88" s="15"/>
      <c r="CE88" s="58"/>
      <c r="CF88" s="15"/>
      <c r="CG88" s="58"/>
      <c r="CH88" s="15"/>
      <c r="CI88" s="58"/>
      <c r="CJ88" s="15"/>
      <c r="CK88" s="58"/>
      <c r="CL88" s="15"/>
      <c r="CM88" s="58"/>
      <c r="CN88" s="15"/>
      <c r="CO88" s="58"/>
      <c r="CP88" s="15"/>
      <c r="CQ88" s="58"/>
      <c r="CR88" s="15"/>
      <c r="CS88" s="58"/>
      <c r="CT88" s="15"/>
      <c r="CU88" s="58"/>
      <c r="CV88" s="15"/>
      <c r="CW88" s="58"/>
      <c r="CX88" s="15"/>
      <c r="CY88" s="58"/>
      <c r="CZ88" s="15"/>
      <c r="DA88" s="58"/>
      <c r="DB88" s="15"/>
      <c r="DC88" s="58"/>
      <c r="DD88" s="15"/>
      <c r="DE88" s="58"/>
      <c r="DF88" s="15"/>
      <c r="DG88" s="58"/>
      <c r="DH88" s="15"/>
      <c r="DI88" s="58"/>
      <c r="DJ88" s="15"/>
      <c r="DK88" s="58"/>
      <c r="DL88" s="15"/>
      <c r="DM88" s="58"/>
      <c r="DN88" s="15"/>
      <c r="DO88" s="58"/>
      <c r="DP88" s="15"/>
      <c r="DQ88" s="58"/>
      <c r="DR88" s="15"/>
      <c r="DS88" s="58"/>
      <c r="DT88" s="15"/>
      <c r="DU88" s="58"/>
      <c r="DV88" s="15"/>
      <c r="DW88" s="58"/>
      <c r="DX88" s="15"/>
      <c r="DY88" s="58"/>
      <c r="DZ88" s="15"/>
      <c r="EA88" s="58"/>
      <c r="EB88" s="15"/>
      <c r="EC88" s="58"/>
      <c r="ED88" s="15"/>
      <c r="EE88" s="217"/>
      <c r="EF88" s="8">
        <v>23400</v>
      </c>
      <c r="EG88" s="320">
        <v>21300</v>
      </c>
      <c r="EH88" s="236">
        <v>23000</v>
      </c>
      <c r="EI88" s="218"/>
      <c r="EJ88" s="218"/>
      <c r="EK88" s="218"/>
      <c r="EL88" s="218"/>
      <c r="EM88" s="218"/>
      <c r="EN88" s="246" t="s">
        <v>209</v>
      </c>
      <c r="EO88" s="246" t="s">
        <v>209</v>
      </c>
      <c r="EP88" s="246" t="s">
        <v>209</v>
      </c>
      <c r="EQ88" s="246" t="s">
        <v>209</v>
      </c>
      <c r="ER88" s="246"/>
      <c r="ES88" s="246"/>
      <c r="ET88" s="246"/>
      <c r="EU88" s="246"/>
      <c r="EV88" s="246"/>
      <c r="EW88" s="246"/>
      <c r="EX88" s="246"/>
      <c r="EY88" s="246"/>
      <c r="EZ88" s="246"/>
      <c r="FA88" s="246"/>
      <c r="FB88" s="59">
        <f>MEDIAN(EF88,EG88,EH88)</f>
        <v>23000</v>
      </c>
      <c r="FC88" s="59">
        <f>AVERAGE(EF88,EG88,EH88)</f>
        <v>22566.666666666668</v>
      </c>
      <c r="FD88" s="60">
        <f>STDEV(EF88,EG88,EH88)</f>
        <v>1115.0485789118486</v>
      </c>
      <c r="FE88" s="65">
        <f t="shared" si="57"/>
        <v>4.941131073464617E-2</v>
      </c>
      <c r="FF88" s="88">
        <f t="shared" si="60"/>
        <v>18963.865546218487</v>
      </c>
      <c r="FG88" s="88">
        <f t="shared" si="61"/>
        <v>3603.1344537815125</v>
      </c>
      <c r="FH88" s="74">
        <f t="shared" si="58"/>
        <v>22567</v>
      </c>
      <c r="FI88" s="260">
        <f t="shared" si="59"/>
        <v>338505</v>
      </c>
      <c r="FJ88" s="60" t="s">
        <v>65</v>
      </c>
    </row>
    <row r="89" spans="1:167" s="40" customFormat="1" ht="85.5" customHeight="1" x14ac:dyDescent="0.35">
      <c r="A89" s="37">
        <v>83</v>
      </c>
      <c r="B89" s="210" t="s">
        <v>273</v>
      </c>
      <c r="C89" s="38" t="s">
        <v>961</v>
      </c>
      <c r="D89" s="249" t="s">
        <v>64</v>
      </c>
      <c r="E89" s="220">
        <v>10</v>
      </c>
      <c r="F89" s="58"/>
      <c r="G89" s="58"/>
      <c r="H89" s="58"/>
      <c r="I89" s="58"/>
      <c r="J89" s="58"/>
      <c r="K89" s="58"/>
      <c r="L89" s="15"/>
      <c r="M89" s="58"/>
      <c r="N89" s="15"/>
      <c r="O89" s="58"/>
      <c r="P89" s="15"/>
      <c r="Q89" s="58"/>
      <c r="R89" s="15"/>
      <c r="S89" s="58"/>
      <c r="T89" s="15"/>
      <c r="U89" s="58"/>
      <c r="V89" s="15"/>
      <c r="W89" s="58"/>
      <c r="X89" s="15"/>
      <c r="Y89" s="58"/>
      <c r="Z89" s="15"/>
      <c r="AA89" s="58"/>
      <c r="AB89" s="15"/>
      <c r="AC89" s="58"/>
      <c r="AD89" s="58">
        <v>245735</v>
      </c>
      <c r="AE89" s="58">
        <f t="shared" ref="AE89" si="105">+(AD89*5.1%)+AD89</f>
        <v>258267.48499999999</v>
      </c>
      <c r="AF89" s="15">
        <v>350000</v>
      </c>
      <c r="AG89" s="58">
        <f t="shared" ref="AG89" si="106">+(AF89*5.1%)+AF89</f>
        <v>367850</v>
      </c>
      <c r="AH89" s="15"/>
      <c r="AI89" s="58"/>
      <c r="AJ89" s="15"/>
      <c r="AK89" s="58"/>
      <c r="AL89" s="15"/>
      <c r="AM89" s="58"/>
      <c r="AN89" s="15"/>
      <c r="AO89" s="58"/>
      <c r="AP89" s="15"/>
      <c r="AQ89" s="58"/>
      <c r="AR89" s="15"/>
      <c r="AS89" s="58"/>
      <c r="AT89" s="15"/>
      <c r="AU89" s="58"/>
      <c r="AV89" s="15"/>
      <c r="AW89" s="58"/>
      <c r="AX89" s="15"/>
      <c r="AY89" s="58"/>
      <c r="AZ89" s="15"/>
      <c r="BA89" s="58"/>
      <c r="BB89" s="15"/>
      <c r="BC89" s="58"/>
      <c r="BD89" s="15"/>
      <c r="BE89" s="58"/>
      <c r="BF89" s="15"/>
      <c r="BG89" s="58"/>
      <c r="BH89" s="15"/>
      <c r="BI89" s="58"/>
      <c r="BJ89" s="15"/>
      <c r="BK89" s="58"/>
      <c r="BL89" s="15"/>
      <c r="BM89" s="58"/>
      <c r="BN89" s="15"/>
      <c r="BO89" s="58"/>
      <c r="BP89" s="15"/>
      <c r="BQ89" s="58"/>
      <c r="BR89" s="15"/>
      <c r="BS89" s="58"/>
      <c r="BT89" s="15"/>
      <c r="BU89" s="58"/>
      <c r="BV89" s="15"/>
      <c r="BW89" s="58"/>
      <c r="BX89" s="15"/>
      <c r="BY89" s="58"/>
      <c r="BZ89" s="15"/>
      <c r="CA89" s="58"/>
      <c r="CB89" s="15"/>
      <c r="CC89" s="58"/>
      <c r="CD89" s="15"/>
      <c r="CE89" s="58"/>
      <c r="CF89" s="15"/>
      <c r="CG89" s="58"/>
      <c r="CH89" s="15"/>
      <c r="CI89" s="58"/>
      <c r="CJ89" s="15"/>
      <c r="CK89" s="58"/>
      <c r="CL89" s="15"/>
      <c r="CM89" s="58"/>
      <c r="CN89" s="15"/>
      <c r="CO89" s="58"/>
      <c r="CP89" s="15"/>
      <c r="CQ89" s="58"/>
      <c r="CR89" s="15"/>
      <c r="CS89" s="58"/>
      <c r="CT89" s="15"/>
      <c r="CU89" s="58"/>
      <c r="CV89" s="15"/>
      <c r="CW89" s="58"/>
      <c r="CX89" s="15"/>
      <c r="CY89" s="58"/>
      <c r="CZ89" s="15"/>
      <c r="DA89" s="58"/>
      <c r="DB89" s="15"/>
      <c r="DC89" s="58"/>
      <c r="DD89" s="15"/>
      <c r="DE89" s="58"/>
      <c r="DF89" s="15"/>
      <c r="DG89" s="58"/>
      <c r="DH89" s="15"/>
      <c r="DI89" s="58"/>
      <c r="DJ89" s="15"/>
      <c r="DK89" s="58"/>
      <c r="DL89" s="15"/>
      <c r="DM89" s="58"/>
      <c r="DN89" s="15"/>
      <c r="DO89" s="58"/>
      <c r="DP89" s="15"/>
      <c r="DQ89" s="58"/>
      <c r="DR89" s="15"/>
      <c r="DS89" s="58"/>
      <c r="DT89" s="15"/>
      <c r="DU89" s="58"/>
      <c r="DV89" s="15"/>
      <c r="DW89" s="58"/>
      <c r="DX89" s="15"/>
      <c r="DY89" s="58"/>
      <c r="DZ89" s="15"/>
      <c r="EA89" s="58"/>
      <c r="EB89" s="15"/>
      <c r="EC89" s="58"/>
      <c r="ED89" s="15"/>
      <c r="EE89" s="217"/>
      <c r="EF89" s="222"/>
      <c r="EG89" s="234"/>
      <c r="EH89" s="223"/>
      <c r="EI89" s="224"/>
      <c r="EJ89" s="224"/>
      <c r="EK89" s="224"/>
      <c r="EL89" s="224"/>
      <c r="EM89" s="224"/>
      <c r="EN89" s="247" t="s">
        <v>209</v>
      </c>
      <c r="EO89" s="247" t="s">
        <v>209</v>
      </c>
      <c r="EP89" s="247" t="s">
        <v>209</v>
      </c>
      <c r="EQ89" s="247" t="s">
        <v>209</v>
      </c>
      <c r="ER89" s="247"/>
      <c r="ES89" s="247"/>
      <c r="ET89" s="247"/>
      <c r="EU89" s="247"/>
      <c r="EV89" s="247"/>
      <c r="EW89" s="247"/>
      <c r="EX89" s="247"/>
      <c r="EY89" s="247"/>
      <c r="EZ89" s="247"/>
      <c r="FA89" s="247"/>
      <c r="FB89" s="63">
        <f>MEDIAN(AE89,AG89)</f>
        <v>313058.74249999999</v>
      </c>
      <c r="FC89" s="63">
        <f>AVERAGE(AE89,AG89)</f>
        <v>313058.74249999999</v>
      </c>
      <c r="FD89" s="64">
        <f>STDEV(AE89,AG89)</f>
        <v>77486.539455976541</v>
      </c>
      <c r="FE89" s="65">
        <f t="shared" si="57"/>
        <v>0.24751437649429817</v>
      </c>
      <c r="FF89" s="88">
        <f t="shared" si="60"/>
        <v>263074.78991596639</v>
      </c>
      <c r="FG89" s="88">
        <f t="shared" si="61"/>
        <v>49984.210084033613</v>
      </c>
      <c r="FH89" s="74">
        <f t="shared" si="58"/>
        <v>313059</v>
      </c>
      <c r="FI89" s="260">
        <f t="shared" si="59"/>
        <v>3130590</v>
      </c>
      <c r="FJ89" s="60" t="s">
        <v>1036</v>
      </c>
    </row>
    <row r="90" spans="1:167" s="40" customFormat="1" ht="85.5" customHeight="1" x14ac:dyDescent="0.35">
      <c r="A90" s="37">
        <v>84</v>
      </c>
      <c r="B90" s="210" t="s">
        <v>274</v>
      </c>
      <c r="C90" s="38" t="s">
        <v>962</v>
      </c>
      <c r="D90" s="249" t="s">
        <v>64</v>
      </c>
      <c r="E90" s="220">
        <v>2</v>
      </c>
      <c r="F90" s="58"/>
      <c r="G90" s="58"/>
      <c r="H90" s="58"/>
      <c r="I90" s="58"/>
      <c r="J90" s="58"/>
      <c r="K90" s="58"/>
      <c r="L90" s="15"/>
      <c r="M90" s="58"/>
      <c r="N90" s="15"/>
      <c r="O90" s="58"/>
      <c r="P90" s="15"/>
      <c r="Q90" s="58"/>
      <c r="R90" s="15"/>
      <c r="S90" s="58"/>
      <c r="T90" s="15">
        <v>750000</v>
      </c>
      <c r="U90" s="58">
        <f t="shared" ref="U90" si="107">+(T90*5.1%)+T90</f>
        <v>788250</v>
      </c>
      <c r="V90" s="15"/>
      <c r="W90" s="58"/>
      <c r="X90" s="15"/>
      <c r="Y90" s="58"/>
      <c r="Z90" s="15"/>
      <c r="AA90" s="58"/>
      <c r="AB90" s="15"/>
      <c r="AC90" s="58"/>
      <c r="AD90" s="58">
        <v>884646</v>
      </c>
      <c r="AE90" s="58">
        <f t="shared" ref="AE90" si="108">+(AD90*5.1%)+AD90</f>
        <v>929762.946</v>
      </c>
      <c r="AF90" s="15"/>
      <c r="AG90" s="58"/>
      <c r="AH90" s="15"/>
      <c r="AI90" s="58"/>
      <c r="AJ90" s="15"/>
      <c r="AK90" s="58"/>
      <c r="AL90" s="15"/>
      <c r="AM90" s="58"/>
      <c r="AN90" s="15"/>
      <c r="AO90" s="58"/>
      <c r="AP90" s="15"/>
      <c r="AQ90" s="58"/>
      <c r="AR90" s="15"/>
      <c r="AS90" s="58"/>
      <c r="AT90" s="15"/>
      <c r="AU90" s="58"/>
      <c r="AV90" s="15"/>
      <c r="AW90" s="58"/>
      <c r="AX90" s="15"/>
      <c r="AY90" s="58"/>
      <c r="AZ90" s="15"/>
      <c r="BA90" s="58"/>
      <c r="BB90" s="15"/>
      <c r="BC90" s="58"/>
      <c r="BD90" s="15"/>
      <c r="BE90" s="58"/>
      <c r="BF90" s="15"/>
      <c r="BG90" s="58"/>
      <c r="BH90" s="15"/>
      <c r="BI90" s="58"/>
      <c r="BJ90" s="15"/>
      <c r="BK90" s="58"/>
      <c r="BL90" s="15"/>
      <c r="BM90" s="58"/>
      <c r="BN90" s="15"/>
      <c r="BO90" s="58"/>
      <c r="BP90" s="15"/>
      <c r="BQ90" s="58"/>
      <c r="BR90" s="15"/>
      <c r="BS90" s="58"/>
      <c r="BT90" s="15"/>
      <c r="BU90" s="58"/>
      <c r="BV90" s="15"/>
      <c r="BW90" s="58"/>
      <c r="BX90" s="15"/>
      <c r="BY90" s="58"/>
      <c r="BZ90" s="15"/>
      <c r="CA90" s="58"/>
      <c r="CB90" s="15"/>
      <c r="CC90" s="58"/>
      <c r="CD90" s="15"/>
      <c r="CE90" s="58"/>
      <c r="CF90" s="15"/>
      <c r="CG90" s="58"/>
      <c r="CH90" s="15"/>
      <c r="CI90" s="58"/>
      <c r="CJ90" s="15"/>
      <c r="CK90" s="58"/>
      <c r="CL90" s="15"/>
      <c r="CM90" s="58"/>
      <c r="CN90" s="15"/>
      <c r="CO90" s="58"/>
      <c r="CP90" s="15"/>
      <c r="CQ90" s="58"/>
      <c r="CR90" s="15"/>
      <c r="CS90" s="58"/>
      <c r="CT90" s="15"/>
      <c r="CU90" s="58"/>
      <c r="CV90" s="15"/>
      <c r="CW90" s="58"/>
      <c r="CX90" s="15"/>
      <c r="CY90" s="58"/>
      <c r="CZ90" s="15"/>
      <c r="DA90" s="58"/>
      <c r="DB90" s="15"/>
      <c r="DC90" s="58"/>
      <c r="DD90" s="15"/>
      <c r="DE90" s="58"/>
      <c r="DF90" s="15"/>
      <c r="DG90" s="58"/>
      <c r="DH90" s="15"/>
      <c r="DI90" s="58"/>
      <c r="DJ90" s="15"/>
      <c r="DK90" s="58"/>
      <c r="DL90" s="15"/>
      <c r="DM90" s="58"/>
      <c r="DN90" s="15"/>
      <c r="DO90" s="58"/>
      <c r="DP90" s="15"/>
      <c r="DQ90" s="58"/>
      <c r="DR90" s="15"/>
      <c r="DS90" s="58"/>
      <c r="DT90" s="15"/>
      <c r="DU90" s="58"/>
      <c r="DV90" s="15"/>
      <c r="DW90" s="58"/>
      <c r="DX90" s="15"/>
      <c r="DY90" s="58"/>
      <c r="DZ90" s="15"/>
      <c r="EA90" s="58"/>
      <c r="EB90" s="15"/>
      <c r="EC90" s="58"/>
      <c r="ED90" s="15"/>
      <c r="EE90" s="217"/>
      <c r="EF90" s="222"/>
      <c r="EG90" s="234"/>
      <c r="EH90" s="223"/>
      <c r="EI90" s="224"/>
      <c r="EJ90" s="224"/>
      <c r="EK90" s="224"/>
      <c r="EL90" s="224"/>
      <c r="EM90" s="224"/>
      <c r="EN90" s="246" t="s">
        <v>209</v>
      </c>
      <c r="EO90" s="246" t="s">
        <v>209</v>
      </c>
      <c r="EP90" s="246" t="s">
        <v>209</v>
      </c>
      <c r="EQ90" s="246" t="s">
        <v>209</v>
      </c>
      <c r="ER90" s="246"/>
      <c r="ES90" s="246"/>
      <c r="ET90" s="246"/>
      <c r="EU90" s="246"/>
      <c r="EV90" s="246"/>
      <c r="EW90" s="246"/>
      <c r="EX90" s="246"/>
      <c r="EY90" s="246"/>
      <c r="EZ90" s="246"/>
      <c r="FA90" s="246"/>
      <c r="FB90" s="63">
        <f>MEDIAN(U90,AE90)</f>
        <v>859006.473</v>
      </c>
      <c r="FC90" s="63">
        <f>AVERAGE(U90,AE90)</f>
        <v>859006.473</v>
      </c>
      <c r="FD90" s="64">
        <f>STDEV(U90,AE90)</f>
        <v>100064.76374228571</v>
      </c>
      <c r="FE90" s="62">
        <f t="shared" si="57"/>
        <v>0.11648895193166456</v>
      </c>
      <c r="FF90" s="88">
        <f t="shared" si="60"/>
        <v>721854.62184873957</v>
      </c>
      <c r="FG90" s="88">
        <f t="shared" si="61"/>
        <v>137152.37815126052</v>
      </c>
      <c r="FH90" s="74">
        <f t="shared" si="58"/>
        <v>859007</v>
      </c>
      <c r="FI90" s="260">
        <f t="shared" si="59"/>
        <v>1718014</v>
      </c>
      <c r="FJ90" s="60" t="s">
        <v>1032</v>
      </c>
    </row>
    <row r="91" spans="1:167" s="40" customFormat="1" ht="85.5" customHeight="1" x14ac:dyDescent="0.35">
      <c r="A91" s="36">
        <v>85</v>
      </c>
      <c r="B91" s="210" t="s">
        <v>275</v>
      </c>
      <c r="C91" s="38" t="s">
        <v>963</v>
      </c>
      <c r="D91" s="249" t="s">
        <v>64</v>
      </c>
      <c r="E91" s="220">
        <v>6</v>
      </c>
      <c r="F91" s="58"/>
      <c r="G91" s="58"/>
      <c r="H91" s="58"/>
      <c r="I91" s="58"/>
      <c r="J91" s="58"/>
      <c r="K91" s="58"/>
      <c r="L91" s="15"/>
      <c r="M91" s="58"/>
      <c r="N91" s="15"/>
      <c r="O91" s="58"/>
      <c r="P91" s="15"/>
      <c r="Q91" s="58"/>
      <c r="R91" s="15"/>
      <c r="S91" s="58"/>
      <c r="T91" s="15"/>
      <c r="U91" s="58"/>
      <c r="V91" s="15"/>
      <c r="W91" s="58"/>
      <c r="X91" s="15"/>
      <c r="Y91" s="58"/>
      <c r="Z91" s="15"/>
      <c r="AA91" s="58"/>
      <c r="AB91" s="15"/>
      <c r="AC91" s="58"/>
      <c r="AD91" s="58">
        <v>2019239.5999999999</v>
      </c>
      <c r="AE91" s="58">
        <f t="shared" ref="AE91:AE92" si="109">+(AD91*5.1%)+AD91</f>
        <v>2122220.8196</v>
      </c>
      <c r="AF91" s="15">
        <v>2330000</v>
      </c>
      <c r="AG91" s="58">
        <f t="shared" ref="AG91:AG92" si="110">+(AF91*5.1%)+AF91</f>
        <v>2448830</v>
      </c>
      <c r="AH91" s="15"/>
      <c r="AI91" s="58"/>
      <c r="AJ91" s="15"/>
      <c r="AK91" s="58"/>
      <c r="AL91" s="15"/>
      <c r="AM91" s="58"/>
      <c r="AN91" s="15"/>
      <c r="AO91" s="58"/>
      <c r="AP91" s="15"/>
      <c r="AQ91" s="58"/>
      <c r="AR91" s="15"/>
      <c r="AS91" s="58"/>
      <c r="AT91" s="15"/>
      <c r="AU91" s="58"/>
      <c r="AV91" s="15"/>
      <c r="AW91" s="58"/>
      <c r="AX91" s="15"/>
      <c r="AY91" s="58"/>
      <c r="AZ91" s="15"/>
      <c r="BA91" s="58"/>
      <c r="BB91" s="15"/>
      <c r="BC91" s="58"/>
      <c r="BD91" s="15"/>
      <c r="BE91" s="58"/>
      <c r="BF91" s="15"/>
      <c r="BG91" s="58"/>
      <c r="BH91" s="15"/>
      <c r="BI91" s="58"/>
      <c r="BJ91" s="15"/>
      <c r="BK91" s="58"/>
      <c r="BL91" s="15"/>
      <c r="BM91" s="58"/>
      <c r="BN91" s="15"/>
      <c r="BO91" s="58"/>
      <c r="BP91" s="15"/>
      <c r="BQ91" s="58"/>
      <c r="BR91" s="15"/>
      <c r="BS91" s="58"/>
      <c r="BT91" s="15"/>
      <c r="BU91" s="58"/>
      <c r="BV91" s="15"/>
      <c r="BW91" s="58"/>
      <c r="BX91" s="15"/>
      <c r="BY91" s="58"/>
      <c r="BZ91" s="15"/>
      <c r="CA91" s="58"/>
      <c r="CB91" s="15"/>
      <c r="CC91" s="58"/>
      <c r="CD91" s="15"/>
      <c r="CE91" s="58"/>
      <c r="CF91" s="15"/>
      <c r="CG91" s="58"/>
      <c r="CH91" s="15"/>
      <c r="CI91" s="58"/>
      <c r="CJ91" s="15"/>
      <c r="CK91" s="58"/>
      <c r="CL91" s="15"/>
      <c r="CM91" s="58"/>
      <c r="CN91" s="15"/>
      <c r="CO91" s="58"/>
      <c r="CP91" s="15"/>
      <c r="CQ91" s="58"/>
      <c r="CR91" s="15"/>
      <c r="CS91" s="58"/>
      <c r="CT91" s="15"/>
      <c r="CU91" s="58"/>
      <c r="CV91" s="15"/>
      <c r="CW91" s="58"/>
      <c r="CX91" s="15"/>
      <c r="CY91" s="58"/>
      <c r="CZ91" s="15"/>
      <c r="DA91" s="58"/>
      <c r="DB91" s="15"/>
      <c r="DC91" s="58"/>
      <c r="DD91" s="15"/>
      <c r="DE91" s="58"/>
      <c r="DF91" s="15"/>
      <c r="DG91" s="58"/>
      <c r="DH91" s="15"/>
      <c r="DI91" s="58"/>
      <c r="DJ91" s="15"/>
      <c r="DK91" s="58"/>
      <c r="DL91" s="15"/>
      <c r="DM91" s="58"/>
      <c r="DN91" s="15"/>
      <c r="DO91" s="58"/>
      <c r="DP91" s="15"/>
      <c r="DQ91" s="58"/>
      <c r="DR91" s="15"/>
      <c r="DS91" s="58"/>
      <c r="DT91" s="15"/>
      <c r="DU91" s="58"/>
      <c r="DV91" s="15"/>
      <c r="DW91" s="58"/>
      <c r="DX91" s="15"/>
      <c r="DY91" s="58"/>
      <c r="DZ91" s="15"/>
      <c r="EA91" s="58"/>
      <c r="EB91" s="15"/>
      <c r="EC91" s="58"/>
      <c r="ED91" s="15"/>
      <c r="EE91" s="217"/>
      <c r="EF91" s="222"/>
      <c r="EG91" s="234"/>
      <c r="EH91" s="242"/>
      <c r="EI91" s="58"/>
      <c r="EJ91" s="58"/>
      <c r="EK91" s="58"/>
      <c r="EL91" s="58"/>
      <c r="EM91" s="58"/>
      <c r="EN91" s="251" t="s">
        <v>209</v>
      </c>
      <c r="EO91" s="251" t="s">
        <v>209</v>
      </c>
      <c r="EP91" s="251" t="s">
        <v>209</v>
      </c>
      <c r="EQ91" s="251" t="s">
        <v>209</v>
      </c>
      <c r="ER91" s="255"/>
      <c r="ES91" s="255"/>
      <c r="ET91" s="255"/>
      <c r="EU91" s="255"/>
      <c r="EV91" s="255"/>
      <c r="EW91" s="255"/>
      <c r="EX91" s="255"/>
      <c r="EY91" s="255"/>
      <c r="EZ91" s="255"/>
      <c r="FA91" s="255"/>
      <c r="FB91" s="69">
        <f>MEDIAN(AE91,AG91)</f>
        <v>2285525.4098</v>
      </c>
      <c r="FC91" s="69">
        <f>AVERAGE(AE91,AG91)</f>
        <v>2285525.4098</v>
      </c>
      <c r="FD91" s="70">
        <f>STDEV(AE91,AG91)</f>
        <v>230947.56625862038</v>
      </c>
      <c r="FE91" s="62">
        <f t="shared" si="57"/>
        <v>0.10104791015157866</v>
      </c>
      <c r="FF91" s="88">
        <f t="shared" si="60"/>
        <v>1920610.0840336136</v>
      </c>
      <c r="FG91" s="88">
        <f t="shared" si="61"/>
        <v>364915.91596638656</v>
      </c>
      <c r="FH91" s="74">
        <f t="shared" si="58"/>
        <v>2285526</v>
      </c>
      <c r="FI91" s="260">
        <f t="shared" si="59"/>
        <v>13713156</v>
      </c>
      <c r="FJ91" s="60" t="s">
        <v>65</v>
      </c>
      <c r="FK91" s="343"/>
    </row>
    <row r="92" spans="1:167" s="40" customFormat="1" ht="85.5" customHeight="1" x14ac:dyDescent="0.35">
      <c r="A92" s="37">
        <v>86</v>
      </c>
      <c r="B92" s="210" t="s">
        <v>276</v>
      </c>
      <c r="C92" s="38" t="s">
        <v>964</v>
      </c>
      <c r="D92" s="249" t="s">
        <v>64</v>
      </c>
      <c r="E92" s="220">
        <v>6</v>
      </c>
      <c r="F92" s="58"/>
      <c r="G92" s="58"/>
      <c r="H92" s="58"/>
      <c r="I92" s="58"/>
      <c r="J92" s="58"/>
      <c r="K92" s="58"/>
      <c r="L92" s="15"/>
      <c r="M92" s="15"/>
      <c r="N92" s="15"/>
      <c r="O92" s="15"/>
      <c r="P92" s="15"/>
      <c r="Q92" s="15"/>
      <c r="R92" s="15"/>
      <c r="S92" s="15"/>
      <c r="T92" s="15"/>
      <c r="U92" s="15"/>
      <c r="V92" s="15"/>
      <c r="W92" s="15"/>
      <c r="X92" s="15"/>
      <c r="Y92" s="15"/>
      <c r="Z92" s="15"/>
      <c r="AA92" s="15"/>
      <c r="AB92" s="15"/>
      <c r="AC92" s="15"/>
      <c r="AD92" s="58">
        <v>1079829.8</v>
      </c>
      <c r="AE92" s="58">
        <f t="shared" si="109"/>
        <v>1134901.1198</v>
      </c>
      <c r="AF92" s="15">
        <v>1250000</v>
      </c>
      <c r="AG92" s="58">
        <f t="shared" si="110"/>
        <v>1313750</v>
      </c>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9"/>
      <c r="EG92" s="235"/>
      <c r="EH92" s="243"/>
      <c r="EI92" s="56"/>
      <c r="EJ92" s="56"/>
      <c r="EK92" s="56"/>
      <c r="EL92" s="56"/>
      <c r="EM92" s="56"/>
      <c r="EN92" s="252"/>
      <c r="EO92" s="252"/>
      <c r="EP92" s="252"/>
      <c r="EQ92" s="252"/>
      <c r="ER92" s="252"/>
      <c r="ES92" s="252"/>
      <c r="ET92" s="252"/>
      <c r="EU92" s="252"/>
      <c r="EV92" s="252"/>
      <c r="EW92" s="252"/>
      <c r="EX92" s="252"/>
      <c r="EY92" s="252"/>
      <c r="EZ92" s="252"/>
      <c r="FA92" s="252"/>
      <c r="FB92" s="63">
        <f>MEDIAN(AE92,AG92)</f>
        <v>1224325.5599</v>
      </c>
      <c r="FC92" s="63">
        <f>AVERAGE(AE92,AG92)</f>
        <v>1224325.5599</v>
      </c>
      <c r="FD92" s="64">
        <f>STDEV(AE92,AG92)</f>
        <v>126465.25599704045</v>
      </c>
      <c r="FE92" s="62">
        <f t="shared" si="57"/>
        <v>0.10329381345870933</v>
      </c>
      <c r="FF92" s="88">
        <f t="shared" si="60"/>
        <v>1028845.3781512605</v>
      </c>
      <c r="FG92" s="88">
        <f t="shared" si="61"/>
        <v>195480.62184873951</v>
      </c>
      <c r="FH92" s="74">
        <f t="shared" si="58"/>
        <v>1224326</v>
      </c>
      <c r="FI92" s="260">
        <f t="shared" si="59"/>
        <v>7345956</v>
      </c>
      <c r="FJ92" s="60" t="s">
        <v>1037</v>
      </c>
      <c r="FK92" s="343"/>
    </row>
    <row r="93" spans="1:167" s="40" customFormat="1" ht="85.5" customHeight="1" x14ac:dyDescent="0.35">
      <c r="A93" s="37">
        <v>87</v>
      </c>
      <c r="B93" s="210" t="s">
        <v>277</v>
      </c>
      <c r="C93" s="38" t="s">
        <v>965</v>
      </c>
      <c r="D93" s="249" t="s">
        <v>64</v>
      </c>
      <c r="E93" s="220">
        <v>20</v>
      </c>
      <c r="F93" s="58"/>
      <c r="G93" s="58"/>
      <c r="H93" s="58"/>
      <c r="I93" s="58"/>
      <c r="J93" s="58"/>
      <c r="K93" s="58"/>
      <c r="L93" s="15"/>
      <c r="M93" s="58"/>
      <c r="N93" s="15"/>
      <c r="O93" s="58"/>
      <c r="P93" s="15"/>
      <c r="Q93" s="58"/>
      <c r="R93" s="15"/>
      <c r="S93" s="58"/>
      <c r="T93" s="15"/>
      <c r="U93" s="58"/>
      <c r="V93" s="15"/>
      <c r="W93" s="58"/>
      <c r="X93" s="15"/>
      <c r="Y93" s="58"/>
      <c r="Z93" s="15"/>
      <c r="AA93" s="58"/>
      <c r="AB93" s="15"/>
      <c r="AC93" s="58"/>
      <c r="AD93" s="58"/>
      <c r="AE93" s="58"/>
      <c r="AF93" s="15"/>
      <c r="AG93" s="58"/>
      <c r="AH93" s="15"/>
      <c r="AI93" s="58"/>
      <c r="AJ93" s="15"/>
      <c r="AK93" s="58"/>
      <c r="AL93" s="15"/>
      <c r="AM93" s="58"/>
      <c r="AN93" s="15"/>
      <c r="AO93" s="58"/>
      <c r="AP93" s="15"/>
      <c r="AQ93" s="58"/>
      <c r="AR93" s="15"/>
      <c r="AS93" s="58"/>
      <c r="AT93" s="15"/>
      <c r="AU93" s="58"/>
      <c r="AV93" s="15"/>
      <c r="AW93" s="58"/>
      <c r="AX93" s="15"/>
      <c r="AY93" s="58"/>
      <c r="AZ93" s="15"/>
      <c r="BA93" s="58"/>
      <c r="BB93" s="15"/>
      <c r="BC93" s="58"/>
      <c r="BD93" s="15"/>
      <c r="BE93" s="58"/>
      <c r="BF93" s="15"/>
      <c r="BG93" s="58"/>
      <c r="BH93" s="15"/>
      <c r="BI93" s="58"/>
      <c r="BJ93" s="15"/>
      <c r="BK93" s="58"/>
      <c r="BL93" s="15"/>
      <c r="BM93" s="58"/>
      <c r="BN93" s="15"/>
      <c r="BO93" s="58"/>
      <c r="BP93" s="15"/>
      <c r="BQ93" s="58"/>
      <c r="BR93" s="15"/>
      <c r="BS93" s="58"/>
      <c r="BT93" s="15"/>
      <c r="BU93" s="58"/>
      <c r="BV93" s="15"/>
      <c r="BW93" s="58"/>
      <c r="BX93" s="15"/>
      <c r="BY93" s="58"/>
      <c r="BZ93" s="15"/>
      <c r="CA93" s="58"/>
      <c r="CB93" s="15"/>
      <c r="CC93" s="58"/>
      <c r="CD93" s="15"/>
      <c r="CE93" s="58"/>
      <c r="CF93" s="15"/>
      <c r="CG93" s="58"/>
      <c r="CH93" s="15"/>
      <c r="CI93" s="58"/>
      <c r="CJ93" s="15"/>
      <c r="CK93" s="58"/>
      <c r="CL93" s="15"/>
      <c r="CM93" s="58"/>
      <c r="CN93" s="15"/>
      <c r="CO93" s="58"/>
      <c r="CP93" s="15"/>
      <c r="CQ93" s="58"/>
      <c r="CR93" s="15"/>
      <c r="CS93" s="58"/>
      <c r="CT93" s="15"/>
      <c r="CU93" s="58"/>
      <c r="CV93" s="15"/>
      <c r="CW93" s="58"/>
      <c r="CX93" s="15"/>
      <c r="CY93" s="58"/>
      <c r="CZ93" s="15"/>
      <c r="DA93" s="58"/>
      <c r="DB93" s="15"/>
      <c r="DC93" s="58"/>
      <c r="DD93" s="15"/>
      <c r="DE93" s="58"/>
      <c r="DF93" s="15"/>
      <c r="DG93" s="58"/>
      <c r="DH93" s="15"/>
      <c r="DI93" s="58"/>
      <c r="DJ93" s="15"/>
      <c r="DK93" s="58"/>
      <c r="DL93" s="15"/>
      <c r="DM93" s="58"/>
      <c r="DN93" s="15"/>
      <c r="DO93" s="58"/>
      <c r="DP93" s="15"/>
      <c r="DQ93" s="58"/>
      <c r="DR93" s="15"/>
      <c r="DS93" s="58"/>
      <c r="DT93" s="15"/>
      <c r="DU93" s="58"/>
      <c r="DV93" s="15"/>
      <c r="DW93" s="58"/>
      <c r="DX93" s="15"/>
      <c r="DY93" s="58"/>
      <c r="DZ93" s="15"/>
      <c r="EA93" s="58"/>
      <c r="EB93" s="15"/>
      <c r="EC93" s="58"/>
      <c r="ED93" s="15"/>
      <c r="EE93" s="217"/>
      <c r="EF93" s="8">
        <v>96000</v>
      </c>
      <c r="EG93" s="320">
        <v>102000</v>
      </c>
      <c r="EH93" s="321">
        <v>90000</v>
      </c>
      <c r="EI93" s="58"/>
      <c r="EJ93" s="58"/>
      <c r="EK93" s="58"/>
      <c r="EL93" s="58"/>
      <c r="EM93" s="58"/>
      <c r="EN93" s="251" t="s">
        <v>209</v>
      </c>
      <c r="EO93" s="251" t="s">
        <v>209</v>
      </c>
      <c r="EP93" s="251" t="s">
        <v>209</v>
      </c>
      <c r="EQ93" s="251" t="s">
        <v>209</v>
      </c>
      <c r="ER93" s="208"/>
      <c r="ES93" s="208"/>
      <c r="ET93" s="208"/>
      <c r="EU93" s="208"/>
      <c r="EV93" s="208"/>
      <c r="EW93" s="208"/>
      <c r="EX93" s="208"/>
      <c r="EY93" s="208"/>
      <c r="EZ93" s="208"/>
      <c r="FA93" s="208"/>
      <c r="FB93" s="59">
        <f>MEDIAN(EF93,EG93,EH93)</f>
        <v>96000</v>
      </c>
      <c r="FC93" s="59">
        <f>AVERAGE(EF93,EG93,EH93)</f>
        <v>96000</v>
      </c>
      <c r="FD93" s="60">
        <f>STDEV(EF93,EG93,EH93)</f>
        <v>6000</v>
      </c>
      <c r="FE93" s="62">
        <f t="shared" si="57"/>
        <v>6.25E-2</v>
      </c>
      <c r="FF93" s="88">
        <f t="shared" si="60"/>
        <v>80672.268907563033</v>
      </c>
      <c r="FG93" s="88">
        <f t="shared" si="61"/>
        <v>15327.731092436976</v>
      </c>
      <c r="FH93" s="74">
        <f t="shared" si="58"/>
        <v>96000</v>
      </c>
      <c r="FI93" s="260">
        <f>+FH93*E92</f>
        <v>576000</v>
      </c>
      <c r="FJ93" s="60" t="s">
        <v>65</v>
      </c>
      <c r="FK93" s="343"/>
    </row>
    <row r="94" spans="1:167" s="40" customFormat="1" ht="85.5" customHeight="1" x14ac:dyDescent="0.35">
      <c r="A94" s="36">
        <v>88</v>
      </c>
      <c r="B94" s="210" t="s">
        <v>278</v>
      </c>
      <c r="C94" s="38" t="s">
        <v>1063</v>
      </c>
      <c r="D94" s="249" t="s">
        <v>64</v>
      </c>
      <c r="E94" s="220">
        <v>11</v>
      </c>
      <c r="F94" s="58"/>
      <c r="G94" s="58"/>
      <c r="H94" s="58"/>
      <c r="I94" s="58"/>
      <c r="J94" s="58"/>
      <c r="K94" s="58"/>
      <c r="L94" s="15"/>
      <c r="M94" s="58"/>
      <c r="N94" s="15"/>
      <c r="O94" s="58"/>
      <c r="P94" s="15"/>
      <c r="Q94" s="58"/>
      <c r="R94" s="15"/>
      <c r="S94" s="58"/>
      <c r="T94" s="15"/>
      <c r="U94" s="58"/>
      <c r="V94" s="15"/>
      <c r="W94" s="58"/>
      <c r="X94" s="15"/>
      <c r="Y94" s="58"/>
      <c r="Z94" s="15"/>
      <c r="AA94" s="58"/>
      <c r="AB94" s="15"/>
      <c r="AC94" s="58"/>
      <c r="AD94" s="58"/>
      <c r="AE94" s="58"/>
      <c r="AF94" s="15"/>
      <c r="AG94" s="58"/>
      <c r="AH94" s="15"/>
      <c r="AI94" s="58"/>
      <c r="AJ94" s="15"/>
      <c r="AK94" s="58"/>
      <c r="AL94" s="15"/>
      <c r="AM94" s="58"/>
      <c r="AN94" s="15"/>
      <c r="AO94" s="58"/>
      <c r="AP94" s="15"/>
      <c r="AQ94" s="58"/>
      <c r="AR94" s="15"/>
      <c r="AS94" s="58"/>
      <c r="AT94" s="15"/>
      <c r="AU94" s="58"/>
      <c r="AV94" s="15"/>
      <c r="AW94" s="58"/>
      <c r="AX94" s="15"/>
      <c r="AY94" s="58"/>
      <c r="AZ94" s="15"/>
      <c r="BA94" s="58"/>
      <c r="BB94" s="15"/>
      <c r="BC94" s="58"/>
      <c r="BD94" s="15"/>
      <c r="BE94" s="58"/>
      <c r="BF94" s="15"/>
      <c r="BG94" s="58"/>
      <c r="BH94" s="15"/>
      <c r="BI94" s="58"/>
      <c r="BJ94" s="15"/>
      <c r="BK94" s="58"/>
      <c r="BL94" s="15"/>
      <c r="BM94" s="58"/>
      <c r="BN94" s="15"/>
      <c r="BO94" s="58"/>
      <c r="BP94" s="15"/>
      <c r="BQ94" s="58"/>
      <c r="BR94" s="15"/>
      <c r="BS94" s="58"/>
      <c r="BT94" s="15"/>
      <c r="BU94" s="58"/>
      <c r="BV94" s="15"/>
      <c r="BW94" s="58"/>
      <c r="BX94" s="15"/>
      <c r="BY94" s="58"/>
      <c r="BZ94" s="15"/>
      <c r="CA94" s="58"/>
      <c r="CB94" s="15"/>
      <c r="CC94" s="58"/>
      <c r="CD94" s="15"/>
      <c r="CE94" s="58"/>
      <c r="CF94" s="15"/>
      <c r="CG94" s="58"/>
      <c r="CH94" s="15"/>
      <c r="CI94" s="58"/>
      <c r="CJ94" s="15"/>
      <c r="CK94" s="58"/>
      <c r="CL94" s="15"/>
      <c r="CM94" s="58"/>
      <c r="CN94" s="15"/>
      <c r="CO94" s="58"/>
      <c r="CP94" s="15"/>
      <c r="CQ94" s="58"/>
      <c r="CR94" s="15"/>
      <c r="CS94" s="58"/>
      <c r="CT94" s="15"/>
      <c r="CU94" s="58"/>
      <c r="CV94" s="15"/>
      <c r="CW94" s="58"/>
      <c r="CX94" s="15"/>
      <c r="CY94" s="58"/>
      <c r="CZ94" s="15"/>
      <c r="DA94" s="58"/>
      <c r="DB94" s="15"/>
      <c r="DC94" s="58"/>
      <c r="DD94" s="15"/>
      <c r="DE94" s="58"/>
      <c r="DF94" s="15"/>
      <c r="DG94" s="58"/>
      <c r="DH94" s="15"/>
      <c r="DI94" s="58"/>
      <c r="DJ94" s="15"/>
      <c r="DK94" s="58"/>
      <c r="DL94" s="15"/>
      <c r="DM94" s="58"/>
      <c r="DN94" s="15"/>
      <c r="DO94" s="58"/>
      <c r="DP94" s="15"/>
      <c r="DQ94" s="58"/>
      <c r="DR94" s="15"/>
      <c r="DS94" s="58"/>
      <c r="DT94" s="15"/>
      <c r="DU94" s="58"/>
      <c r="DV94" s="15"/>
      <c r="DW94" s="58"/>
      <c r="DX94" s="15"/>
      <c r="DY94" s="58"/>
      <c r="DZ94" s="15"/>
      <c r="EA94" s="58"/>
      <c r="EB94" s="15"/>
      <c r="EC94" s="58"/>
      <c r="ED94" s="15"/>
      <c r="EE94" s="217"/>
      <c r="EF94" s="8">
        <v>1460000</v>
      </c>
      <c r="EG94" s="320">
        <v>1340000</v>
      </c>
      <c r="EH94" s="236">
        <v>1400000</v>
      </c>
      <c r="EI94" s="224"/>
      <c r="EJ94" s="228"/>
      <c r="EK94" s="228"/>
      <c r="EL94" s="228"/>
      <c r="EM94" s="228"/>
      <c r="EN94" s="208" t="s">
        <v>209</v>
      </c>
      <c r="EO94" s="246" t="s">
        <v>209</v>
      </c>
      <c r="EP94" s="246" t="s">
        <v>209</v>
      </c>
      <c r="EQ94" s="246" t="s">
        <v>209</v>
      </c>
      <c r="ER94" s="246"/>
      <c r="ES94" s="246"/>
      <c r="ET94" s="246"/>
      <c r="EU94" s="246"/>
      <c r="EV94" s="246"/>
      <c r="EW94" s="246"/>
      <c r="EX94" s="246"/>
      <c r="EY94" s="246"/>
      <c r="EZ94" s="246"/>
      <c r="FA94" s="246"/>
      <c r="FB94" s="59">
        <f>MEDIAN(EF94,EG94,EH94)</f>
        <v>1400000</v>
      </c>
      <c r="FC94" s="59">
        <f>AVERAGE(EF94,EG94,EH94)</f>
        <v>1400000</v>
      </c>
      <c r="FD94" s="60">
        <f>STDEV(EF94,EG94,EH94)</f>
        <v>60000</v>
      </c>
      <c r="FE94" s="62">
        <f t="shared" si="57"/>
        <v>4.2857142857142858E-2</v>
      </c>
      <c r="FF94" s="88">
        <f t="shared" si="60"/>
        <v>1176470.5882352942</v>
      </c>
      <c r="FG94" s="88">
        <f t="shared" si="61"/>
        <v>223529.4117647059</v>
      </c>
      <c r="FH94" s="74">
        <f t="shared" si="58"/>
        <v>1400000</v>
      </c>
      <c r="FI94" s="260">
        <f>+FH94*E93</f>
        <v>28000000</v>
      </c>
      <c r="FJ94" s="60" t="s">
        <v>65</v>
      </c>
      <c r="FK94" s="343"/>
    </row>
    <row r="95" spans="1:167" s="40" customFormat="1" ht="85.5" customHeight="1" x14ac:dyDescent="0.35">
      <c r="A95" s="36">
        <v>89</v>
      </c>
      <c r="B95" s="210" t="s">
        <v>279</v>
      </c>
      <c r="C95" s="38" t="s">
        <v>966</v>
      </c>
      <c r="D95" s="249" t="s">
        <v>64</v>
      </c>
      <c r="E95" s="220">
        <v>20</v>
      </c>
      <c r="F95" s="58"/>
      <c r="G95" s="58"/>
      <c r="H95" s="58"/>
      <c r="I95" s="58"/>
      <c r="J95" s="58"/>
      <c r="K95" s="58"/>
      <c r="L95" s="15"/>
      <c r="M95" s="58"/>
      <c r="N95" s="15"/>
      <c r="O95" s="58"/>
      <c r="P95" s="15"/>
      <c r="Q95" s="58"/>
      <c r="R95" s="15"/>
      <c r="S95" s="58"/>
      <c r="T95" s="15">
        <v>1550000</v>
      </c>
      <c r="U95" s="58">
        <f t="shared" ref="U95" si="111">+(T95*5.1%)+T95</f>
        <v>1629050</v>
      </c>
      <c r="V95" s="15"/>
      <c r="W95" s="58"/>
      <c r="X95" s="15"/>
      <c r="Y95" s="58"/>
      <c r="Z95" s="15"/>
      <c r="AA95" s="58"/>
      <c r="AB95" s="15"/>
      <c r="AC95" s="58"/>
      <c r="AD95" s="58"/>
      <c r="AE95" s="58"/>
      <c r="AF95" s="15">
        <v>1680000</v>
      </c>
      <c r="AG95" s="58">
        <f t="shared" ref="AG95" si="112">+(AF95*5.1%)+AF95</f>
        <v>1765680</v>
      </c>
      <c r="AH95" s="15"/>
      <c r="AI95" s="58"/>
      <c r="AJ95" s="15"/>
      <c r="AK95" s="58"/>
      <c r="AL95" s="15"/>
      <c r="AM95" s="58"/>
      <c r="AN95" s="15"/>
      <c r="AO95" s="58"/>
      <c r="AP95" s="15"/>
      <c r="AQ95" s="58"/>
      <c r="AR95" s="15"/>
      <c r="AS95" s="58"/>
      <c r="AT95" s="15"/>
      <c r="AU95" s="58"/>
      <c r="AV95" s="15"/>
      <c r="AW95" s="58"/>
      <c r="AX95" s="15"/>
      <c r="AY95" s="58"/>
      <c r="AZ95" s="15"/>
      <c r="BA95" s="58"/>
      <c r="BB95" s="15"/>
      <c r="BC95" s="58"/>
      <c r="BD95" s="15"/>
      <c r="BE95" s="58"/>
      <c r="BF95" s="15"/>
      <c r="BG95" s="58"/>
      <c r="BH95" s="15"/>
      <c r="BI95" s="58"/>
      <c r="BJ95" s="15"/>
      <c r="BK95" s="58"/>
      <c r="BL95" s="15"/>
      <c r="BM95" s="58"/>
      <c r="BN95" s="15"/>
      <c r="BO95" s="58"/>
      <c r="BP95" s="15"/>
      <c r="BQ95" s="58"/>
      <c r="BR95" s="15"/>
      <c r="BS95" s="58"/>
      <c r="BT95" s="15"/>
      <c r="BU95" s="58"/>
      <c r="BV95" s="15"/>
      <c r="BW95" s="58"/>
      <c r="BX95" s="15"/>
      <c r="BY95" s="58"/>
      <c r="BZ95" s="15"/>
      <c r="CA95" s="58"/>
      <c r="CB95" s="15"/>
      <c r="CC95" s="58"/>
      <c r="CD95" s="15"/>
      <c r="CE95" s="58"/>
      <c r="CF95" s="15"/>
      <c r="CG95" s="58"/>
      <c r="CH95" s="15"/>
      <c r="CI95" s="58"/>
      <c r="CJ95" s="15"/>
      <c r="CK95" s="58"/>
      <c r="CL95" s="15"/>
      <c r="CM95" s="58"/>
      <c r="CN95" s="15"/>
      <c r="CO95" s="58"/>
      <c r="CP95" s="15"/>
      <c r="CQ95" s="58"/>
      <c r="CR95" s="15"/>
      <c r="CS95" s="58"/>
      <c r="CT95" s="15"/>
      <c r="CU95" s="58"/>
      <c r="CV95" s="15"/>
      <c r="CW95" s="58"/>
      <c r="CX95" s="15"/>
      <c r="CY95" s="58"/>
      <c r="CZ95" s="15"/>
      <c r="DA95" s="58"/>
      <c r="DB95" s="15"/>
      <c r="DC95" s="58"/>
      <c r="DD95" s="15"/>
      <c r="DE95" s="58"/>
      <c r="DF95" s="15"/>
      <c r="DG95" s="58"/>
      <c r="DH95" s="15"/>
      <c r="DI95" s="58"/>
      <c r="DJ95" s="15"/>
      <c r="DK95" s="58"/>
      <c r="DL95" s="15"/>
      <c r="DM95" s="58"/>
      <c r="DN95" s="15"/>
      <c r="DO95" s="58"/>
      <c r="DP95" s="15"/>
      <c r="DQ95" s="58"/>
      <c r="DR95" s="15"/>
      <c r="DS95" s="58"/>
      <c r="DT95" s="15"/>
      <c r="DU95" s="58"/>
      <c r="DV95" s="15"/>
      <c r="DW95" s="58"/>
      <c r="DX95" s="15"/>
      <c r="DY95" s="58"/>
      <c r="DZ95" s="15"/>
      <c r="EA95" s="58"/>
      <c r="EB95" s="15"/>
      <c r="EC95" s="58"/>
      <c r="ED95" s="15"/>
      <c r="EE95" s="217"/>
      <c r="EF95" s="222"/>
      <c r="EG95" s="234"/>
      <c r="EH95" s="223"/>
      <c r="EI95" s="224"/>
      <c r="EJ95" s="58"/>
      <c r="EK95" s="58"/>
      <c r="EL95" s="58"/>
      <c r="EM95" s="58"/>
      <c r="EN95" s="208"/>
      <c r="EO95" s="246"/>
      <c r="EP95" s="246"/>
      <c r="EQ95" s="246"/>
      <c r="ER95" s="246"/>
      <c r="ES95" s="246"/>
      <c r="ET95" s="246"/>
      <c r="EU95" s="246"/>
      <c r="EV95" s="246"/>
      <c r="EW95" s="246"/>
      <c r="EX95" s="246"/>
      <c r="EY95" s="246"/>
      <c r="EZ95" s="246"/>
      <c r="FA95" s="246"/>
      <c r="FB95" s="63">
        <f>MEDIAN(U95,AG95)</f>
        <v>1697365</v>
      </c>
      <c r="FC95" s="63">
        <f>AVERAGE(U95,AG95)</f>
        <v>1697365</v>
      </c>
      <c r="FD95" s="64">
        <f>STDEV(U95,AG95)</f>
        <v>96611.999513517992</v>
      </c>
      <c r="FE95" s="65">
        <f t="shared" si="57"/>
        <v>5.691881210789547E-2</v>
      </c>
      <c r="FF95" s="88">
        <f t="shared" si="60"/>
        <v>1426357.142857143</v>
      </c>
      <c r="FG95" s="88">
        <f t="shared" si="61"/>
        <v>271007.85714285716</v>
      </c>
      <c r="FH95" s="74">
        <f t="shared" si="58"/>
        <v>1697365</v>
      </c>
      <c r="FI95" s="260">
        <f>+FH95*E94</f>
        <v>18671015</v>
      </c>
      <c r="FJ95" s="60" t="s">
        <v>1032</v>
      </c>
    </row>
    <row r="96" spans="1:167" s="40" customFormat="1" ht="85.5" customHeight="1" x14ac:dyDescent="0.35">
      <c r="A96" s="37">
        <v>90</v>
      </c>
      <c r="B96" s="210" t="s">
        <v>280</v>
      </c>
      <c r="C96" s="38" t="s">
        <v>967</v>
      </c>
      <c r="D96" s="249" t="s">
        <v>64</v>
      </c>
      <c r="E96" s="220">
        <v>50</v>
      </c>
      <c r="F96" s="58"/>
      <c r="G96" s="58"/>
      <c r="H96" s="58"/>
      <c r="I96" s="58"/>
      <c r="J96" s="58"/>
      <c r="K96" s="58"/>
      <c r="L96" s="15"/>
      <c r="M96" s="58"/>
      <c r="N96" s="15"/>
      <c r="O96" s="58"/>
      <c r="P96" s="15"/>
      <c r="Q96" s="58"/>
      <c r="R96" s="15"/>
      <c r="S96" s="58"/>
      <c r="T96" s="15">
        <v>480000</v>
      </c>
      <c r="U96" s="58">
        <f t="shared" ref="U96" si="113">+(T96*5.1%)+T96</f>
        <v>504480</v>
      </c>
      <c r="V96" s="15"/>
      <c r="W96" s="58"/>
      <c r="X96" s="15"/>
      <c r="Y96" s="58"/>
      <c r="Z96" s="15"/>
      <c r="AA96" s="58"/>
      <c r="AB96" s="15"/>
      <c r="AC96" s="58"/>
      <c r="AD96" s="58">
        <v>603806</v>
      </c>
      <c r="AE96" s="58">
        <f t="shared" ref="AE96" si="114">+(AD96*5.1%)+AD96</f>
        <v>634600.10600000003</v>
      </c>
      <c r="AF96" s="15">
        <v>550000</v>
      </c>
      <c r="AG96" s="58">
        <f t="shared" ref="AG96" si="115">+(AF96*5.1%)+AF96</f>
        <v>578050</v>
      </c>
      <c r="AH96" s="15"/>
      <c r="AI96" s="58"/>
      <c r="AJ96" s="15"/>
      <c r="AK96" s="58"/>
      <c r="AL96" s="15"/>
      <c r="AM96" s="58"/>
      <c r="AN96" s="15"/>
      <c r="AO96" s="58"/>
      <c r="AP96" s="15"/>
      <c r="AQ96" s="58"/>
      <c r="AR96" s="15"/>
      <c r="AS96" s="58"/>
      <c r="AT96" s="15"/>
      <c r="AU96" s="58"/>
      <c r="AV96" s="15"/>
      <c r="AW96" s="58"/>
      <c r="AX96" s="15"/>
      <c r="AY96" s="58"/>
      <c r="AZ96" s="15"/>
      <c r="BA96" s="58"/>
      <c r="BB96" s="15"/>
      <c r="BC96" s="58"/>
      <c r="BD96" s="15"/>
      <c r="BE96" s="58"/>
      <c r="BF96" s="15"/>
      <c r="BG96" s="58"/>
      <c r="BH96" s="15"/>
      <c r="BI96" s="58"/>
      <c r="BJ96" s="15"/>
      <c r="BK96" s="58"/>
      <c r="BL96" s="15"/>
      <c r="BM96" s="58"/>
      <c r="BN96" s="15"/>
      <c r="BO96" s="58"/>
      <c r="BP96" s="15"/>
      <c r="BQ96" s="58"/>
      <c r="BR96" s="15"/>
      <c r="BS96" s="58"/>
      <c r="BT96" s="15"/>
      <c r="BU96" s="58"/>
      <c r="BV96" s="15"/>
      <c r="BW96" s="58"/>
      <c r="BX96" s="15"/>
      <c r="BY96" s="58"/>
      <c r="BZ96" s="15"/>
      <c r="CA96" s="58"/>
      <c r="CB96" s="15"/>
      <c r="CC96" s="58"/>
      <c r="CD96" s="15"/>
      <c r="CE96" s="58"/>
      <c r="CF96" s="15"/>
      <c r="CG96" s="58"/>
      <c r="CH96" s="15"/>
      <c r="CI96" s="58"/>
      <c r="CJ96" s="15"/>
      <c r="CK96" s="58"/>
      <c r="CL96" s="15"/>
      <c r="CM96" s="58"/>
      <c r="CN96" s="15"/>
      <c r="CO96" s="58"/>
      <c r="CP96" s="15"/>
      <c r="CQ96" s="58"/>
      <c r="CR96" s="15"/>
      <c r="CS96" s="58"/>
      <c r="CT96" s="15"/>
      <c r="CU96" s="58"/>
      <c r="CV96" s="15"/>
      <c r="CW96" s="58"/>
      <c r="CX96" s="15"/>
      <c r="CY96" s="58"/>
      <c r="CZ96" s="15"/>
      <c r="DA96" s="58"/>
      <c r="DB96" s="15"/>
      <c r="DC96" s="58"/>
      <c r="DD96" s="15"/>
      <c r="DE96" s="58"/>
      <c r="DF96" s="15"/>
      <c r="DG96" s="58"/>
      <c r="DH96" s="15"/>
      <c r="DI96" s="58"/>
      <c r="DJ96" s="15"/>
      <c r="DK96" s="58"/>
      <c r="DL96" s="15"/>
      <c r="DM96" s="58"/>
      <c r="DN96" s="15"/>
      <c r="DO96" s="58"/>
      <c r="DP96" s="15"/>
      <c r="DQ96" s="58"/>
      <c r="DR96" s="15"/>
      <c r="DS96" s="58"/>
      <c r="DT96" s="15"/>
      <c r="DU96" s="58"/>
      <c r="DV96" s="15"/>
      <c r="DW96" s="58"/>
      <c r="DX96" s="15"/>
      <c r="DY96" s="58"/>
      <c r="DZ96" s="15"/>
      <c r="EA96" s="58"/>
      <c r="EB96" s="15"/>
      <c r="EC96" s="58"/>
      <c r="ED96" s="15"/>
      <c r="EE96" s="217"/>
      <c r="EF96" s="222"/>
      <c r="EG96" s="109"/>
      <c r="EH96" s="223"/>
      <c r="EI96" s="224"/>
      <c r="EJ96" s="58"/>
      <c r="EK96" s="58"/>
      <c r="EL96" s="58"/>
      <c r="EM96" s="58"/>
      <c r="EN96" s="208"/>
      <c r="EO96" s="246"/>
      <c r="EP96" s="246"/>
      <c r="EQ96" s="246"/>
      <c r="ER96" s="246"/>
      <c r="ES96" s="246"/>
      <c r="ET96" s="246"/>
      <c r="EU96" s="246"/>
      <c r="EV96" s="246"/>
      <c r="EW96" s="246"/>
      <c r="EX96" s="246"/>
      <c r="EY96" s="246"/>
      <c r="EZ96" s="246"/>
      <c r="FA96" s="246"/>
      <c r="FB96" s="63">
        <f>MEDIAN(AE96,AG96)</f>
        <v>606325.05300000007</v>
      </c>
      <c r="FC96" s="63">
        <f>AVERAGE(AE96,AG96)</f>
        <v>606325.05300000007</v>
      </c>
      <c r="FD96" s="64">
        <f>STDEV(AE96,AG96)</f>
        <v>39986.963429418087</v>
      </c>
      <c r="FE96" s="65">
        <f t="shared" si="57"/>
        <v>6.5949713328797718E-2</v>
      </c>
      <c r="FF96" s="88">
        <f t="shared" si="60"/>
        <v>509517.64705882355</v>
      </c>
      <c r="FG96" s="88">
        <f t="shared" si="61"/>
        <v>96808.352941176476</v>
      </c>
      <c r="FH96" s="74">
        <f t="shared" si="58"/>
        <v>606326</v>
      </c>
      <c r="FI96" s="260">
        <f t="shared" ref="FI96:FI127" si="116">+FH96*E96</f>
        <v>30316300</v>
      </c>
      <c r="FJ96" s="60" t="s">
        <v>1032</v>
      </c>
    </row>
    <row r="97" spans="1:167" s="71" customFormat="1" ht="85.5" customHeight="1" x14ac:dyDescent="0.35">
      <c r="A97" s="37">
        <v>91</v>
      </c>
      <c r="B97" s="210" t="s">
        <v>281</v>
      </c>
      <c r="C97" s="38" t="s">
        <v>968</v>
      </c>
      <c r="D97" s="249" t="s">
        <v>64</v>
      </c>
      <c r="E97" s="220">
        <v>50</v>
      </c>
      <c r="F97" s="58"/>
      <c r="G97" s="58"/>
      <c r="H97" s="58"/>
      <c r="I97" s="58"/>
      <c r="J97" s="58"/>
      <c r="K97" s="58"/>
      <c r="L97" s="15"/>
      <c r="M97" s="58"/>
      <c r="N97" s="15"/>
      <c r="O97" s="58"/>
      <c r="P97" s="15"/>
      <c r="Q97" s="58"/>
      <c r="R97" s="15"/>
      <c r="S97" s="58"/>
      <c r="T97" s="15"/>
      <c r="U97" s="58"/>
      <c r="V97" s="15"/>
      <c r="W97" s="58"/>
      <c r="X97" s="15"/>
      <c r="Y97" s="58"/>
      <c r="Z97" s="15"/>
      <c r="AA97" s="58"/>
      <c r="AB97" s="15"/>
      <c r="AC97" s="58"/>
      <c r="AD97" s="58"/>
      <c r="AE97" s="58"/>
      <c r="AF97" s="15"/>
      <c r="AG97" s="58"/>
      <c r="AH97" s="15"/>
      <c r="AI97" s="58"/>
      <c r="AJ97" s="15"/>
      <c r="AK97" s="58"/>
      <c r="AL97" s="15"/>
      <c r="AM97" s="58"/>
      <c r="AN97" s="15"/>
      <c r="AO97" s="58"/>
      <c r="AP97" s="15"/>
      <c r="AQ97" s="58"/>
      <c r="AR97" s="15"/>
      <c r="AS97" s="58"/>
      <c r="AT97" s="15"/>
      <c r="AU97" s="58"/>
      <c r="AV97" s="15"/>
      <c r="AW97" s="58"/>
      <c r="AX97" s="15"/>
      <c r="AY97" s="58"/>
      <c r="AZ97" s="15"/>
      <c r="BA97" s="58"/>
      <c r="BB97" s="15"/>
      <c r="BC97" s="58"/>
      <c r="BD97" s="15"/>
      <c r="BE97" s="58"/>
      <c r="BF97" s="15"/>
      <c r="BG97" s="58"/>
      <c r="BH97" s="15"/>
      <c r="BI97" s="58"/>
      <c r="BJ97" s="15"/>
      <c r="BK97" s="58"/>
      <c r="BL97" s="15"/>
      <c r="BM97" s="58"/>
      <c r="BN97" s="15"/>
      <c r="BO97" s="58"/>
      <c r="BP97" s="15"/>
      <c r="BQ97" s="58"/>
      <c r="BR97" s="15"/>
      <c r="BS97" s="58"/>
      <c r="BT97" s="15"/>
      <c r="BU97" s="58"/>
      <c r="BV97" s="15"/>
      <c r="BW97" s="58"/>
      <c r="BX97" s="15"/>
      <c r="BY97" s="58"/>
      <c r="BZ97" s="15">
        <v>40666</v>
      </c>
      <c r="CA97" s="58">
        <f t="shared" ref="CA97" si="117">+(BZ97*5.1%)+BZ97</f>
        <v>42739.966</v>
      </c>
      <c r="CB97" s="15"/>
      <c r="CC97" s="58"/>
      <c r="CD97" s="15"/>
      <c r="CE97" s="58"/>
      <c r="CF97" s="15"/>
      <c r="CG97" s="58"/>
      <c r="CH97" s="15"/>
      <c r="CI97" s="58"/>
      <c r="CJ97" s="15"/>
      <c r="CK97" s="58"/>
      <c r="CL97" s="15"/>
      <c r="CM97" s="58"/>
      <c r="CN97" s="15"/>
      <c r="CO97" s="58"/>
      <c r="CP97" s="15"/>
      <c r="CQ97" s="58"/>
      <c r="CR97" s="15"/>
      <c r="CS97" s="58"/>
      <c r="CT97" s="15"/>
      <c r="CU97" s="58"/>
      <c r="CV97" s="15"/>
      <c r="CW97" s="58"/>
      <c r="CX97" s="15"/>
      <c r="CY97" s="58"/>
      <c r="CZ97" s="15"/>
      <c r="DA97" s="58"/>
      <c r="DB97" s="15"/>
      <c r="DC97" s="58"/>
      <c r="DD97" s="15"/>
      <c r="DE97" s="58"/>
      <c r="DF97" s="15"/>
      <c r="DG97" s="58"/>
      <c r="DH97" s="15"/>
      <c r="DI97" s="58"/>
      <c r="DJ97" s="15"/>
      <c r="DK97" s="58"/>
      <c r="DL97" s="15"/>
      <c r="DM97" s="58"/>
      <c r="DN97" s="15"/>
      <c r="DO97" s="58"/>
      <c r="DP97" s="15"/>
      <c r="DQ97" s="58"/>
      <c r="DR97" s="15"/>
      <c r="DS97" s="58"/>
      <c r="DT97" s="15"/>
      <c r="DU97" s="58"/>
      <c r="DV97" s="15">
        <v>39483</v>
      </c>
      <c r="DW97" s="58">
        <f t="shared" ref="DW97" si="118">+(DV97*5.1%)+DV97</f>
        <v>41496.633000000002</v>
      </c>
      <c r="DX97" s="15"/>
      <c r="DY97" s="58"/>
      <c r="DZ97" s="15"/>
      <c r="EA97" s="58"/>
      <c r="EB97" s="15"/>
      <c r="EC97" s="58"/>
      <c r="ED97" s="15"/>
      <c r="EE97" s="217"/>
      <c r="EF97" s="227"/>
      <c r="EH97" s="223"/>
      <c r="EI97" s="218"/>
      <c r="EJ97" s="218"/>
      <c r="EK97" s="218"/>
      <c r="EL97" s="218"/>
      <c r="EM97" s="218"/>
      <c r="EN97" s="246" t="s">
        <v>209</v>
      </c>
      <c r="EO97" s="246" t="s">
        <v>209</v>
      </c>
      <c r="EP97" s="246" t="s">
        <v>209</v>
      </c>
      <c r="EQ97" s="246" t="s">
        <v>209</v>
      </c>
      <c r="ER97" s="246"/>
      <c r="ES97" s="246"/>
      <c r="ET97" s="246"/>
      <c r="EU97" s="246"/>
      <c r="EV97" s="246"/>
      <c r="EW97" s="246"/>
      <c r="EX97" s="246"/>
      <c r="EY97" s="246"/>
      <c r="EZ97" s="246"/>
      <c r="FA97" s="246"/>
      <c r="FB97" s="63">
        <f>MEDIAN(CA97,DW97)</f>
        <v>42118.299500000001</v>
      </c>
      <c r="FC97" s="63">
        <f>AVERAGE(CA97,DW97)</f>
        <v>42118.299500000001</v>
      </c>
      <c r="FD97" s="64">
        <f>STDEV(CA97,DW97)</f>
        <v>879.16919557301276</v>
      </c>
      <c r="FE97" s="65">
        <f t="shared" si="57"/>
        <v>2.087380559067948E-2</v>
      </c>
      <c r="FF97" s="88">
        <f t="shared" si="60"/>
        <v>35394.117647058825</v>
      </c>
      <c r="FG97" s="88">
        <f t="shared" si="61"/>
        <v>6724.8823529411766</v>
      </c>
      <c r="FH97" s="74">
        <f t="shared" si="58"/>
        <v>42119</v>
      </c>
      <c r="FI97" s="260">
        <f t="shared" si="116"/>
        <v>2105950</v>
      </c>
      <c r="FJ97" s="60" t="s">
        <v>1032</v>
      </c>
    </row>
    <row r="98" spans="1:167" s="40" customFormat="1" ht="106.5" customHeight="1" x14ac:dyDescent="0.35">
      <c r="A98" s="37">
        <v>92</v>
      </c>
      <c r="B98" s="210" t="s">
        <v>282</v>
      </c>
      <c r="C98" s="36" t="s">
        <v>1093</v>
      </c>
      <c r="D98" s="249" t="s">
        <v>64</v>
      </c>
      <c r="E98" s="220">
        <v>80</v>
      </c>
      <c r="F98" s="58"/>
      <c r="G98" s="58"/>
      <c r="H98" s="58"/>
      <c r="I98" s="58"/>
      <c r="J98" s="58"/>
      <c r="K98" s="58"/>
      <c r="L98" s="15"/>
      <c r="M98" s="58"/>
      <c r="N98" s="15"/>
      <c r="O98" s="58"/>
      <c r="P98" s="15"/>
      <c r="Q98" s="58"/>
      <c r="R98" s="15"/>
      <c r="S98" s="58"/>
      <c r="T98" s="15"/>
      <c r="U98" s="58"/>
      <c r="V98" s="15"/>
      <c r="W98" s="58"/>
      <c r="X98" s="15"/>
      <c r="Y98" s="58"/>
      <c r="Z98" s="15"/>
      <c r="AA98" s="58"/>
      <c r="AB98" s="15"/>
      <c r="AC98" s="58"/>
      <c r="AD98" s="58"/>
      <c r="AE98" s="58"/>
      <c r="AF98" s="15"/>
      <c r="AG98" s="58"/>
      <c r="AH98" s="15"/>
      <c r="AI98" s="58"/>
      <c r="AJ98" s="15"/>
      <c r="AK98" s="58"/>
      <c r="AL98" s="15"/>
      <c r="AM98" s="58"/>
      <c r="AN98" s="15"/>
      <c r="AO98" s="58"/>
      <c r="AP98" s="15"/>
      <c r="AQ98" s="58"/>
      <c r="AR98" s="15"/>
      <c r="AS98" s="58"/>
      <c r="AT98" s="15"/>
      <c r="AU98" s="58"/>
      <c r="AV98" s="15"/>
      <c r="AW98" s="58"/>
      <c r="AX98" s="15"/>
      <c r="AY98" s="58"/>
      <c r="AZ98" s="15"/>
      <c r="BA98" s="58"/>
      <c r="BB98" s="15"/>
      <c r="BC98" s="58"/>
      <c r="BD98" s="15"/>
      <c r="BE98" s="58"/>
      <c r="BF98" s="15"/>
      <c r="BG98" s="58"/>
      <c r="BH98" s="15"/>
      <c r="BI98" s="58"/>
      <c r="BJ98" s="15"/>
      <c r="BK98" s="58"/>
      <c r="BL98" s="15"/>
      <c r="BM98" s="58"/>
      <c r="BN98" s="15"/>
      <c r="BO98" s="58"/>
      <c r="BP98" s="15"/>
      <c r="BQ98" s="58"/>
      <c r="BR98" s="15"/>
      <c r="BS98" s="58"/>
      <c r="BT98" s="15"/>
      <c r="BU98" s="58"/>
      <c r="BV98" s="15"/>
      <c r="BW98" s="58"/>
      <c r="BX98" s="15"/>
      <c r="BY98" s="58"/>
      <c r="BZ98" s="15"/>
      <c r="CA98" s="58"/>
      <c r="CB98" s="15"/>
      <c r="CC98" s="58"/>
      <c r="CD98" s="15"/>
      <c r="CE98" s="58"/>
      <c r="CF98" s="15"/>
      <c r="CG98" s="58"/>
      <c r="CH98" s="15"/>
      <c r="CI98" s="58"/>
      <c r="CJ98" s="15"/>
      <c r="CK98" s="58"/>
      <c r="CL98" s="15"/>
      <c r="CM98" s="58"/>
      <c r="CN98" s="15"/>
      <c r="CO98" s="58"/>
      <c r="CP98" s="15"/>
      <c r="CQ98" s="58"/>
      <c r="CR98" s="15"/>
      <c r="CS98" s="58"/>
      <c r="CT98" s="15"/>
      <c r="CU98" s="58"/>
      <c r="CV98" s="15"/>
      <c r="CW98" s="58"/>
      <c r="CX98" s="15"/>
      <c r="CY98" s="58"/>
      <c r="CZ98" s="15"/>
      <c r="DA98" s="58"/>
      <c r="DB98" s="15"/>
      <c r="DC98" s="58"/>
      <c r="DD98" s="15"/>
      <c r="DE98" s="58"/>
      <c r="DF98" s="15"/>
      <c r="DG98" s="58"/>
      <c r="DH98" s="15"/>
      <c r="DI98" s="58"/>
      <c r="DJ98" s="15"/>
      <c r="DK98" s="58"/>
      <c r="DL98" s="15"/>
      <c r="DM98" s="58"/>
      <c r="DN98" s="15"/>
      <c r="DO98" s="58"/>
      <c r="DP98" s="15"/>
      <c r="DQ98" s="58"/>
      <c r="DR98" s="15"/>
      <c r="DS98" s="58"/>
      <c r="DT98" s="15"/>
      <c r="DU98" s="58"/>
      <c r="DV98" s="15"/>
      <c r="DW98" s="58"/>
      <c r="DX98" s="15"/>
      <c r="DY98" s="58"/>
      <c r="DZ98" s="15"/>
      <c r="EA98" s="58"/>
      <c r="EB98" s="15"/>
      <c r="EC98" s="58"/>
      <c r="ED98" s="15"/>
      <c r="EE98" s="217"/>
      <c r="EF98" s="8">
        <v>201000</v>
      </c>
      <c r="EG98" s="312">
        <v>220000</v>
      </c>
      <c r="EH98" s="236">
        <v>200000</v>
      </c>
      <c r="EI98" s="218"/>
      <c r="EJ98" s="218"/>
      <c r="EK98" s="218"/>
      <c r="EL98" s="218"/>
      <c r="EM98" s="218"/>
      <c r="EN98" s="246" t="s">
        <v>209</v>
      </c>
      <c r="EO98" s="246" t="s">
        <v>209</v>
      </c>
      <c r="EP98" s="246" t="s">
        <v>209</v>
      </c>
      <c r="EQ98" s="246" t="s">
        <v>209</v>
      </c>
      <c r="ER98" s="246"/>
      <c r="ES98" s="246"/>
      <c r="ET98" s="246"/>
      <c r="EU98" s="246"/>
      <c r="EV98" s="246"/>
      <c r="EW98" s="246"/>
      <c r="EX98" s="246"/>
      <c r="EY98" s="246"/>
      <c r="EZ98" s="246"/>
      <c r="FA98" s="246"/>
      <c r="FB98" s="59">
        <f>MEDIAN(EF98,EG98,EH98)</f>
        <v>201000</v>
      </c>
      <c r="FC98" s="59">
        <f>AVERAGE(EF98,EG98,EH98)</f>
        <v>207000</v>
      </c>
      <c r="FD98" s="60">
        <f t="shared" ref="FD98:FD103" si="119">STDEV(EF98,EG98,EH98)</f>
        <v>11269.427669584646</v>
      </c>
      <c r="FE98" s="65">
        <f t="shared" si="57"/>
        <v>5.4441679563210846E-2</v>
      </c>
      <c r="FF98" s="88">
        <f t="shared" si="60"/>
        <v>173949.57983193279</v>
      </c>
      <c r="FG98" s="88">
        <f t="shared" si="61"/>
        <v>33050.420168067227</v>
      </c>
      <c r="FH98" s="74">
        <f t="shared" si="58"/>
        <v>207000</v>
      </c>
      <c r="FI98" s="260">
        <f t="shared" si="116"/>
        <v>16560000</v>
      </c>
      <c r="FJ98" s="60" t="s">
        <v>65</v>
      </c>
    </row>
    <row r="99" spans="1:167" s="40" customFormat="1" ht="85.5" customHeight="1" x14ac:dyDescent="0.35">
      <c r="A99" s="36">
        <v>93</v>
      </c>
      <c r="B99" s="210" t="s">
        <v>283</v>
      </c>
      <c r="C99" s="38" t="s">
        <v>1094</v>
      </c>
      <c r="D99" s="249" t="s">
        <v>64</v>
      </c>
      <c r="E99" s="220">
        <v>80</v>
      </c>
      <c r="F99" s="58"/>
      <c r="G99" s="58"/>
      <c r="H99" s="58"/>
      <c r="I99" s="58"/>
      <c r="J99" s="58"/>
      <c r="K99" s="58"/>
      <c r="L99" s="15"/>
      <c r="M99" s="58"/>
      <c r="N99" s="15"/>
      <c r="O99" s="58"/>
      <c r="P99" s="15"/>
      <c r="Q99" s="58"/>
      <c r="R99" s="15"/>
      <c r="S99" s="58"/>
      <c r="T99" s="15"/>
      <c r="U99" s="58"/>
      <c r="V99" s="15"/>
      <c r="W99" s="58"/>
      <c r="X99" s="15"/>
      <c r="Y99" s="58"/>
      <c r="Z99" s="15"/>
      <c r="AA99" s="58"/>
      <c r="AB99" s="15"/>
      <c r="AC99" s="58"/>
      <c r="AD99" s="58"/>
      <c r="AE99" s="58"/>
      <c r="AF99" s="15"/>
      <c r="AG99" s="58"/>
      <c r="AH99" s="15"/>
      <c r="AI99" s="58"/>
      <c r="AJ99" s="15"/>
      <c r="AK99" s="58"/>
      <c r="AL99" s="15"/>
      <c r="AM99" s="58"/>
      <c r="AN99" s="15"/>
      <c r="AO99" s="58"/>
      <c r="AP99" s="15"/>
      <c r="AQ99" s="58"/>
      <c r="AR99" s="15"/>
      <c r="AS99" s="58"/>
      <c r="AT99" s="15"/>
      <c r="AU99" s="58"/>
      <c r="AV99" s="15"/>
      <c r="AW99" s="58"/>
      <c r="AX99" s="15"/>
      <c r="AY99" s="58"/>
      <c r="AZ99" s="15"/>
      <c r="BA99" s="58"/>
      <c r="BB99" s="15"/>
      <c r="BC99" s="58"/>
      <c r="BD99" s="15"/>
      <c r="BE99" s="58"/>
      <c r="BF99" s="15"/>
      <c r="BG99" s="58"/>
      <c r="BH99" s="15"/>
      <c r="BI99" s="58"/>
      <c r="BJ99" s="15"/>
      <c r="BK99" s="58"/>
      <c r="BL99" s="15"/>
      <c r="BM99" s="58"/>
      <c r="BN99" s="15"/>
      <c r="BO99" s="58"/>
      <c r="BP99" s="15"/>
      <c r="BQ99" s="58"/>
      <c r="BR99" s="15"/>
      <c r="BS99" s="58"/>
      <c r="BT99" s="15"/>
      <c r="BU99" s="58"/>
      <c r="BV99" s="15"/>
      <c r="BW99" s="58"/>
      <c r="BX99" s="15"/>
      <c r="BY99" s="58"/>
      <c r="BZ99" s="15"/>
      <c r="CA99" s="58"/>
      <c r="CB99" s="15"/>
      <c r="CC99" s="58"/>
      <c r="CD99" s="15"/>
      <c r="CE99" s="58"/>
      <c r="CF99" s="15"/>
      <c r="CG99" s="58"/>
      <c r="CH99" s="15"/>
      <c r="CI99" s="58"/>
      <c r="CJ99" s="15"/>
      <c r="CK99" s="58"/>
      <c r="CL99" s="15"/>
      <c r="CM99" s="58"/>
      <c r="CN99" s="15"/>
      <c r="CO99" s="58"/>
      <c r="CP99" s="15"/>
      <c r="CQ99" s="58"/>
      <c r="CR99" s="15"/>
      <c r="CS99" s="58"/>
      <c r="CT99" s="15"/>
      <c r="CU99" s="58"/>
      <c r="CV99" s="15"/>
      <c r="CW99" s="58"/>
      <c r="CX99" s="15"/>
      <c r="CY99" s="58"/>
      <c r="CZ99" s="15"/>
      <c r="DA99" s="58"/>
      <c r="DB99" s="15"/>
      <c r="DC99" s="58"/>
      <c r="DD99" s="15"/>
      <c r="DE99" s="58"/>
      <c r="DF99" s="15"/>
      <c r="DG99" s="58"/>
      <c r="DH99" s="15"/>
      <c r="DI99" s="58"/>
      <c r="DJ99" s="15"/>
      <c r="DK99" s="58"/>
      <c r="DL99" s="15"/>
      <c r="DM99" s="58"/>
      <c r="DN99" s="15"/>
      <c r="DO99" s="58"/>
      <c r="DP99" s="15"/>
      <c r="DQ99" s="58"/>
      <c r="DR99" s="15"/>
      <c r="DS99" s="58"/>
      <c r="DT99" s="15"/>
      <c r="DU99" s="58"/>
      <c r="DV99" s="15"/>
      <c r="DW99" s="58"/>
      <c r="DX99" s="15"/>
      <c r="DY99" s="58"/>
      <c r="DZ99" s="15"/>
      <c r="EA99" s="58"/>
      <c r="EB99" s="15"/>
      <c r="EC99" s="58"/>
      <c r="ED99" s="15"/>
      <c r="EE99" s="217"/>
      <c r="EF99" s="8">
        <v>77000</v>
      </c>
      <c r="EG99" s="312">
        <v>71200</v>
      </c>
      <c r="EH99" s="236">
        <v>74000</v>
      </c>
      <c r="EI99" s="218"/>
      <c r="EJ99" s="218"/>
      <c r="EK99" s="218"/>
      <c r="EL99" s="218"/>
      <c r="EM99" s="218"/>
      <c r="EN99" s="246" t="s">
        <v>209</v>
      </c>
      <c r="EO99" s="246" t="s">
        <v>209</v>
      </c>
      <c r="EP99" s="246" t="s">
        <v>209</v>
      </c>
      <c r="EQ99" s="246" t="s">
        <v>209</v>
      </c>
      <c r="ER99" s="246"/>
      <c r="ES99" s="246"/>
      <c r="ET99" s="246"/>
      <c r="EU99" s="246"/>
      <c r="EV99" s="246"/>
      <c r="EW99" s="246"/>
      <c r="EX99" s="246"/>
      <c r="EY99" s="246"/>
      <c r="EZ99" s="246"/>
      <c r="FA99" s="246"/>
      <c r="FB99" s="59">
        <f>MEDIAN(EF99,EG99,EH99)</f>
        <v>74000</v>
      </c>
      <c r="FC99" s="59">
        <f t="shared" ref="FC99:FC103" si="120">AVERAGE(EF99,EG99,EH99)</f>
        <v>74066.666666666672</v>
      </c>
      <c r="FD99" s="60">
        <f t="shared" si="119"/>
        <v>2900.5746557076122</v>
      </c>
      <c r="FE99" s="65">
        <f t="shared" si="57"/>
        <v>3.9161674019454709E-2</v>
      </c>
      <c r="FF99" s="88">
        <f t="shared" si="60"/>
        <v>62241.176470588238</v>
      </c>
      <c r="FG99" s="88">
        <f t="shared" si="61"/>
        <v>11825.823529411766</v>
      </c>
      <c r="FH99" s="74">
        <f t="shared" si="58"/>
        <v>74067</v>
      </c>
      <c r="FI99" s="260">
        <f t="shared" si="116"/>
        <v>5925360</v>
      </c>
      <c r="FJ99" s="60" t="s">
        <v>65</v>
      </c>
    </row>
    <row r="100" spans="1:167" s="40" customFormat="1" ht="85.5" customHeight="1" x14ac:dyDescent="0.35">
      <c r="A100" s="37">
        <v>94</v>
      </c>
      <c r="B100" s="210" t="s">
        <v>284</v>
      </c>
      <c r="C100" s="38" t="s">
        <v>1095</v>
      </c>
      <c r="D100" s="249" t="s">
        <v>64</v>
      </c>
      <c r="E100" s="220">
        <v>80</v>
      </c>
      <c r="F100" s="58"/>
      <c r="G100" s="58"/>
      <c r="H100" s="58"/>
      <c r="I100" s="58"/>
      <c r="J100" s="58"/>
      <c r="K100" s="58"/>
      <c r="L100" s="15"/>
      <c r="M100" s="58"/>
      <c r="N100" s="15"/>
      <c r="O100" s="58"/>
      <c r="P100" s="15"/>
      <c r="Q100" s="58"/>
      <c r="R100" s="15"/>
      <c r="S100" s="58"/>
      <c r="T100" s="15"/>
      <c r="U100" s="58"/>
      <c r="V100" s="15"/>
      <c r="W100" s="58"/>
      <c r="X100" s="15"/>
      <c r="Y100" s="58"/>
      <c r="Z100" s="15"/>
      <c r="AA100" s="58"/>
      <c r="AB100" s="15"/>
      <c r="AC100" s="58"/>
      <c r="AD100" s="58"/>
      <c r="AE100" s="58"/>
      <c r="AF100" s="15"/>
      <c r="AG100" s="58"/>
      <c r="AH100" s="15"/>
      <c r="AI100" s="58"/>
      <c r="AJ100" s="15"/>
      <c r="AK100" s="58"/>
      <c r="AL100" s="15"/>
      <c r="AM100" s="58"/>
      <c r="AN100" s="15"/>
      <c r="AO100" s="58"/>
      <c r="AP100" s="15"/>
      <c r="AQ100" s="58"/>
      <c r="AR100" s="15"/>
      <c r="AS100" s="58"/>
      <c r="AT100" s="15"/>
      <c r="AU100" s="58"/>
      <c r="AV100" s="15"/>
      <c r="AW100" s="58"/>
      <c r="AX100" s="15"/>
      <c r="AY100" s="58"/>
      <c r="AZ100" s="15"/>
      <c r="BA100" s="58"/>
      <c r="BB100" s="15"/>
      <c r="BC100" s="58"/>
      <c r="BD100" s="15"/>
      <c r="BE100" s="58"/>
      <c r="BF100" s="15"/>
      <c r="BG100" s="58"/>
      <c r="BH100" s="15"/>
      <c r="BI100" s="58"/>
      <c r="BJ100" s="15"/>
      <c r="BK100" s="58"/>
      <c r="BL100" s="15"/>
      <c r="BM100" s="58"/>
      <c r="BN100" s="15"/>
      <c r="BO100" s="58"/>
      <c r="BP100" s="15"/>
      <c r="BQ100" s="58"/>
      <c r="BR100" s="15"/>
      <c r="BS100" s="58"/>
      <c r="BT100" s="15"/>
      <c r="BU100" s="58"/>
      <c r="BV100" s="15"/>
      <c r="BW100" s="58"/>
      <c r="BX100" s="15"/>
      <c r="BY100" s="58"/>
      <c r="BZ100" s="15"/>
      <c r="CA100" s="58"/>
      <c r="CB100" s="15"/>
      <c r="CC100" s="58"/>
      <c r="CD100" s="15"/>
      <c r="CE100" s="58"/>
      <c r="CF100" s="15"/>
      <c r="CG100" s="58"/>
      <c r="CH100" s="15"/>
      <c r="CI100" s="58"/>
      <c r="CJ100" s="15"/>
      <c r="CK100" s="58"/>
      <c r="CL100" s="15"/>
      <c r="CM100" s="58"/>
      <c r="CN100" s="15"/>
      <c r="CO100" s="58"/>
      <c r="CP100" s="15"/>
      <c r="CQ100" s="58"/>
      <c r="CR100" s="15"/>
      <c r="CS100" s="58"/>
      <c r="CT100" s="15"/>
      <c r="CU100" s="58"/>
      <c r="CV100" s="15"/>
      <c r="CW100" s="58"/>
      <c r="CX100" s="15"/>
      <c r="CY100" s="58"/>
      <c r="CZ100" s="15"/>
      <c r="DA100" s="58"/>
      <c r="DB100" s="15"/>
      <c r="DC100" s="58"/>
      <c r="DD100" s="15"/>
      <c r="DE100" s="58"/>
      <c r="DF100" s="15"/>
      <c r="DG100" s="58"/>
      <c r="DH100" s="15"/>
      <c r="DI100" s="58"/>
      <c r="DJ100" s="15"/>
      <c r="DK100" s="58"/>
      <c r="DL100" s="15"/>
      <c r="DM100" s="58"/>
      <c r="DN100" s="15"/>
      <c r="DO100" s="58"/>
      <c r="DP100" s="15"/>
      <c r="DQ100" s="58"/>
      <c r="DR100" s="15"/>
      <c r="DS100" s="58"/>
      <c r="DT100" s="15"/>
      <c r="DU100" s="58"/>
      <c r="DV100" s="15"/>
      <c r="DW100" s="58"/>
      <c r="DX100" s="15"/>
      <c r="DY100" s="58"/>
      <c r="DZ100" s="15"/>
      <c r="EA100" s="58"/>
      <c r="EB100" s="15"/>
      <c r="EC100" s="58"/>
      <c r="ED100" s="15"/>
      <c r="EE100" s="217"/>
      <c r="EF100" s="8">
        <v>95000</v>
      </c>
      <c r="EG100" s="312">
        <v>86400</v>
      </c>
      <c r="EH100" s="236">
        <v>90000</v>
      </c>
      <c r="EI100" s="218"/>
      <c r="EJ100" s="218"/>
      <c r="EK100" s="218"/>
      <c r="EL100" s="218"/>
      <c r="EM100" s="218"/>
      <c r="EN100" s="246" t="s">
        <v>209</v>
      </c>
      <c r="EO100" s="246" t="s">
        <v>209</v>
      </c>
      <c r="EP100" s="246" t="s">
        <v>209</v>
      </c>
      <c r="EQ100" s="246" t="s">
        <v>209</v>
      </c>
      <c r="ER100" s="246"/>
      <c r="ES100" s="246"/>
      <c r="ET100" s="246"/>
      <c r="EU100" s="246"/>
      <c r="EV100" s="246"/>
      <c r="EW100" s="246"/>
      <c r="EX100" s="246"/>
      <c r="EY100" s="246"/>
      <c r="EZ100" s="246"/>
      <c r="FA100" s="246"/>
      <c r="FB100" s="59">
        <f>MEDIAN(EF100,EG100,EH100)</f>
        <v>90000</v>
      </c>
      <c r="FC100" s="59">
        <f t="shared" si="120"/>
        <v>90466.666666666672</v>
      </c>
      <c r="FD100" s="60">
        <f t="shared" si="119"/>
        <v>4318.9504897988045</v>
      </c>
      <c r="FE100" s="65">
        <f t="shared" si="57"/>
        <v>4.7740793918188695E-2</v>
      </c>
      <c r="FF100" s="88">
        <f t="shared" si="60"/>
        <v>76022.68907563026</v>
      </c>
      <c r="FG100" s="88">
        <f t="shared" si="61"/>
        <v>14444.310924369749</v>
      </c>
      <c r="FH100" s="74">
        <f t="shared" si="58"/>
        <v>90467</v>
      </c>
      <c r="FI100" s="260">
        <f t="shared" si="116"/>
        <v>7237360</v>
      </c>
      <c r="FJ100" s="60" t="s">
        <v>65</v>
      </c>
    </row>
    <row r="101" spans="1:167" s="40" customFormat="1" ht="85.5" customHeight="1" x14ac:dyDescent="0.35">
      <c r="A101" s="37">
        <v>95</v>
      </c>
      <c r="B101" s="210" t="s">
        <v>285</v>
      </c>
      <c r="C101" s="38" t="s">
        <v>1096</v>
      </c>
      <c r="D101" s="249" t="s">
        <v>64</v>
      </c>
      <c r="E101" s="220">
        <v>60</v>
      </c>
      <c r="F101" s="58"/>
      <c r="G101" s="58"/>
      <c r="H101" s="58"/>
      <c r="I101" s="58"/>
      <c r="J101" s="58"/>
      <c r="K101" s="58"/>
      <c r="L101" s="15"/>
      <c r="M101" s="58"/>
      <c r="N101" s="15"/>
      <c r="O101" s="58"/>
      <c r="P101" s="15"/>
      <c r="Q101" s="58"/>
      <c r="R101" s="15"/>
      <c r="S101" s="58"/>
      <c r="T101" s="15"/>
      <c r="U101" s="58"/>
      <c r="V101" s="15"/>
      <c r="W101" s="58"/>
      <c r="X101" s="15"/>
      <c r="Y101" s="58"/>
      <c r="Z101" s="15"/>
      <c r="AA101" s="58"/>
      <c r="AB101" s="15"/>
      <c r="AC101" s="58"/>
      <c r="AD101" s="58"/>
      <c r="AE101" s="58"/>
      <c r="AF101" s="15"/>
      <c r="AG101" s="58"/>
      <c r="AH101" s="15"/>
      <c r="AI101" s="58"/>
      <c r="AJ101" s="15"/>
      <c r="AK101" s="58"/>
      <c r="AL101" s="15"/>
      <c r="AM101" s="58"/>
      <c r="AN101" s="15"/>
      <c r="AO101" s="58"/>
      <c r="AP101" s="15"/>
      <c r="AQ101" s="58"/>
      <c r="AR101" s="15"/>
      <c r="AS101" s="58"/>
      <c r="AT101" s="15"/>
      <c r="AU101" s="58"/>
      <c r="AV101" s="15"/>
      <c r="AW101" s="58"/>
      <c r="AX101" s="15"/>
      <c r="AY101" s="58"/>
      <c r="AZ101" s="15"/>
      <c r="BA101" s="58"/>
      <c r="BB101" s="15"/>
      <c r="BC101" s="58"/>
      <c r="BD101" s="15"/>
      <c r="BE101" s="58"/>
      <c r="BF101" s="15"/>
      <c r="BG101" s="58"/>
      <c r="BH101" s="15"/>
      <c r="BI101" s="58"/>
      <c r="BJ101" s="15"/>
      <c r="BK101" s="58"/>
      <c r="BL101" s="15"/>
      <c r="BM101" s="58"/>
      <c r="BN101" s="15"/>
      <c r="BO101" s="58"/>
      <c r="BP101" s="15"/>
      <c r="BQ101" s="58"/>
      <c r="BR101" s="15"/>
      <c r="BS101" s="58"/>
      <c r="BT101" s="15"/>
      <c r="BU101" s="58"/>
      <c r="BV101" s="15"/>
      <c r="BW101" s="58"/>
      <c r="BX101" s="15"/>
      <c r="BY101" s="58"/>
      <c r="BZ101" s="15"/>
      <c r="CA101" s="58"/>
      <c r="CB101" s="15"/>
      <c r="CC101" s="58"/>
      <c r="CD101" s="15"/>
      <c r="CE101" s="58"/>
      <c r="CF101" s="15"/>
      <c r="CG101" s="58"/>
      <c r="CH101" s="15"/>
      <c r="CI101" s="58"/>
      <c r="CJ101" s="15"/>
      <c r="CK101" s="58"/>
      <c r="CL101" s="15"/>
      <c r="CM101" s="58"/>
      <c r="CN101" s="15"/>
      <c r="CO101" s="58"/>
      <c r="CP101" s="15"/>
      <c r="CQ101" s="58"/>
      <c r="CR101" s="15"/>
      <c r="CS101" s="58"/>
      <c r="CT101" s="15"/>
      <c r="CU101" s="58"/>
      <c r="CV101" s="15"/>
      <c r="CW101" s="58"/>
      <c r="CX101" s="15"/>
      <c r="CY101" s="58"/>
      <c r="CZ101" s="15"/>
      <c r="DA101" s="58">
        <f t="shared" ref="DA101" si="121">+(CZ101*5.1%)+CZ101</f>
        <v>0</v>
      </c>
      <c r="DB101" s="15"/>
      <c r="DC101" s="58"/>
      <c r="DD101" s="15"/>
      <c r="DE101" s="58"/>
      <c r="DF101" s="15"/>
      <c r="DG101" s="58"/>
      <c r="DH101" s="15"/>
      <c r="DI101" s="58"/>
      <c r="DJ101" s="15"/>
      <c r="DK101" s="58"/>
      <c r="DL101" s="15"/>
      <c r="DM101" s="58"/>
      <c r="DN101" s="15"/>
      <c r="DO101" s="58"/>
      <c r="DP101" s="15"/>
      <c r="DQ101" s="58"/>
      <c r="DR101" s="15"/>
      <c r="DS101" s="58"/>
      <c r="DT101" s="15"/>
      <c r="DU101" s="58"/>
      <c r="DV101" s="15"/>
      <c r="DW101" s="58"/>
      <c r="DX101" s="15"/>
      <c r="DY101" s="58"/>
      <c r="DZ101" s="15"/>
      <c r="EA101" s="58"/>
      <c r="EB101" s="15"/>
      <c r="EC101" s="58"/>
      <c r="ED101" s="15"/>
      <c r="EE101" s="217"/>
      <c r="EF101" s="222"/>
      <c r="EG101" s="312">
        <v>348000</v>
      </c>
      <c r="EH101" s="236">
        <v>390000</v>
      </c>
      <c r="EI101" s="218"/>
      <c r="EJ101" s="218"/>
      <c r="EK101" s="218"/>
      <c r="EL101" s="218"/>
      <c r="EM101" s="218"/>
      <c r="EN101" s="246" t="s">
        <v>209</v>
      </c>
      <c r="EO101" s="246" t="s">
        <v>209</v>
      </c>
      <c r="EP101" s="246" t="s">
        <v>209</v>
      </c>
      <c r="EQ101" s="246" t="s">
        <v>209</v>
      </c>
      <c r="ER101" s="246"/>
      <c r="ES101" s="246"/>
      <c r="ET101" s="246"/>
      <c r="EU101" s="246"/>
      <c r="EV101" s="246"/>
      <c r="EW101" s="246"/>
      <c r="EX101" s="246"/>
      <c r="EY101" s="246"/>
      <c r="EZ101" s="246"/>
      <c r="FA101" s="246"/>
      <c r="FB101" s="59">
        <f>MEDIAN(EF101,EG101,EH101)</f>
        <v>369000</v>
      </c>
      <c r="FC101" s="59">
        <f t="shared" si="120"/>
        <v>369000</v>
      </c>
      <c r="FD101" s="60">
        <f t="shared" si="119"/>
        <v>29698.484809834998</v>
      </c>
      <c r="FE101" s="65">
        <f t="shared" si="57"/>
        <v>8.0483698671639556E-2</v>
      </c>
      <c r="FF101" s="88">
        <f t="shared" si="60"/>
        <v>310084.03361344541</v>
      </c>
      <c r="FG101" s="88">
        <f t="shared" si="61"/>
        <v>58915.966386554632</v>
      </c>
      <c r="FH101" s="74">
        <f t="shared" ref="FH101:FH132" si="122">ROUNDUP(IF(FE101&lt;15%,FC101,FB101),0)</f>
        <v>369000</v>
      </c>
      <c r="FI101" s="260">
        <f t="shared" si="116"/>
        <v>22140000</v>
      </c>
      <c r="FJ101" s="60" t="s">
        <v>65</v>
      </c>
    </row>
    <row r="102" spans="1:167" s="40" customFormat="1" ht="85.5" customHeight="1" x14ac:dyDescent="0.35">
      <c r="A102" s="36">
        <v>96</v>
      </c>
      <c r="B102" s="210" t="s">
        <v>286</v>
      </c>
      <c r="C102" s="38" t="s">
        <v>1097</v>
      </c>
      <c r="D102" s="249" t="s">
        <v>64</v>
      </c>
      <c r="E102" s="220">
        <v>10</v>
      </c>
      <c r="F102" s="58"/>
      <c r="G102" s="58"/>
      <c r="H102" s="58"/>
      <c r="I102" s="58"/>
      <c r="J102" s="58"/>
      <c r="K102" s="58"/>
      <c r="L102" s="15"/>
      <c r="M102" s="58"/>
      <c r="N102" s="15"/>
      <c r="O102" s="58"/>
      <c r="P102" s="15"/>
      <c r="Q102" s="58"/>
      <c r="R102" s="15"/>
      <c r="S102" s="58"/>
      <c r="T102" s="15"/>
      <c r="U102" s="58"/>
      <c r="V102" s="15"/>
      <c r="W102" s="58"/>
      <c r="X102" s="15"/>
      <c r="Y102" s="58"/>
      <c r="Z102" s="15"/>
      <c r="AA102" s="58"/>
      <c r="AB102" s="15"/>
      <c r="AC102" s="58"/>
      <c r="AD102" s="58"/>
      <c r="AE102" s="58"/>
      <c r="AF102" s="15"/>
      <c r="AG102" s="58"/>
      <c r="AH102" s="15"/>
      <c r="AI102" s="58"/>
      <c r="AJ102" s="15"/>
      <c r="AK102" s="58"/>
      <c r="AL102" s="15"/>
      <c r="AM102" s="58"/>
      <c r="AN102" s="15"/>
      <c r="AO102" s="58"/>
      <c r="AP102" s="15"/>
      <c r="AQ102" s="58"/>
      <c r="AR102" s="15"/>
      <c r="AS102" s="58"/>
      <c r="AT102" s="15"/>
      <c r="AU102" s="58"/>
      <c r="AV102" s="15"/>
      <c r="AW102" s="58"/>
      <c r="AX102" s="15"/>
      <c r="AY102" s="58"/>
      <c r="AZ102" s="15"/>
      <c r="BA102" s="58"/>
      <c r="BB102" s="15"/>
      <c r="BC102" s="58"/>
      <c r="BD102" s="15"/>
      <c r="BE102" s="58"/>
      <c r="BF102" s="15"/>
      <c r="BG102" s="58"/>
      <c r="BH102" s="15"/>
      <c r="BI102" s="58"/>
      <c r="BJ102" s="15"/>
      <c r="BK102" s="58"/>
      <c r="BL102" s="15"/>
      <c r="BM102" s="58"/>
      <c r="BN102" s="15"/>
      <c r="BO102" s="58"/>
      <c r="BP102" s="15"/>
      <c r="BQ102" s="58"/>
      <c r="BR102" s="15"/>
      <c r="BS102" s="58"/>
      <c r="BT102" s="15"/>
      <c r="BU102" s="58"/>
      <c r="BV102" s="15"/>
      <c r="BW102" s="58"/>
      <c r="BX102" s="15"/>
      <c r="BY102" s="58"/>
      <c r="BZ102" s="15"/>
      <c r="CA102" s="58"/>
      <c r="CB102" s="15"/>
      <c r="CC102" s="58"/>
      <c r="CD102" s="15"/>
      <c r="CE102" s="58"/>
      <c r="CF102" s="15"/>
      <c r="CG102" s="58"/>
      <c r="CH102" s="15"/>
      <c r="CI102" s="58"/>
      <c r="CJ102" s="15"/>
      <c r="CK102" s="58"/>
      <c r="CL102" s="15"/>
      <c r="CM102" s="58"/>
      <c r="CN102" s="15"/>
      <c r="CO102" s="58"/>
      <c r="CP102" s="15"/>
      <c r="CQ102" s="58"/>
      <c r="CR102" s="15"/>
      <c r="CS102" s="58"/>
      <c r="CT102" s="15"/>
      <c r="CU102" s="58"/>
      <c r="CV102" s="15"/>
      <c r="CW102" s="58"/>
      <c r="CX102" s="15"/>
      <c r="CY102" s="58"/>
      <c r="CZ102" s="15"/>
      <c r="DA102" s="58"/>
      <c r="DB102" s="15"/>
      <c r="DC102" s="58"/>
      <c r="DD102" s="15"/>
      <c r="DE102" s="58"/>
      <c r="DF102" s="15"/>
      <c r="DG102" s="58"/>
      <c r="DH102" s="15"/>
      <c r="DI102" s="58"/>
      <c r="DJ102" s="15"/>
      <c r="DK102" s="58"/>
      <c r="DL102" s="15"/>
      <c r="DM102" s="58"/>
      <c r="DN102" s="15"/>
      <c r="DO102" s="58"/>
      <c r="DP102" s="15"/>
      <c r="DQ102" s="58"/>
      <c r="DR102" s="15"/>
      <c r="DS102" s="58"/>
      <c r="DT102" s="15"/>
      <c r="DU102" s="58"/>
      <c r="DV102" s="15"/>
      <c r="DW102" s="58"/>
      <c r="DX102" s="15"/>
      <c r="DY102" s="58"/>
      <c r="DZ102" s="15"/>
      <c r="EA102" s="58"/>
      <c r="EB102" s="15"/>
      <c r="EC102" s="58"/>
      <c r="ED102" s="15"/>
      <c r="EE102" s="217"/>
      <c r="EF102" s="8">
        <v>8000</v>
      </c>
      <c r="EG102" s="312">
        <v>6540</v>
      </c>
      <c r="EH102" s="236">
        <v>7000</v>
      </c>
      <c r="EI102" s="218"/>
      <c r="EJ102" s="218"/>
      <c r="EK102" s="218"/>
      <c r="EL102" s="218"/>
      <c r="EM102" s="218"/>
      <c r="EN102" s="246" t="s">
        <v>209</v>
      </c>
      <c r="EO102" s="246" t="s">
        <v>209</v>
      </c>
      <c r="EP102" s="246" t="s">
        <v>209</v>
      </c>
      <c r="EQ102" s="246" t="s">
        <v>209</v>
      </c>
      <c r="ER102" s="246"/>
      <c r="ES102" s="246"/>
      <c r="ET102" s="246"/>
      <c r="EU102" s="246"/>
      <c r="EV102" s="246"/>
      <c r="EW102" s="246"/>
      <c r="EX102" s="246"/>
      <c r="EY102" s="246"/>
      <c r="EZ102" s="246"/>
      <c r="FA102" s="246"/>
      <c r="FB102" s="59">
        <f>MEDIAN(EF102,EG102,EH102)</f>
        <v>7000</v>
      </c>
      <c r="FC102" s="59">
        <f t="shared" si="120"/>
        <v>7180</v>
      </c>
      <c r="FD102" s="60">
        <f t="shared" si="119"/>
        <v>746.45830426086093</v>
      </c>
      <c r="FE102" s="65">
        <f t="shared" si="57"/>
        <v>0.10396355212546809</v>
      </c>
      <c r="FF102" s="88">
        <f t="shared" si="60"/>
        <v>6033.6134453781515</v>
      </c>
      <c r="FG102" s="88">
        <f t="shared" si="61"/>
        <v>1146.3865546218487</v>
      </c>
      <c r="FH102" s="74">
        <f t="shared" si="122"/>
        <v>7180</v>
      </c>
      <c r="FI102" s="260">
        <f t="shared" si="116"/>
        <v>71800</v>
      </c>
      <c r="FJ102" s="60" t="s">
        <v>65</v>
      </c>
    </row>
    <row r="103" spans="1:167" s="40" customFormat="1" ht="85.5" customHeight="1" x14ac:dyDescent="0.35">
      <c r="A103" s="36">
        <v>97</v>
      </c>
      <c r="B103" s="210" t="s">
        <v>287</v>
      </c>
      <c r="C103" s="38" t="s">
        <v>1098</v>
      </c>
      <c r="D103" s="249" t="s">
        <v>64</v>
      </c>
      <c r="E103" s="220">
        <v>10</v>
      </c>
      <c r="F103" s="58"/>
      <c r="G103" s="58"/>
      <c r="H103" s="58"/>
      <c r="I103" s="58"/>
      <c r="J103" s="58"/>
      <c r="K103" s="58"/>
      <c r="L103" s="15"/>
      <c r="M103" s="58"/>
      <c r="N103" s="15"/>
      <c r="O103" s="58"/>
      <c r="P103" s="15"/>
      <c r="Q103" s="58"/>
      <c r="R103" s="15"/>
      <c r="S103" s="58"/>
      <c r="T103" s="15"/>
      <c r="U103" s="58"/>
      <c r="V103" s="15"/>
      <c r="W103" s="58"/>
      <c r="X103" s="15"/>
      <c r="Y103" s="58"/>
      <c r="Z103" s="15"/>
      <c r="AA103" s="58"/>
      <c r="AB103" s="15"/>
      <c r="AC103" s="58"/>
      <c r="AD103" s="15"/>
      <c r="AE103" s="58"/>
      <c r="AF103" s="15"/>
      <c r="AG103" s="58"/>
      <c r="AH103" s="15"/>
      <c r="AI103" s="58"/>
      <c r="AJ103" s="15"/>
      <c r="AK103" s="58"/>
      <c r="AL103" s="15"/>
      <c r="AM103" s="58"/>
      <c r="AN103" s="15"/>
      <c r="AO103" s="58"/>
      <c r="AP103" s="15"/>
      <c r="AQ103" s="58"/>
      <c r="AR103" s="15"/>
      <c r="AS103" s="58"/>
      <c r="AT103" s="15"/>
      <c r="AU103" s="58"/>
      <c r="AV103" s="15"/>
      <c r="AW103" s="58"/>
      <c r="AX103" s="15"/>
      <c r="AY103" s="58"/>
      <c r="AZ103" s="15"/>
      <c r="BA103" s="58"/>
      <c r="BB103" s="15"/>
      <c r="BC103" s="58"/>
      <c r="BD103" s="15"/>
      <c r="BE103" s="58"/>
      <c r="BF103" s="15"/>
      <c r="BG103" s="58"/>
      <c r="BH103" s="15"/>
      <c r="BI103" s="58"/>
      <c r="BJ103" s="15"/>
      <c r="BK103" s="58"/>
      <c r="BL103" s="15"/>
      <c r="BM103" s="58"/>
      <c r="BN103" s="15"/>
      <c r="BO103" s="58"/>
      <c r="BP103" s="15"/>
      <c r="BQ103" s="58"/>
      <c r="BR103" s="15"/>
      <c r="BS103" s="58"/>
      <c r="BT103" s="15"/>
      <c r="BU103" s="58"/>
      <c r="BV103" s="15"/>
      <c r="BW103" s="58"/>
      <c r="BX103" s="15"/>
      <c r="BY103" s="58"/>
      <c r="BZ103" s="15"/>
      <c r="CA103" s="58"/>
      <c r="CB103" s="15"/>
      <c r="CC103" s="58"/>
      <c r="CD103" s="15"/>
      <c r="CE103" s="58"/>
      <c r="CF103" s="15"/>
      <c r="CG103" s="58"/>
      <c r="CH103" s="15"/>
      <c r="CI103" s="58"/>
      <c r="CJ103" s="15"/>
      <c r="CK103" s="58"/>
      <c r="CL103" s="15"/>
      <c r="CM103" s="58"/>
      <c r="CN103" s="15"/>
      <c r="CO103" s="58"/>
      <c r="CP103" s="15"/>
      <c r="CQ103" s="58"/>
      <c r="CR103" s="15"/>
      <c r="CS103" s="58"/>
      <c r="CT103" s="15"/>
      <c r="CU103" s="58"/>
      <c r="CV103" s="15"/>
      <c r="CW103" s="58"/>
      <c r="CX103" s="15"/>
      <c r="CY103" s="58"/>
      <c r="CZ103" s="15"/>
      <c r="DA103" s="58"/>
      <c r="DB103" s="15"/>
      <c r="DC103" s="58"/>
      <c r="DD103" s="15"/>
      <c r="DE103" s="58"/>
      <c r="DF103" s="15"/>
      <c r="DG103" s="58"/>
      <c r="DH103" s="15"/>
      <c r="DI103" s="58"/>
      <c r="DJ103" s="15"/>
      <c r="DK103" s="58"/>
      <c r="DL103" s="15"/>
      <c r="DM103" s="58"/>
      <c r="DN103" s="15"/>
      <c r="DO103" s="58"/>
      <c r="DP103" s="15"/>
      <c r="DQ103" s="58"/>
      <c r="DR103" s="15"/>
      <c r="DS103" s="58"/>
      <c r="DT103" s="15"/>
      <c r="DU103" s="58"/>
      <c r="DV103" s="15"/>
      <c r="DW103" s="58"/>
      <c r="DX103" s="15"/>
      <c r="DY103" s="58"/>
      <c r="DZ103" s="15"/>
      <c r="EA103" s="58"/>
      <c r="EB103" s="15"/>
      <c r="EC103" s="58"/>
      <c r="ED103" s="15"/>
      <c r="EE103" s="217"/>
      <c r="EF103" s="53">
        <v>12400</v>
      </c>
      <c r="EG103" s="315">
        <v>11300</v>
      </c>
      <c r="EH103" s="236">
        <v>12000</v>
      </c>
      <c r="EI103" s="229"/>
      <c r="EJ103" s="229"/>
      <c r="EK103" s="229"/>
      <c r="EL103" s="229"/>
      <c r="EM103" s="229"/>
      <c r="EN103" s="253" t="s">
        <v>209</v>
      </c>
      <c r="EO103" s="253" t="s">
        <v>209</v>
      </c>
      <c r="EP103" s="253" t="s">
        <v>209</v>
      </c>
      <c r="EQ103" s="253" t="s">
        <v>209</v>
      </c>
      <c r="ER103" s="253"/>
      <c r="ES103" s="253"/>
      <c r="ET103" s="253"/>
      <c r="EU103" s="253"/>
      <c r="EV103" s="253"/>
      <c r="EW103" s="253"/>
      <c r="EX103" s="253"/>
      <c r="EY103" s="253"/>
      <c r="EZ103" s="253"/>
      <c r="FA103" s="253"/>
      <c r="FB103" s="59">
        <f t="shared" ref="FB103" si="123">MEDIAN(EF103,EG103,EH103)</f>
        <v>12000</v>
      </c>
      <c r="FC103" s="59">
        <f t="shared" si="120"/>
        <v>11900</v>
      </c>
      <c r="FD103" s="60">
        <f t="shared" si="119"/>
        <v>556.77643628300223</v>
      </c>
      <c r="FE103" s="65">
        <f t="shared" si="57"/>
        <v>4.6787935822101029E-2</v>
      </c>
      <c r="FF103" s="88">
        <f t="shared" si="60"/>
        <v>10000</v>
      </c>
      <c r="FG103" s="88">
        <f t="shared" si="61"/>
        <v>1900</v>
      </c>
      <c r="FH103" s="74">
        <f t="shared" si="122"/>
        <v>11900</v>
      </c>
      <c r="FI103" s="260">
        <f t="shared" si="116"/>
        <v>119000</v>
      </c>
      <c r="FJ103" s="60" t="s">
        <v>65</v>
      </c>
    </row>
    <row r="104" spans="1:167" s="40" customFormat="1" ht="85.5" customHeight="1" x14ac:dyDescent="0.35">
      <c r="A104" s="37">
        <v>98</v>
      </c>
      <c r="B104" s="210" t="s">
        <v>288</v>
      </c>
      <c r="C104" s="38" t="s">
        <v>1099</v>
      </c>
      <c r="D104" s="249" t="s">
        <v>64</v>
      </c>
      <c r="E104" s="220">
        <v>10</v>
      </c>
      <c r="F104" s="58"/>
      <c r="G104" s="58"/>
      <c r="H104" s="58"/>
      <c r="I104" s="58"/>
      <c r="J104" s="58"/>
      <c r="K104" s="58"/>
      <c r="L104" s="15"/>
      <c r="M104" s="58"/>
      <c r="N104" s="15"/>
      <c r="O104" s="58"/>
      <c r="P104" s="15"/>
      <c r="Q104" s="58"/>
      <c r="R104" s="15"/>
      <c r="S104" s="58"/>
      <c r="T104" s="15"/>
      <c r="U104" s="58"/>
      <c r="V104" s="15"/>
      <c r="W104" s="58"/>
      <c r="X104" s="15"/>
      <c r="Y104" s="58"/>
      <c r="Z104" s="15"/>
      <c r="AA104" s="58"/>
      <c r="AB104" s="15"/>
      <c r="AC104" s="58"/>
      <c r="AD104" s="58"/>
      <c r="AE104" s="58"/>
      <c r="AF104" s="15"/>
      <c r="AG104" s="58"/>
      <c r="AH104" s="15"/>
      <c r="AI104" s="58"/>
      <c r="AJ104" s="15"/>
      <c r="AK104" s="58"/>
      <c r="AL104" s="15"/>
      <c r="AM104" s="58"/>
      <c r="AN104" s="15"/>
      <c r="AO104" s="58"/>
      <c r="AP104" s="15"/>
      <c r="AQ104" s="58"/>
      <c r="AR104" s="15"/>
      <c r="AS104" s="58"/>
      <c r="AT104" s="15"/>
      <c r="AU104" s="58"/>
      <c r="AV104" s="15">
        <v>25000</v>
      </c>
      <c r="AW104" s="58">
        <f t="shared" ref="AW104" si="124">+(AV104*5.1%)+AV104</f>
        <v>26275</v>
      </c>
      <c r="AX104" s="15">
        <v>25000</v>
      </c>
      <c r="AY104" s="58">
        <f t="shared" ref="AY104" si="125">+(AX104*5.1%)+AX104</f>
        <v>26275</v>
      </c>
      <c r="AZ104" s="15">
        <v>25000</v>
      </c>
      <c r="BA104" s="58">
        <f t="shared" ref="BA104" si="126">+(AZ104*5.1%)+AZ104</f>
        <v>26275</v>
      </c>
      <c r="BB104" s="15">
        <v>20000</v>
      </c>
      <c r="BC104" s="58">
        <f t="shared" ref="BC104" si="127">+(BB104*5.1%)+BB104</f>
        <v>21020</v>
      </c>
      <c r="BD104" s="15"/>
      <c r="BE104" s="58"/>
      <c r="BF104" s="15"/>
      <c r="BG104" s="58"/>
      <c r="BH104" s="15"/>
      <c r="BI104" s="58"/>
      <c r="BJ104" s="15"/>
      <c r="BK104" s="58"/>
      <c r="BL104" s="15"/>
      <c r="BM104" s="58"/>
      <c r="BN104" s="15"/>
      <c r="BO104" s="58"/>
      <c r="BP104" s="15"/>
      <c r="BQ104" s="58"/>
      <c r="BR104" s="15"/>
      <c r="BS104" s="58"/>
      <c r="BT104" s="15"/>
      <c r="BU104" s="58"/>
      <c r="BV104" s="15"/>
      <c r="BW104" s="58"/>
      <c r="BX104" s="15"/>
      <c r="BY104" s="58"/>
      <c r="BZ104" s="15"/>
      <c r="CA104" s="58"/>
      <c r="CB104" s="15"/>
      <c r="CC104" s="58"/>
      <c r="CD104" s="15"/>
      <c r="CE104" s="58"/>
      <c r="CF104" s="15"/>
      <c r="CG104" s="58"/>
      <c r="CH104" s="15"/>
      <c r="CI104" s="58"/>
      <c r="CJ104" s="15"/>
      <c r="CK104" s="58"/>
      <c r="CL104" s="15"/>
      <c r="CM104" s="58"/>
      <c r="CN104" s="15"/>
      <c r="CO104" s="58"/>
      <c r="CP104" s="15"/>
      <c r="CQ104" s="58"/>
      <c r="CR104" s="15"/>
      <c r="CS104" s="58"/>
      <c r="CT104" s="15"/>
      <c r="CU104" s="58"/>
      <c r="CV104" s="15"/>
      <c r="CW104" s="58"/>
      <c r="CX104" s="15"/>
      <c r="CY104" s="58"/>
      <c r="CZ104" s="15"/>
      <c r="DA104" s="58"/>
      <c r="DB104" s="15"/>
      <c r="DC104" s="58"/>
      <c r="DD104" s="15"/>
      <c r="DE104" s="58"/>
      <c r="DF104" s="15"/>
      <c r="DG104" s="58"/>
      <c r="DH104" s="15"/>
      <c r="DI104" s="58"/>
      <c r="DJ104" s="15"/>
      <c r="DK104" s="58"/>
      <c r="DL104" s="15"/>
      <c r="DM104" s="58"/>
      <c r="DN104" s="15"/>
      <c r="DO104" s="58"/>
      <c r="DP104" s="15"/>
      <c r="DQ104" s="58"/>
      <c r="DR104" s="15"/>
      <c r="DS104" s="58"/>
      <c r="DT104" s="15"/>
      <c r="DU104" s="58"/>
      <c r="DV104" s="15"/>
      <c r="DW104" s="58"/>
      <c r="DX104" s="15"/>
      <c r="DY104" s="58"/>
      <c r="DZ104" s="15"/>
      <c r="EA104" s="58"/>
      <c r="EB104" s="15"/>
      <c r="EC104" s="58"/>
      <c r="ED104" s="15"/>
      <c r="EE104" s="217"/>
      <c r="EF104" s="222"/>
      <c r="EG104" s="234"/>
      <c r="EH104" s="223"/>
      <c r="EI104" s="224"/>
      <c r="EJ104" s="58"/>
      <c r="EK104" s="58"/>
      <c r="EL104" s="58"/>
      <c r="EM104" s="58"/>
      <c r="EN104" s="251"/>
      <c r="EO104" s="247"/>
      <c r="EP104" s="247"/>
      <c r="EQ104" s="247"/>
      <c r="ER104" s="247"/>
      <c r="ES104" s="247"/>
      <c r="ET104" s="247"/>
      <c r="EU104" s="247"/>
      <c r="EV104" s="247"/>
      <c r="EW104" s="247"/>
      <c r="EX104" s="247"/>
      <c r="EY104" s="247"/>
      <c r="EZ104" s="247"/>
      <c r="FA104" s="247"/>
      <c r="FB104" s="63">
        <f>MEDIAN(AW104,AY104,BA104,BC104)</f>
        <v>26275</v>
      </c>
      <c r="FC104" s="63">
        <f>AVERAGE(AW104,AY104,BA104,BC104)</f>
        <v>24961.25</v>
      </c>
      <c r="FD104" s="64">
        <f>STDEV(AW104,AY104,BA104,BC104)</f>
        <v>2627.5</v>
      </c>
      <c r="FE104" s="65">
        <f t="shared" si="57"/>
        <v>0.10526315789473684</v>
      </c>
      <c r="FF104" s="88">
        <f t="shared" si="60"/>
        <v>20976.470588235294</v>
      </c>
      <c r="FG104" s="88">
        <f t="shared" si="61"/>
        <v>3985.5294117647059</v>
      </c>
      <c r="FH104" s="74">
        <f t="shared" si="122"/>
        <v>24962</v>
      </c>
      <c r="FI104" s="260">
        <f t="shared" si="116"/>
        <v>249620</v>
      </c>
      <c r="FJ104" s="60" t="s">
        <v>1032</v>
      </c>
      <c r="FK104" s="343"/>
    </row>
    <row r="105" spans="1:167" s="40" customFormat="1" ht="85.5" customHeight="1" x14ac:dyDescent="0.35">
      <c r="A105" s="37">
        <v>99</v>
      </c>
      <c r="B105" s="210" t="s">
        <v>289</v>
      </c>
      <c r="C105" s="38" t="s">
        <v>1100</v>
      </c>
      <c r="D105" s="249" t="s">
        <v>64</v>
      </c>
      <c r="E105" s="220">
        <v>20</v>
      </c>
      <c r="F105" s="58"/>
      <c r="G105" s="58"/>
      <c r="H105" s="58"/>
      <c r="I105" s="58"/>
      <c r="J105" s="58"/>
      <c r="K105" s="58"/>
      <c r="L105" s="15"/>
      <c r="M105" s="58"/>
      <c r="N105" s="15"/>
      <c r="O105" s="58"/>
      <c r="P105" s="15"/>
      <c r="Q105" s="58"/>
      <c r="R105" s="15"/>
      <c r="S105" s="58"/>
      <c r="T105" s="15"/>
      <c r="U105" s="58"/>
      <c r="V105" s="15"/>
      <c r="W105" s="58"/>
      <c r="X105" s="15"/>
      <c r="Y105" s="58"/>
      <c r="Z105" s="15"/>
      <c r="AA105" s="58"/>
      <c r="AB105" s="15"/>
      <c r="AC105" s="58"/>
      <c r="AD105" s="58"/>
      <c r="AE105" s="58"/>
      <c r="AF105" s="15"/>
      <c r="AG105" s="58"/>
      <c r="AH105" s="15"/>
      <c r="AI105" s="58"/>
      <c r="AJ105" s="15"/>
      <c r="AK105" s="58"/>
      <c r="AL105" s="15"/>
      <c r="AM105" s="58"/>
      <c r="AN105" s="15"/>
      <c r="AO105" s="58"/>
      <c r="AP105" s="15"/>
      <c r="AQ105" s="58"/>
      <c r="AR105" s="15"/>
      <c r="AS105" s="58"/>
      <c r="AT105" s="15"/>
      <c r="AU105" s="58"/>
      <c r="AV105" s="15"/>
      <c r="AW105" s="58"/>
      <c r="AX105" s="15">
        <v>15000</v>
      </c>
      <c r="AY105" s="58">
        <f t="shared" ref="AY105" si="128">+(AX105*5.1%)+AX105</f>
        <v>15765</v>
      </c>
      <c r="AZ105" s="15"/>
      <c r="BA105" s="58"/>
      <c r="BB105" s="15">
        <v>15000</v>
      </c>
      <c r="BC105" s="58">
        <f t="shared" ref="BC105" si="129">+(BB105*5.1%)+BB105</f>
        <v>15765</v>
      </c>
      <c r="BD105" s="15"/>
      <c r="BE105" s="58"/>
      <c r="BF105" s="15"/>
      <c r="BG105" s="58"/>
      <c r="BH105" s="15"/>
      <c r="BI105" s="58"/>
      <c r="BJ105" s="15"/>
      <c r="BK105" s="58"/>
      <c r="BL105" s="15">
        <v>18000</v>
      </c>
      <c r="BM105" s="58">
        <f t="shared" ref="BM105" si="130">+(BL105*5.1%)+BL105</f>
        <v>18918</v>
      </c>
      <c r="BN105" s="15"/>
      <c r="BO105" s="58"/>
      <c r="BP105" s="15"/>
      <c r="BQ105" s="58"/>
      <c r="BR105" s="15"/>
      <c r="BS105" s="58"/>
      <c r="BT105" s="15"/>
      <c r="BU105" s="58"/>
      <c r="BV105" s="15"/>
      <c r="BW105" s="58"/>
      <c r="BX105" s="15"/>
      <c r="BY105" s="58"/>
      <c r="BZ105" s="15"/>
      <c r="CA105" s="58"/>
      <c r="CB105" s="15"/>
      <c r="CC105" s="58"/>
      <c r="CD105" s="15"/>
      <c r="CE105" s="58"/>
      <c r="CF105" s="15"/>
      <c r="CG105" s="58"/>
      <c r="CH105" s="15"/>
      <c r="CI105" s="58"/>
      <c r="CJ105" s="15"/>
      <c r="CK105" s="58"/>
      <c r="CL105" s="15"/>
      <c r="CM105" s="58"/>
      <c r="CN105" s="15"/>
      <c r="CO105" s="58"/>
      <c r="CP105" s="15"/>
      <c r="CQ105" s="58"/>
      <c r="CR105" s="15"/>
      <c r="CS105" s="58"/>
      <c r="CT105" s="15"/>
      <c r="CU105" s="58"/>
      <c r="CV105" s="15"/>
      <c r="CW105" s="58"/>
      <c r="CX105" s="15"/>
      <c r="CY105" s="58"/>
      <c r="CZ105" s="15"/>
      <c r="DA105" s="58"/>
      <c r="DB105" s="15"/>
      <c r="DC105" s="58"/>
      <c r="DD105" s="15"/>
      <c r="DE105" s="58"/>
      <c r="DF105" s="15"/>
      <c r="DG105" s="58"/>
      <c r="DH105" s="15"/>
      <c r="DI105" s="58"/>
      <c r="DJ105" s="15"/>
      <c r="DK105" s="58"/>
      <c r="DL105" s="15"/>
      <c r="DM105" s="58"/>
      <c r="DN105" s="15"/>
      <c r="DO105" s="58"/>
      <c r="DP105" s="15"/>
      <c r="DQ105" s="58"/>
      <c r="DR105" s="15"/>
      <c r="DS105" s="58"/>
      <c r="DT105" s="15"/>
      <c r="DU105" s="58"/>
      <c r="DV105" s="15"/>
      <c r="DW105" s="58"/>
      <c r="DX105" s="15"/>
      <c r="DY105" s="58"/>
      <c r="DZ105" s="15"/>
      <c r="EA105" s="58"/>
      <c r="EB105" s="15"/>
      <c r="EC105" s="58"/>
      <c r="ED105" s="15"/>
      <c r="EE105" s="217"/>
      <c r="EF105" s="222"/>
      <c r="EG105" s="234"/>
      <c r="EH105" s="223"/>
      <c r="EI105" s="224"/>
      <c r="EJ105" s="58"/>
      <c r="EK105" s="58"/>
      <c r="EL105" s="58"/>
      <c r="EM105" s="58"/>
      <c r="EN105" s="208"/>
      <c r="EO105" s="246"/>
      <c r="EP105" s="246"/>
      <c r="EQ105" s="246"/>
      <c r="ER105" s="246"/>
      <c r="ES105" s="246"/>
      <c r="ET105" s="246"/>
      <c r="EU105" s="246"/>
      <c r="EV105" s="246"/>
      <c r="EW105" s="246"/>
      <c r="EX105" s="246"/>
      <c r="EY105" s="246"/>
      <c r="EZ105" s="246"/>
      <c r="FA105" s="246"/>
      <c r="FB105" s="63">
        <f>MEDIAN(AY105,BC105,BM105)</f>
        <v>15765</v>
      </c>
      <c r="FC105" s="63">
        <f>AVERAGE(AY105,BC105,BM105)</f>
        <v>16816</v>
      </c>
      <c r="FD105" s="64">
        <f>STDEV(AY105,BC105,BM105)</f>
        <v>1820.38539875489</v>
      </c>
      <c r="FE105" s="65">
        <f t="shared" si="57"/>
        <v>0.10825317547305484</v>
      </c>
      <c r="FF105" s="88">
        <f t="shared" si="60"/>
        <v>14131.09243697479</v>
      </c>
      <c r="FG105" s="88">
        <f t="shared" si="61"/>
        <v>2684.90756302521</v>
      </c>
      <c r="FH105" s="74">
        <f t="shared" si="122"/>
        <v>16816</v>
      </c>
      <c r="FI105" s="260">
        <f t="shared" si="116"/>
        <v>336320</v>
      </c>
      <c r="FJ105" s="60" t="s">
        <v>1032</v>
      </c>
      <c r="FK105" s="343"/>
    </row>
    <row r="106" spans="1:167" s="40" customFormat="1" ht="85.5" customHeight="1" x14ac:dyDescent="0.35">
      <c r="A106" s="37">
        <v>100</v>
      </c>
      <c r="B106" s="210" t="s">
        <v>290</v>
      </c>
      <c r="C106" s="38" t="s">
        <v>1101</v>
      </c>
      <c r="D106" s="249" t="s">
        <v>64</v>
      </c>
      <c r="E106" s="220">
        <v>50</v>
      </c>
      <c r="F106" s="58"/>
      <c r="G106" s="58"/>
      <c r="H106" s="58"/>
      <c r="I106" s="58"/>
      <c r="J106" s="58"/>
      <c r="K106" s="58"/>
      <c r="L106" s="15"/>
      <c r="M106" s="58"/>
      <c r="N106" s="15"/>
      <c r="O106" s="58"/>
      <c r="P106" s="15"/>
      <c r="Q106" s="58"/>
      <c r="R106" s="15"/>
      <c r="S106" s="58"/>
      <c r="T106" s="15"/>
      <c r="U106" s="58"/>
      <c r="V106" s="15"/>
      <c r="W106" s="58"/>
      <c r="X106" s="15"/>
      <c r="Y106" s="58"/>
      <c r="Z106" s="15"/>
      <c r="AA106" s="58"/>
      <c r="AB106" s="15"/>
      <c r="AC106" s="58"/>
      <c r="AD106" s="58"/>
      <c r="AE106" s="58"/>
      <c r="AF106" s="15"/>
      <c r="AG106" s="58"/>
      <c r="AH106" s="15"/>
      <c r="AI106" s="58"/>
      <c r="AJ106" s="15"/>
      <c r="AK106" s="58"/>
      <c r="AL106" s="15"/>
      <c r="AM106" s="58"/>
      <c r="AN106" s="15"/>
      <c r="AO106" s="58"/>
      <c r="AP106" s="15"/>
      <c r="AQ106" s="58"/>
      <c r="AR106" s="15"/>
      <c r="AS106" s="58"/>
      <c r="AT106" s="15"/>
      <c r="AU106" s="58"/>
      <c r="AV106" s="15"/>
      <c r="AW106" s="58"/>
      <c r="AX106" s="15"/>
      <c r="AY106" s="58"/>
      <c r="AZ106" s="15"/>
      <c r="BA106" s="58"/>
      <c r="BB106" s="15"/>
      <c r="BC106" s="58"/>
      <c r="BD106" s="15"/>
      <c r="BE106" s="58"/>
      <c r="BF106" s="15"/>
      <c r="BG106" s="58"/>
      <c r="BH106" s="15"/>
      <c r="BI106" s="58"/>
      <c r="BJ106" s="15"/>
      <c r="BK106" s="58"/>
      <c r="BL106" s="15"/>
      <c r="BM106" s="58"/>
      <c r="BN106" s="15"/>
      <c r="BO106" s="58"/>
      <c r="BP106" s="15"/>
      <c r="BQ106" s="58"/>
      <c r="BR106" s="15"/>
      <c r="BS106" s="58"/>
      <c r="BT106" s="15"/>
      <c r="BU106" s="58"/>
      <c r="BV106" s="15"/>
      <c r="BW106" s="58"/>
      <c r="BX106" s="15"/>
      <c r="BY106" s="58"/>
      <c r="BZ106" s="15"/>
      <c r="CA106" s="58"/>
      <c r="CB106" s="15"/>
      <c r="CC106" s="58"/>
      <c r="CD106" s="15"/>
      <c r="CE106" s="58"/>
      <c r="CF106" s="15"/>
      <c r="CG106" s="58"/>
      <c r="CH106" s="15"/>
      <c r="CI106" s="58"/>
      <c r="CJ106" s="15">
        <v>680</v>
      </c>
      <c r="CK106" s="58">
        <f t="shared" ref="CK106" si="131">+(CJ106*5.1%)+CJ106</f>
        <v>714.68</v>
      </c>
      <c r="CL106" s="15"/>
      <c r="CM106" s="58"/>
      <c r="CN106" s="15"/>
      <c r="CO106" s="58"/>
      <c r="CP106" s="15"/>
      <c r="CQ106" s="58"/>
      <c r="CR106" s="15"/>
      <c r="CS106" s="58"/>
      <c r="CT106" s="15"/>
      <c r="CU106" s="58"/>
      <c r="CV106" s="15"/>
      <c r="CW106" s="58"/>
      <c r="CX106" s="15"/>
      <c r="CY106" s="58"/>
      <c r="CZ106" s="15"/>
      <c r="DA106" s="58"/>
      <c r="DB106" s="15"/>
      <c r="DC106" s="58"/>
      <c r="DD106" s="15"/>
      <c r="DE106" s="58"/>
      <c r="DF106" s="15"/>
      <c r="DG106" s="58"/>
      <c r="DH106" s="15"/>
      <c r="DI106" s="58"/>
      <c r="DJ106" s="15"/>
      <c r="DK106" s="58"/>
      <c r="DL106" s="15"/>
      <c r="DM106" s="58"/>
      <c r="DN106" s="15"/>
      <c r="DO106" s="58"/>
      <c r="DP106" s="15"/>
      <c r="DQ106" s="58"/>
      <c r="DR106" s="15"/>
      <c r="DS106" s="58"/>
      <c r="DT106" s="15"/>
      <c r="DU106" s="58"/>
      <c r="DV106" s="15"/>
      <c r="DW106" s="58"/>
      <c r="DX106" s="15"/>
      <c r="DY106" s="58"/>
      <c r="DZ106" s="15"/>
      <c r="EA106" s="58"/>
      <c r="EB106" s="15"/>
      <c r="EC106" s="58"/>
      <c r="ED106" s="15"/>
      <c r="EE106" s="217"/>
      <c r="EF106" s="12">
        <v>740</v>
      </c>
      <c r="EG106" s="322">
        <v>620</v>
      </c>
      <c r="EH106" s="236">
        <v>700</v>
      </c>
      <c r="EI106" s="218"/>
      <c r="EJ106" s="218"/>
      <c r="EK106" s="218"/>
      <c r="EL106" s="218"/>
      <c r="EM106" s="218"/>
      <c r="EN106" s="246" t="s">
        <v>209</v>
      </c>
      <c r="EO106" s="246" t="s">
        <v>209</v>
      </c>
      <c r="EP106" s="246" t="s">
        <v>209</v>
      </c>
      <c r="EQ106" s="246" t="s">
        <v>209</v>
      </c>
      <c r="ER106" s="246"/>
      <c r="ES106" s="246"/>
      <c r="ET106" s="246"/>
      <c r="EU106" s="246"/>
      <c r="EV106" s="246"/>
      <c r="EW106" s="246"/>
      <c r="EX106" s="246"/>
      <c r="EY106" s="246"/>
      <c r="EZ106" s="246"/>
      <c r="FA106" s="246"/>
      <c r="FB106" s="59">
        <f>MEDIAN(CJ106,EF106,EG106,EH106)</f>
        <v>690</v>
      </c>
      <c r="FC106" s="59">
        <f>AVERAGE(CJ106,EF106,EG106,EH106)</f>
        <v>685</v>
      </c>
      <c r="FD106" s="60">
        <f>STDEV(CJ106,EF106,EG106,EH106)</f>
        <v>50</v>
      </c>
      <c r="FE106" s="65">
        <f t="shared" si="57"/>
        <v>7.2992700729927001E-2</v>
      </c>
      <c r="FF106" s="88">
        <f t="shared" si="60"/>
        <v>575.63025210084038</v>
      </c>
      <c r="FG106" s="88">
        <f t="shared" si="61"/>
        <v>109.36974789915968</v>
      </c>
      <c r="FH106" s="74">
        <f t="shared" si="122"/>
        <v>685</v>
      </c>
      <c r="FI106" s="260">
        <f t="shared" si="116"/>
        <v>34250</v>
      </c>
      <c r="FJ106" s="60" t="s">
        <v>65</v>
      </c>
      <c r="FK106" s="343"/>
    </row>
    <row r="107" spans="1:167" s="40" customFormat="1" ht="85.5" customHeight="1" x14ac:dyDescent="0.35">
      <c r="A107" s="36">
        <v>101</v>
      </c>
      <c r="B107" s="98" t="s">
        <v>559</v>
      </c>
      <c r="C107" s="98" t="s">
        <v>560</v>
      </c>
      <c r="D107" s="249" t="s">
        <v>64</v>
      </c>
      <c r="E107" s="220">
        <v>30</v>
      </c>
      <c r="F107" s="58"/>
      <c r="G107" s="58"/>
      <c r="H107" s="58"/>
      <c r="I107" s="58"/>
      <c r="J107" s="58"/>
      <c r="K107" s="58"/>
      <c r="L107" s="15"/>
      <c r="M107" s="58"/>
      <c r="N107" s="15"/>
      <c r="O107" s="58"/>
      <c r="P107" s="15"/>
      <c r="Q107" s="58"/>
      <c r="R107" s="15"/>
      <c r="S107" s="58"/>
      <c r="T107" s="15"/>
      <c r="U107" s="58"/>
      <c r="V107" s="15"/>
      <c r="W107" s="58"/>
      <c r="X107" s="15"/>
      <c r="Y107" s="58"/>
      <c r="Z107" s="15"/>
      <c r="AA107" s="58"/>
      <c r="AB107" s="15"/>
      <c r="AC107" s="58"/>
      <c r="AD107" s="58"/>
      <c r="AE107" s="58"/>
      <c r="AF107" s="15"/>
      <c r="AG107" s="58"/>
      <c r="AH107" s="15"/>
      <c r="AI107" s="58"/>
      <c r="AJ107" s="15"/>
      <c r="AK107" s="58"/>
      <c r="AL107" s="15"/>
      <c r="AM107" s="58"/>
      <c r="AN107" s="15"/>
      <c r="AO107" s="58"/>
      <c r="AP107" s="15"/>
      <c r="AQ107" s="58"/>
      <c r="AR107" s="15"/>
      <c r="AS107" s="58"/>
      <c r="AT107" s="15"/>
      <c r="AU107" s="58"/>
      <c r="AV107" s="15"/>
      <c r="AW107" s="58"/>
      <c r="AX107" s="15"/>
      <c r="AY107" s="58"/>
      <c r="AZ107" s="15"/>
      <c r="BA107" s="58"/>
      <c r="BB107" s="15"/>
      <c r="BC107" s="58"/>
      <c r="BD107" s="15"/>
      <c r="BE107" s="58"/>
      <c r="BF107" s="15"/>
      <c r="BG107" s="58"/>
      <c r="BH107" s="15"/>
      <c r="BI107" s="58"/>
      <c r="BJ107" s="15"/>
      <c r="BK107" s="58"/>
      <c r="BL107" s="15"/>
      <c r="BM107" s="58"/>
      <c r="BN107" s="15"/>
      <c r="BO107" s="58"/>
      <c r="BP107" s="15"/>
      <c r="BQ107" s="58"/>
      <c r="BR107" s="15"/>
      <c r="BS107" s="58"/>
      <c r="BT107" s="15"/>
      <c r="BU107" s="58"/>
      <c r="BV107" s="15"/>
      <c r="BW107" s="58"/>
      <c r="BX107" s="15"/>
      <c r="BY107" s="58"/>
      <c r="BZ107" s="15"/>
      <c r="CA107" s="58"/>
      <c r="CB107" s="15"/>
      <c r="CC107" s="58"/>
      <c r="CD107" s="15"/>
      <c r="CE107" s="58"/>
      <c r="CF107" s="15"/>
      <c r="CG107" s="58"/>
      <c r="CH107" s="15"/>
      <c r="CI107" s="58"/>
      <c r="CJ107" s="15"/>
      <c r="CK107" s="58"/>
      <c r="CL107" s="15"/>
      <c r="CM107" s="58"/>
      <c r="CN107" s="15"/>
      <c r="CO107" s="58"/>
      <c r="CP107" s="15"/>
      <c r="CQ107" s="58"/>
      <c r="CR107" s="15"/>
      <c r="CS107" s="58"/>
      <c r="CT107" s="15"/>
      <c r="CU107" s="58"/>
      <c r="CV107" s="15"/>
      <c r="CW107" s="58"/>
      <c r="CX107" s="15"/>
      <c r="CY107" s="58"/>
      <c r="CZ107" s="15"/>
      <c r="DA107" s="58"/>
      <c r="DB107" s="15"/>
      <c r="DC107" s="58"/>
      <c r="DD107" s="15"/>
      <c r="DE107" s="58"/>
      <c r="DF107" s="15"/>
      <c r="DG107" s="58"/>
      <c r="DH107" s="15"/>
      <c r="DI107" s="58"/>
      <c r="DJ107" s="15"/>
      <c r="DK107" s="58"/>
      <c r="DL107" s="15"/>
      <c r="DM107" s="58"/>
      <c r="DN107" s="15"/>
      <c r="DO107" s="58"/>
      <c r="DP107" s="15"/>
      <c r="DQ107" s="58"/>
      <c r="DR107" s="15"/>
      <c r="DS107" s="58"/>
      <c r="DT107" s="15"/>
      <c r="DU107" s="58"/>
      <c r="DV107" s="15"/>
      <c r="DW107" s="58"/>
      <c r="DX107" s="15"/>
      <c r="DY107" s="58"/>
      <c r="DZ107" s="15"/>
      <c r="EA107" s="58"/>
      <c r="EB107" s="15"/>
      <c r="EC107" s="58"/>
      <c r="ED107" s="15"/>
      <c r="EE107" s="217"/>
      <c r="EF107" s="8"/>
      <c r="EG107" s="312"/>
      <c r="EH107" s="236"/>
      <c r="EI107" s="218"/>
      <c r="EJ107" s="218"/>
      <c r="EK107" s="218"/>
      <c r="EL107" s="218"/>
      <c r="EM107" s="218"/>
      <c r="EN107" s="246"/>
      <c r="EO107" s="246"/>
      <c r="EP107" s="246"/>
      <c r="EQ107" s="246"/>
      <c r="ER107" s="246"/>
      <c r="ES107" s="246"/>
      <c r="ET107" s="246"/>
      <c r="EU107" s="246"/>
      <c r="EV107" s="246"/>
      <c r="EW107" s="246"/>
      <c r="EX107" s="246"/>
      <c r="EY107" s="246"/>
      <c r="EZ107" s="10">
        <v>179799</v>
      </c>
      <c r="FA107" s="10">
        <v>129412</v>
      </c>
      <c r="FB107" s="59">
        <f>MEDIAN(EZ107,FA107)</f>
        <v>154605.5</v>
      </c>
      <c r="FC107" s="59">
        <f>AVERAGE(EZ107,FA107)</f>
        <v>154605.5</v>
      </c>
      <c r="FD107" s="60">
        <f>STDEV(EZ107,FA107)</f>
        <v>35628.989383646571</v>
      </c>
      <c r="FE107" s="65">
        <f t="shared" si="57"/>
        <v>0.23045098255654922</v>
      </c>
      <c r="FF107" s="88">
        <f t="shared" si="60"/>
        <v>129921.00840336135</v>
      </c>
      <c r="FG107" s="88">
        <f t="shared" si="61"/>
        <v>24684.991596638658</v>
      </c>
      <c r="FH107" s="74">
        <f t="shared" si="122"/>
        <v>154606</v>
      </c>
      <c r="FI107" s="260">
        <f t="shared" si="116"/>
        <v>4638180</v>
      </c>
      <c r="FJ107" s="60" t="s">
        <v>65</v>
      </c>
    </row>
    <row r="108" spans="1:167" s="40" customFormat="1" ht="85.5" customHeight="1" x14ac:dyDescent="0.35">
      <c r="A108" s="37">
        <v>102</v>
      </c>
      <c r="B108" s="210" t="s">
        <v>291</v>
      </c>
      <c r="C108" s="36" t="s">
        <v>969</v>
      </c>
      <c r="D108" s="249" t="s">
        <v>64</v>
      </c>
      <c r="E108" s="220">
        <v>30</v>
      </c>
      <c r="F108" s="58"/>
      <c r="G108" s="58"/>
      <c r="H108" s="58"/>
      <c r="I108" s="58"/>
      <c r="J108" s="58"/>
      <c r="K108" s="58"/>
      <c r="L108" s="15"/>
      <c r="M108" s="58"/>
      <c r="N108" s="15"/>
      <c r="O108" s="58"/>
      <c r="P108" s="15"/>
      <c r="Q108" s="58"/>
      <c r="R108" s="15"/>
      <c r="S108" s="58"/>
      <c r="T108" s="15"/>
      <c r="U108" s="58"/>
      <c r="V108" s="15"/>
      <c r="W108" s="58"/>
      <c r="X108" s="15"/>
      <c r="Y108" s="58"/>
      <c r="Z108" s="15"/>
      <c r="AA108" s="58"/>
      <c r="AB108" s="15"/>
      <c r="AC108" s="58"/>
      <c r="AD108" s="58"/>
      <c r="AE108" s="58"/>
      <c r="AF108" s="15"/>
      <c r="AG108" s="58"/>
      <c r="AH108" s="15"/>
      <c r="AI108" s="58"/>
      <c r="AJ108" s="15"/>
      <c r="AK108" s="58"/>
      <c r="AL108" s="15"/>
      <c r="AM108" s="58"/>
      <c r="AN108" s="15"/>
      <c r="AO108" s="58"/>
      <c r="AP108" s="15"/>
      <c r="AQ108" s="58"/>
      <c r="AR108" s="15"/>
      <c r="AS108" s="58"/>
      <c r="AT108" s="15"/>
      <c r="AU108" s="58"/>
      <c r="AV108" s="15"/>
      <c r="AW108" s="58"/>
      <c r="AX108" s="15"/>
      <c r="AY108" s="58"/>
      <c r="AZ108" s="15"/>
      <c r="BA108" s="58"/>
      <c r="BB108" s="15"/>
      <c r="BC108" s="58"/>
      <c r="BD108" s="15"/>
      <c r="BE108" s="58"/>
      <c r="BF108" s="15"/>
      <c r="BG108" s="58"/>
      <c r="BH108" s="15"/>
      <c r="BI108" s="58"/>
      <c r="BJ108" s="15"/>
      <c r="BK108" s="58"/>
      <c r="BL108" s="15"/>
      <c r="BM108" s="58"/>
      <c r="BN108" s="15"/>
      <c r="BO108" s="58"/>
      <c r="BP108" s="15"/>
      <c r="BQ108" s="58"/>
      <c r="BR108" s="15"/>
      <c r="BS108" s="58"/>
      <c r="BT108" s="15"/>
      <c r="BU108" s="58"/>
      <c r="BV108" s="15"/>
      <c r="BW108" s="58"/>
      <c r="BX108" s="15"/>
      <c r="BY108" s="58"/>
      <c r="BZ108" s="15"/>
      <c r="CA108" s="58"/>
      <c r="CB108" s="15"/>
      <c r="CC108" s="58"/>
      <c r="CD108" s="15"/>
      <c r="CE108" s="58"/>
      <c r="CF108" s="15"/>
      <c r="CG108" s="58"/>
      <c r="CH108" s="15"/>
      <c r="CI108" s="58"/>
      <c r="CJ108" s="15"/>
      <c r="CK108" s="58"/>
      <c r="CL108" s="15"/>
      <c r="CM108" s="58"/>
      <c r="CN108" s="15"/>
      <c r="CO108" s="58"/>
      <c r="CP108" s="15"/>
      <c r="CQ108" s="58"/>
      <c r="CR108" s="15"/>
      <c r="CS108" s="58"/>
      <c r="CT108" s="15"/>
      <c r="CU108" s="58"/>
      <c r="CV108" s="15"/>
      <c r="CW108" s="58"/>
      <c r="CX108" s="15"/>
      <c r="CY108" s="58"/>
      <c r="CZ108" s="15"/>
      <c r="DA108" s="58"/>
      <c r="DB108" s="15"/>
      <c r="DC108" s="58"/>
      <c r="DD108" s="15"/>
      <c r="DE108" s="58"/>
      <c r="DF108" s="15"/>
      <c r="DG108" s="58"/>
      <c r="DH108" s="15"/>
      <c r="DI108" s="58"/>
      <c r="DJ108" s="15"/>
      <c r="DK108" s="58"/>
      <c r="DL108" s="15"/>
      <c r="DM108" s="58"/>
      <c r="DN108" s="15"/>
      <c r="DO108" s="58"/>
      <c r="DP108" s="15"/>
      <c r="DQ108" s="58"/>
      <c r="DR108" s="15"/>
      <c r="DS108" s="58"/>
      <c r="DT108" s="15"/>
      <c r="DU108" s="58"/>
      <c r="DV108" s="15"/>
      <c r="DW108" s="58"/>
      <c r="DX108" s="15"/>
      <c r="DY108" s="58"/>
      <c r="DZ108" s="15"/>
      <c r="EA108" s="58"/>
      <c r="EB108" s="15"/>
      <c r="EC108" s="58"/>
      <c r="ED108" s="15"/>
      <c r="EE108" s="217"/>
      <c r="EF108" s="8">
        <v>60000</v>
      </c>
      <c r="EG108" s="312">
        <v>55400</v>
      </c>
      <c r="EH108" s="236">
        <v>59000</v>
      </c>
      <c r="EI108" s="218"/>
      <c r="EJ108" s="218"/>
      <c r="EK108" s="218"/>
      <c r="EL108" s="218"/>
      <c r="EM108" s="218"/>
      <c r="EN108" s="246" t="s">
        <v>209</v>
      </c>
      <c r="EO108" s="246" t="s">
        <v>209</v>
      </c>
      <c r="EP108" s="246" t="s">
        <v>209</v>
      </c>
      <c r="EQ108" s="246" t="s">
        <v>209</v>
      </c>
      <c r="ER108" s="246"/>
      <c r="ES108" s="246"/>
      <c r="ET108" s="246"/>
      <c r="EU108" s="246"/>
      <c r="EV108" s="246"/>
      <c r="EW108" s="246"/>
      <c r="EX108" s="246"/>
      <c r="EY108" s="246"/>
      <c r="EZ108" s="246"/>
      <c r="FA108" s="246"/>
      <c r="FB108" s="59">
        <f>MEDIAN(EF108,EG108,EH108)</f>
        <v>59000</v>
      </c>
      <c r="FC108" s="59">
        <f>AVERAGE(EF108,EG108,EH108)</f>
        <v>58133.333333333336</v>
      </c>
      <c r="FD108" s="60">
        <f>STDEV(EF108,EG108,EH108)</f>
        <v>2419.3663082165408</v>
      </c>
      <c r="FE108" s="65">
        <f t="shared" si="57"/>
        <v>4.1617539705559758E-2</v>
      </c>
      <c r="FF108" s="88">
        <f t="shared" si="60"/>
        <v>48852.100840336134</v>
      </c>
      <c r="FG108" s="88">
        <f t="shared" si="61"/>
        <v>9281.8991596638662</v>
      </c>
      <c r="FH108" s="74">
        <f t="shared" si="122"/>
        <v>58134</v>
      </c>
      <c r="FI108" s="260">
        <f t="shared" si="116"/>
        <v>1744020</v>
      </c>
      <c r="FJ108" s="60" t="s">
        <v>65</v>
      </c>
    </row>
    <row r="109" spans="1:167" s="40" customFormat="1" ht="85.5" customHeight="1" x14ac:dyDescent="0.35">
      <c r="A109" s="37">
        <v>103</v>
      </c>
      <c r="B109" s="210" t="s">
        <v>292</v>
      </c>
      <c r="C109" s="36" t="s">
        <v>970</v>
      </c>
      <c r="D109" s="249" t="s">
        <v>64</v>
      </c>
      <c r="E109" s="220">
        <v>25</v>
      </c>
      <c r="F109" s="58"/>
      <c r="G109" s="58"/>
      <c r="H109" s="58"/>
      <c r="I109" s="58"/>
      <c r="J109" s="58"/>
      <c r="K109" s="58"/>
      <c r="L109" s="15"/>
      <c r="M109" s="58"/>
      <c r="N109" s="15"/>
      <c r="O109" s="58"/>
      <c r="P109" s="15"/>
      <c r="Q109" s="58"/>
      <c r="R109" s="15"/>
      <c r="S109" s="58"/>
      <c r="T109" s="15"/>
      <c r="U109" s="58"/>
      <c r="V109" s="15"/>
      <c r="W109" s="58"/>
      <c r="X109" s="15"/>
      <c r="Y109" s="58"/>
      <c r="Z109" s="15"/>
      <c r="AA109" s="58"/>
      <c r="AB109" s="15"/>
      <c r="AC109" s="58"/>
      <c r="AD109" s="58"/>
      <c r="AE109" s="58">
        <f t="shared" ref="AE109" si="132">+(AD109*5.1%)+AD109</f>
        <v>0</v>
      </c>
      <c r="AF109" s="15"/>
      <c r="AG109" s="58"/>
      <c r="AH109" s="15"/>
      <c r="AI109" s="58"/>
      <c r="AJ109" s="15"/>
      <c r="AK109" s="58"/>
      <c r="AL109" s="15"/>
      <c r="AM109" s="58"/>
      <c r="AN109" s="15"/>
      <c r="AO109" s="58"/>
      <c r="AP109" s="15"/>
      <c r="AQ109" s="58"/>
      <c r="AR109" s="15"/>
      <c r="AS109" s="58"/>
      <c r="AT109" s="15"/>
      <c r="AU109" s="58"/>
      <c r="AV109" s="15"/>
      <c r="AW109" s="58"/>
      <c r="AX109" s="15"/>
      <c r="AY109" s="58"/>
      <c r="AZ109" s="15"/>
      <c r="BA109" s="58"/>
      <c r="BB109" s="15"/>
      <c r="BC109" s="58"/>
      <c r="BD109" s="15"/>
      <c r="BE109" s="58"/>
      <c r="BF109" s="15"/>
      <c r="BG109" s="58"/>
      <c r="BH109" s="15"/>
      <c r="BI109" s="58"/>
      <c r="BJ109" s="15"/>
      <c r="BK109" s="58"/>
      <c r="BL109" s="15"/>
      <c r="BM109" s="58"/>
      <c r="BN109" s="15"/>
      <c r="BO109" s="58"/>
      <c r="BP109" s="15"/>
      <c r="BQ109" s="58"/>
      <c r="BR109" s="15"/>
      <c r="BS109" s="58"/>
      <c r="BT109" s="15"/>
      <c r="BU109" s="58"/>
      <c r="BV109" s="15"/>
      <c r="BW109" s="58"/>
      <c r="BX109" s="15"/>
      <c r="BY109" s="58"/>
      <c r="BZ109" s="15"/>
      <c r="CA109" s="58"/>
      <c r="CB109" s="15"/>
      <c r="CC109" s="58"/>
      <c r="CD109" s="15"/>
      <c r="CE109" s="58"/>
      <c r="CF109" s="15"/>
      <c r="CG109" s="58"/>
      <c r="CH109" s="15"/>
      <c r="CI109" s="58"/>
      <c r="CJ109" s="15"/>
      <c r="CK109" s="58"/>
      <c r="CL109" s="15"/>
      <c r="CM109" s="58"/>
      <c r="CN109" s="15"/>
      <c r="CO109" s="58"/>
      <c r="CP109" s="15"/>
      <c r="CQ109" s="58"/>
      <c r="CR109" s="15"/>
      <c r="CS109" s="58"/>
      <c r="CT109" s="15"/>
      <c r="CU109" s="58"/>
      <c r="CV109" s="15"/>
      <c r="CW109" s="58"/>
      <c r="CX109" s="15"/>
      <c r="CY109" s="58"/>
      <c r="CZ109" s="15"/>
      <c r="DA109" s="58"/>
      <c r="DB109" s="15"/>
      <c r="DC109" s="58"/>
      <c r="DD109" s="15"/>
      <c r="DE109" s="58"/>
      <c r="DF109" s="15"/>
      <c r="DG109" s="58"/>
      <c r="DH109" s="15"/>
      <c r="DI109" s="58"/>
      <c r="DJ109" s="15"/>
      <c r="DK109" s="58"/>
      <c r="DL109" s="15"/>
      <c r="DM109" s="58"/>
      <c r="DN109" s="15"/>
      <c r="DO109" s="58"/>
      <c r="DP109" s="15"/>
      <c r="DQ109" s="58"/>
      <c r="DR109" s="15"/>
      <c r="DS109" s="58"/>
      <c r="DT109" s="15"/>
      <c r="DU109" s="58"/>
      <c r="DV109" s="15"/>
      <c r="DW109" s="58"/>
      <c r="DX109" s="15"/>
      <c r="DY109" s="58"/>
      <c r="DZ109" s="15"/>
      <c r="EA109" s="58"/>
      <c r="EB109" s="15"/>
      <c r="EC109" s="58"/>
      <c r="ED109" s="15"/>
      <c r="EE109" s="217"/>
      <c r="EF109" s="8">
        <v>145000</v>
      </c>
      <c r="EG109" s="312">
        <v>137800</v>
      </c>
      <c r="EH109" s="236">
        <v>140000</v>
      </c>
      <c r="EI109" s="218"/>
      <c r="EJ109" s="218"/>
      <c r="EK109" s="218"/>
      <c r="EL109" s="218"/>
      <c r="EM109" s="218"/>
      <c r="EN109" s="246" t="s">
        <v>209</v>
      </c>
      <c r="EO109" s="246" t="s">
        <v>209</v>
      </c>
      <c r="EP109" s="246" t="s">
        <v>209</v>
      </c>
      <c r="EQ109" s="246" t="s">
        <v>209</v>
      </c>
      <c r="ER109" s="246"/>
      <c r="ES109" s="246"/>
      <c r="ET109" s="246"/>
      <c r="EU109" s="246"/>
      <c r="EV109" s="246"/>
      <c r="EW109" s="246"/>
      <c r="EX109" s="246"/>
      <c r="EY109" s="246"/>
      <c r="EZ109" s="246"/>
      <c r="FA109" s="246"/>
      <c r="FB109" s="59">
        <f>MEDIAN(EF109,EG109,EH109)</f>
        <v>140000</v>
      </c>
      <c r="FC109" s="59">
        <f>AVERAGE(EF109,EG109,EH109)</f>
        <v>140933.33333333334</v>
      </c>
      <c r="FD109" s="60">
        <f>STDEV(EF109,EG109,EH109)</f>
        <v>3689.6250938724565</v>
      </c>
      <c r="FE109" s="65">
        <f t="shared" si="57"/>
        <v>2.6179932075726983E-2</v>
      </c>
      <c r="FF109" s="88">
        <f t="shared" si="60"/>
        <v>118431.93277310925</v>
      </c>
      <c r="FG109" s="88">
        <f t="shared" si="61"/>
        <v>22502.067226890758</v>
      </c>
      <c r="FH109" s="74">
        <f t="shared" si="122"/>
        <v>140934</v>
      </c>
      <c r="FI109" s="260">
        <f t="shared" si="116"/>
        <v>3523350</v>
      </c>
      <c r="FJ109" s="60" t="s">
        <v>65</v>
      </c>
    </row>
    <row r="110" spans="1:167" s="40" customFormat="1" ht="85.5" customHeight="1" x14ac:dyDescent="0.35">
      <c r="A110" s="36">
        <v>104</v>
      </c>
      <c r="B110" s="210" t="s">
        <v>293</v>
      </c>
      <c r="C110" s="36" t="s">
        <v>971</v>
      </c>
      <c r="D110" s="249" t="s">
        <v>64</v>
      </c>
      <c r="E110" s="220">
        <v>54</v>
      </c>
      <c r="F110" s="58"/>
      <c r="G110" s="58"/>
      <c r="H110" s="58"/>
      <c r="I110" s="58"/>
      <c r="J110" s="58"/>
      <c r="K110" s="58"/>
      <c r="L110" s="15"/>
      <c r="M110" s="58"/>
      <c r="N110" s="15"/>
      <c r="O110" s="58"/>
      <c r="P110" s="15"/>
      <c r="Q110" s="58"/>
      <c r="R110" s="15"/>
      <c r="S110" s="58"/>
      <c r="T110" s="15"/>
      <c r="U110" s="58"/>
      <c r="V110" s="15"/>
      <c r="W110" s="58"/>
      <c r="X110" s="15"/>
      <c r="Y110" s="58"/>
      <c r="Z110" s="15"/>
      <c r="AA110" s="58"/>
      <c r="AB110" s="15"/>
      <c r="AC110" s="58"/>
      <c r="AD110" s="58"/>
      <c r="AE110" s="58"/>
      <c r="AF110" s="15"/>
      <c r="AG110" s="58"/>
      <c r="AH110" s="15"/>
      <c r="AI110" s="58"/>
      <c r="AJ110" s="15"/>
      <c r="AK110" s="58"/>
      <c r="AL110" s="15"/>
      <c r="AM110" s="58"/>
      <c r="AN110" s="15"/>
      <c r="AO110" s="58"/>
      <c r="AP110" s="15"/>
      <c r="AQ110" s="58"/>
      <c r="AR110" s="15"/>
      <c r="AS110" s="58"/>
      <c r="AT110" s="15"/>
      <c r="AU110" s="58"/>
      <c r="AV110" s="15"/>
      <c r="AW110" s="58"/>
      <c r="AX110" s="15"/>
      <c r="AY110" s="58"/>
      <c r="AZ110" s="15"/>
      <c r="BA110" s="58"/>
      <c r="BB110" s="15"/>
      <c r="BC110" s="58"/>
      <c r="BD110" s="15"/>
      <c r="BE110" s="58"/>
      <c r="BF110" s="15"/>
      <c r="BG110" s="58"/>
      <c r="BH110" s="15"/>
      <c r="BI110" s="58"/>
      <c r="BJ110" s="15"/>
      <c r="BK110" s="58"/>
      <c r="BL110" s="15"/>
      <c r="BM110" s="58"/>
      <c r="BN110" s="15"/>
      <c r="BO110" s="58"/>
      <c r="BP110" s="15"/>
      <c r="BQ110" s="58"/>
      <c r="BR110" s="15"/>
      <c r="BS110" s="58"/>
      <c r="BT110" s="15"/>
      <c r="BU110" s="58"/>
      <c r="BV110" s="15"/>
      <c r="BW110" s="58"/>
      <c r="BX110" s="15"/>
      <c r="BY110" s="58"/>
      <c r="BZ110" s="15"/>
      <c r="CA110" s="58"/>
      <c r="CB110" s="15"/>
      <c r="CC110" s="58"/>
      <c r="CD110" s="15"/>
      <c r="CE110" s="58"/>
      <c r="CF110" s="15"/>
      <c r="CG110" s="58"/>
      <c r="CH110" s="15"/>
      <c r="CI110" s="58"/>
      <c r="CJ110" s="15"/>
      <c r="CK110" s="58"/>
      <c r="CL110" s="15"/>
      <c r="CM110" s="58"/>
      <c r="CN110" s="15"/>
      <c r="CO110" s="58"/>
      <c r="CP110" s="15"/>
      <c r="CQ110" s="58"/>
      <c r="CR110" s="15"/>
      <c r="CS110" s="58"/>
      <c r="CT110" s="15"/>
      <c r="CU110" s="58"/>
      <c r="CV110" s="15"/>
      <c r="CW110" s="58"/>
      <c r="CX110" s="15"/>
      <c r="CY110" s="58"/>
      <c r="CZ110" s="15"/>
      <c r="DA110" s="58"/>
      <c r="DB110" s="15"/>
      <c r="DC110" s="58"/>
      <c r="DD110" s="15"/>
      <c r="DE110" s="58"/>
      <c r="DF110" s="15"/>
      <c r="DG110" s="58"/>
      <c r="DH110" s="15"/>
      <c r="DI110" s="58"/>
      <c r="DJ110" s="15"/>
      <c r="DK110" s="58"/>
      <c r="DL110" s="15"/>
      <c r="DM110" s="58"/>
      <c r="DN110" s="15"/>
      <c r="DO110" s="58"/>
      <c r="DP110" s="15"/>
      <c r="DQ110" s="58"/>
      <c r="DR110" s="15"/>
      <c r="DS110" s="58"/>
      <c r="DT110" s="15"/>
      <c r="DU110" s="58"/>
      <c r="DV110" s="15"/>
      <c r="DW110" s="58"/>
      <c r="DX110" s="15"/>
      <c r="DY110" s="58"/>
      <c r="DZ110" s="15"/>
      <c r="EA110" s="58"/>
      <c r="EB110" s="15"/>
      <c r="EC110" s="58"/>
      <c r="ED110" s="15"/>
      <c r="EE110" s="217"/>
      <c r="EF110" s="8">
        <v>87000</v>
      </c>
      <c r="EG110" s="312">
        <v>83000</v>
      </c>
      <c r="EH110" s="236">
        <v>85000</v>
      </c>
      <c r="EI110" s="218"/>
      <c r="EJ110" s="218"/>
      <c r="EK110" s="218"/>
      <c r="EL110" s="218"/>
      <c r="EM110" s="218"/>
      <c r="EN110" s="246" t="s">
        <v>209</v>
      </c>
      <c r="EO110" s="246" t="s">
        <v>209</v>
      </c>
      <c r="EP110" s="246" t="s">
        <v>209</v>
      </c>
      <c r="EQ110" s="246" t="s">
        <v>209</v>
      </c>
      <c r="ER110" s="246"/>
      <c r="ES110" s="246"/>
      <c r="ET110" s="246"/>
      <c r="EU110" s="246"/>
      <c r="EV110" s="246"/>
      <c r="EW110" s="246"/>
      <c r="EX110" s="246"/>
      <c r="EY110" s="246"/>
      <c r="EZ110" s="246"/>
      <c r="FA110" s="246"/>
      <c r="FB110" s="59">
        <f>MEDIAN(EF110,EG110,EH110)</f>
        <v>85000</v>
      </c>
      <c r="FC110" s="59">
        <f>AVERAGE(EF110,EG110,EH110)</f>
        <v>85000</v>
      </c>
      <c r="FD110" s="60">
        <f>STDEV(EF110,EG110,EH110)</f>
        <v>2000</v>
      </c>
      <c r="FE110" s="65">
        <f t="shared" si="57"/>
        <v>2.3529411764705882E-2</v>
      </c>
      <c r="FF110" s="88">
        <f t="shared" si="60"/>
        <v>71428.571428571435</v>
      </c>
      <c r="FG110" s="88">
        <f t="shared" si="61"/>
        <v>13571.428571428572</v>
      </c>
      <c r="FH110" s="74">
        <f t="shared" si="122"/>
        <v>85000</v>
      </c>
      <c r="FI110" s="260">
        <f t="shared" si="116"/>
        <v>4590000</v>
      </c>
      <c r="FJ110" s="60" t="s">
        <v>65</v>
      </c>
    </row>
    <row r="111" spans="1:167" s="40" customFormat="1" ht="85.5" customHeight="1" x14ac:dyDescent="0.35">
      <c r="A111" s="36">
        <v>105</v>
      </c>
      <c r="B111" s="210" t="s">
        <v>294</v>
      </c>
      <c r="C111" s="38" t="s">
        <v>972</v>
      </c>
      <c r="D111" s="249" t="s">
        <v>64</v>
      </c>
      <c r="E111" s="220">
        <v>80</v>
      </c>
      <c r="F111" s="58"/>
      <c r="G111" s="58"/>
      <c r="H111" s="58"/>
      <c r="I111" s="58"/>
      <c r="J111" s="58"/>
      <c r="K111" s="58"/>
      <c r="L111" s="15"/>
      <c r="M111" s="58"/>
      <c r="N111" s="15"/>
      <c r="O111" s="58"/>
      <c r="P111" s="15"/>
      <c r="Q111" s="58"/>
      <c r="R111" s="15"/>
      <c r="S111" s="58"/>
      <c r="T111" s="15"/>
      <c r="U111" s="58"/>
      <c r="V111" s="15"/>
      <c r="W111" s="58"/>
      <c r="X111" s="15"/>
      <c r="Y111" s="58"/>
      <c r="Z111" s="15"/>
      <c r="AA111" s="58"/>
      <c r="AB111" s="15"/>
      <c r="AC111" s="58"/>
      <c r="AD111" s="58">
        <v>17552.5</v>
      </c>
      <c r="AE111" s="58">
        <f t="shared" ref="AE111" si="133">+(AD111*5.1%)+AD111</f>
        <v>18447.677500000002</v>
      </c>
      <c r="AF111" s="15"/>
      <c r="AG111" s="58"/>
      <c r="AH111" s="15"/>
      <c r="AI111" s="58"/>
      <c r="AJ111" s="15"/>
      <c r="AK111" s="58"/>
      <c r="AL111" s="15"/>
      <c r="AM111" s="58"/>
      <c r="AN111" s="15"/>
      <c r="AO111" s="58"/>
      <c r="AP111" s="15"/>
      <c r="AQ111" s="58"/>
      <c r="AR111" s="15"/>
      <c r="AS111" s="58"/>
      <c r="AT111" s="15"/>
      <c r="AU111" s="58"/>
      <c r="AV111" s="15"/>
      <c r="AW111" s="58"/>
      <c r="AX111" s="15"/>
      <c r="AY111" s="58"/>
      <c r="AZ111" s="15"/>
      <c r="BA111" s="58"/>
      <c r="BB111" s="15"/>
      <c r="BC111" s="58"/>
      <c r="BD111" s="15"/>
      <c r="BE111" s="58"/>
      <c r="BF111" s="15"/>
      <c r="BG111" s="58"/>
      <c r="BH111" s="15"/>
      <c r="BI111" s="58"/>
      <c r="BJ111" s="15"/>
      <c r="BK111" s="58"/>
      <c r="BL111" s="15"/>
      <c r="BM111" s="58"/>
      <c r="BN111" s="15"/>
      <c r="BO111" s="58"/>
      <c r="BP111" s="15"/>
      <c r="BQ111" s="58"/>
      <c r="BR111" s="15"/>
      <c r="BS111" s="58"/>
      <c r="BT111" s="15"/>
      <c r="BU111" s="58"/>
      <c r="BV111" s="15"/>
      <c r="BW111" s="58"/>
      <c r="BX111" s="15"/>
      <c r="BY111" s="58"/>
      <c r="BZ111" s="15"/>
      <c r="CA111" s="58"/>
      <c r="CB111" s="15"/>
      <c r="CC111" s="58"/>
      <c r="CD111" s="15"/>
      <c r="CE111" s="58"/>
      <c r="CF111" s="15"/>
      <c r="CG111" s="58"/>
      <c r="CH111" s="15"/>
      <c r="CI111" s="58"/>
      <c r="CJ111" s="15"/>
      <c r="CK111" s="58"/>
      <c r="CL111" s="15"/>
      <c r="CM111" s="58"/>
      <c r="CN111" s="15"/>
      <c r="CO111" s="58"/>
      <c r="CP111" s="15"/>
      <c r="CQ111" s="58"/>
      <c r="CR111" s="15"/>
      <c r="CS111" s="58"/>
      <c r="CT111" s="15"/>
      <c r="CU111" s="58"/>
      <c r="CV111" s="15"/>
      <c r="CW111" s="58"/>
      <c r="CX111" s="15"/>
      <c r="CY111" s="58"/>
      <c r="CZ111" s="15"/>
      <c r="DA111" s="58"/>
      <c r="DB111" s="15"/>
      <c r="DC111" s="58"/>
      <c r="DD111" s="15"/>
      <c r="DE111" s="58"/>
      <c r="DF111" s="15"/>
      <c r="DG111" s="58"/>
      <c r="DH111" s="15"/>
      <c r="DI111" s="58"/>
      <c r="DJ111" s="15"/>
      <c r="DK111" s="58"/>
      <c r="DL111" s="15"/>
      <c r="DM111" s="58"/>
      <c r="DN111" s="15"/>
      <c r="DO111" s="58"/>
      <c r="DP111" s="15"/>
      <c r="DQ111" s="58"/>
      <c r="DR111" s="15"/>
      <c r="DS111" s="58"/>
      <c r="DT111" s="15"/>
      <c r="DU111" s="58"/>
      <c r="DV111" s="15">
        <v>21389</v>
      </c>
      <c r="DW111" s="58">
        <f t="shared" ref="DW111" si="134">+(DV111*5.1%)+DV111</f>
        <v>22479.839</v>
      </c>
      <c r="DX111" s="15"/>
      <c r="DY111" s="58"/>
      <c r="DZ111" s="15"/>
      <c r="EA111" s="58"/>
      <c r="EB111" s="15"/>
      <c r="EC111" s="58"/>
      <c r="ED111" s="15"/>
      <c r="EE111" s="217"/>
      <c r="EF111" s="8">
        <v>26000</v>
      </c>
      <c r="EG111" s="312">
        <v>24300</v>
      </c>
      <c r="EH111" s="236">
        <v>25000</v>
      </c>
      <c r="EI111" s="224"/>
      <c r="EJ111" s="224"/>
      <c r="EK111" s="224"/>
      <c r="EL111" s="224"/>
      <c r="EM111" s="224"/>
      <c r="EN111" s="247" t="s">
        <v>209</v>
      </c>
      <c r="EO111" s="247" t="s">
        <v>209</v>
      </c>
      <c r="EP111" s="247" t="s">
        <v>209</v>
      </c>
      <c r="EQ111" s="247" t="s">
        <v>209</v>
      </c>
      <c r="ER111" s="247"/>
      <c r="ES111" s="247"/>
      <c r="ET111" s="247"/>
      <c r="EU111" s="247"/>
      <c r="EV111" s="247"/>
      <c r="EW111" s="247"/>
      <c r="EX111" s="247"/>
      <c r="EY111" s="247"/>
      <c r="EZ111" s="247"/>
      <c r="FA111" s="247"/>
      <c r="FB111" s="63">
        <f>MEDIAN(AE111,DW111,EF111,EG111,EH111)</f>
        <v>24300</v>
      </c>
      <c r="FC111" s="63">
        <f>AVERAGE(AE111,DW111,EF111,EG111,EH111)</f>
        <v>23245.5033</v>
      </c>
      <c r="FD111" s="64">
        <f>STDEV(AE111,DW111,EF111,EG111,EH111)</f>
        <v>2974.1741819525628</v>
      </c>
      <c r="FE111" s="65">
        <f t="shared" si="57"/>
        <v>0.12794621581510618</v>
      </c>
      <c r="FF111" s="88">
        <f t="shared" si="60"/>
        <v>19534.453781512606</v>
      </c>
      <c r="FG111" s="88">
        <f t="shared" si="61"/>
        <v>3711.546218487395</v>
      </c>
      <c r="FH111" s="74">
        <f t="shared" si="122"/>
        <v>23246</v>
      </c>
      <c r="FI111" s="260">
        <f t="shared" si="116"/>
        <v>1859680</v>
      </c>
      <c r="FJ111" s="60" t="s">
        <v>65</v>
      </c>
    </row>
    <row r="112" spans="1:167" s="40" customFormat="1" ht="85.5" customHeight="1" x14ac:dyDescent="0.35">
      <c r="A112" s="37">
        <v>106</v>
      </c>
      <c r="B112" s="210" t="s">
        <v>295</v>
      </c>
      <c r="C112" s="36" t="s">
        <v>1102</v>
      </c>
      <c r="D112" s="249" t="s">
        <v>64</v>
      </c>
      <c r="E112" s="220">
        <v>80</v>
      </c>
      <c r="F112" s="58"/>
      <c r="G112" s="58"/>
      <c r="H112" s="58"/>
      <c r="I112" s="58"/>
      <c r="J112" s="58"/>
      <c r="K112" s="58"/>
      <c r="L112" s="15"/>
      <c r="M112" s="58"/>
      <c r="N112" s="15"/>
      <c r="O112" s="58"/>
      <c r="P112" s="15"/>
      <c r="Q112" s="58"/>
      <c r="R112" s="15"/>
      <c r="S112" s="58"/>
      <c r="T112" s="15"/>
      <c r="U112" s="58"/>
      <c r="V112" s="15"/>
      <c r="W112" s="58"/>
      <c r="X112" s="15"/>
      <c r="Y112" s="58"/>
      <c r="Z112" s="15"/>
      <c r="AA112" s="58"/>
      <c r="AB112" s="15"/>
      <c r="AC112" s="58"/>
      <c r="AD112" s="58"/>
      <c r="AE112" s="58"/>
      <c r="AF112" s="15"/>
      <c r="AG112" s="58"/>
      <c r="AH112" s="15"/>
      <c r="AI112" s="58"/>
      <c r="AJ112" s="15"/>
      <c r="AK112" s="58"/>
      <c r="AL112" s="15"/>
      <c r="AM112" s="58"/>
      <c r="AN112" s="15"/>
      <c r="AO112" s="58"/>
      <c r="AP112" s="15"/>
      <c r="AQ112" s="58"/>
      <c r="AR112" s="15"/>
      <c r="AS112" s="58"/>
      <c r="AT112" s="15"/>
      <c r="AU112" s="58"/>
      <c r="AV112" s="15"/>
      <c r="AW112" s="58"/>
      <c r="AX112" s="15"/>
      <c r="AY112" s="58"/>
      <c r="AZ112" s="15"/>
      <c r="BA112" s="58"/>
      <c r="BB112" s="15"/>
      <c r="BC112" s="58"/>
      <c r="BD112" s="15"/>
      <c r="BE112" s="58"/>
      <c r="BF112" s="15"/>
      <c r="BG112" s="58"/>
      <c r="BH112" s="15"/>
      <c r="BI112" s="58"/>
      <c r="BJ112" s="15"/>
      <c r="BK112" s="58"/>
      <c r="BL112" s="15"/>
      <c r="BM112" s="58"/>
      <c r="BN112" s="15"/>
      <c r="BO112" s="58"/>
      <c r="BP112" s="15"/>
      <c r="BQ112" s="58"/>
      <c r="BR112" s="15"/>
      <c r="BS112" s="58"/>
      <c r="BT112" s="15"/>
      <c r="BU112" s="58"/>
      <c r="BV112" s="15"/>
      <c r="BW112" s="58"/>
      <c r="BX112" s="15">
        <v>150000</v>
      </c>
      <c r="BY112" s="58">
        <f t="shared" ref="BY112" si="135">+(BX112*5.1%)+BX112</f>
        <v>157650</v>
      </c>
      <c r="BZ112" s="15">
        <v>135000</v>
      </c>
      <c r="CA112" s="58">
        <f t="shared" ref="CA112" si="136">+(BZ112*5.1%)+BZ112</f>
        <v>141885</v>
      </c>
      <c r="CB112" s="15"/>
      <c r="CC112" s="58"/>
      <c r="CD112" s="15"/>
      <c r="CE112" s="58"/>
      <c r="CF112" s="15"/>
      <c r="CG112" s="58"/>
      <c r="CH112" s="15"/>
      <c r="CI112" s="58"/>
      <c r="CJ112" s="15"/>
      <c r="CK112" s="58"/>
      <c r="CL112" s="15"/>
      <c r="CM112" s="58"/>
      <c r="CN112" s="15"/>
      <c r="CO112" s="58"/>
      <c r="CP112" s="15"/>
      <c r="CQ112" s="58"/>
      <c r="CR112" s="15"/>
      <c r="CS112" s="58"/>
      <c r="CT112" s="15"/>
      <c r="CU112" s="58"/>
      <c r="CV112" s="15"/>
      <c r="CW112" s="58"/>
      <c r="CX112" s="15"/>
      <c r="CY112" s="58"/>
      <c r="CZ112" s="15"/>
      <c r="DA112" s="58"/>
      <c r="DB112" s="15"/>
      <c r="DC112" s="58"/>
      <c r="DD112" s="15"/>
      <c r="DE112" s="58"/>
      <c r="DF112" s="15"/>
      <c r="DG112" s="58"/>
      <c r="DH112" s="15"/>
      <c r="DI112" s="58"/>
      <c r="DJ112" s="15"/>
      <c r="DK112" s="58"/>
      <c r="DL112" s="15"/>
      <c r="DM112" s="58"/>
      <c r="DN112" s="15"/>
      <c r="DO112" s="58"/>
      <c r="DP112" s="15"/>
      <c r="DQ112" s="58"/>
      <c r="DR112" s="15"/>
      <c r="DS112" s="58"/>
      <c r="DT112" s="15"/>
      <c r="DU112" s="58"/>
      <c r="DV112" s="15"/>
      <c r="DW112" s="58"/>
      <c r="DX112" s="15"/>
      <c r="DY112" s="58"/>
      <c r="DZ112" s="15"/>
      <c r="EA112" s="58"/>
      <c r="EB112" s="15"/>
      <c r="EC112" s="58"/>
      <c r="ED112" s="15"/>
      <c r="EE112" s="217"/>
      <c r="EF112" s="222"/>
      <c r="EH112" s="223"/>
      <c r="EI112" s="224"/>
      <c r="EJ112" s="224"/>
      <c r="EK112" s="224"/>
      <c r="EL112" s="224"/>
      <c r="EM112" s="224"/>
      <c r="EN112" s="246" t="s">
        <v>209</v>
      </c>
      <c r="EO112" s="246" t="s">
        <v>209</v>
      </c>
      <c r="EP112" s="246" t="s">
        <v>209</v>
      </c>
      <c r="EQ112" s="246" t="s">
        <v>209</v>
      </c>
      <c r="ER112" s="246"/>
      <c r="ES112" s="246"/>
      <c r="ET112" s="246"/>
      <c r="EU112" s="246"/>
      <c r="EV112" s="246"/>
      <c r="EW112" s="246"/>
      <c r="EX112" s="246"/>
      <c r="EY112" s="246"/>
      <c r="EZ112" s="246"/>
      <c r="FA112" s="246"/>
      <c r="FB112" s="63">
        <f>MEDIAN(BY112,CA112)</f>
        <v>149767.5</v>
      </c>
      <c r="FC112" s="63">
        <f>AVERAGE(BY112,CA112)</f>
        <v>149767.5</v>
      </c>
      <c r="FD112" s="64">
        <f>STDEV(BY112,CA112)</f>
        <v>11147.538405405921</v>
      </c>
      <c r="FE112" s="65">
        <f t="shared" si="57"/>
        <v>7.4432292756478682E-2</v>
      </c>
      <c r="FF112" s="88">
        <f t="shared" si="60"/>
        <v>125855.46218487395</v>
      </c>
      <c r="FG112" s="88">
        <f t="shared" si="61"/>
        <v>23912.537815126052</v>
      </c>
      <c r="FH112" s="74">
        <f t="shared" si="122"/>
        <v>149768</v>
      </c>
      <c r="FI112" s="260">
        <f t="shared" si="116"/>
        <v>11981440</v>
      </c>
      <c r="FJ112" s="60" t="s">
        <v>1032</v>
      </c>
    </row>
    <row r="113" spans="1:166" s="40" customFormat="1" ht="85.5" customHeight="1" x14ac:dyDescent="0.35">
      <c r="A113" s="37">
        <v>107</v>
      </c>
      <c r="B113" s="210" t="s">
        <v>296</v>
      </c>
      <c r="C113" s="210" t="s">
        <v>973</v>
      </c>
      <c r="D113" s="249" t="s">
        <v>64</v>
      </c>
      <c r="E113" s="220">
        <v>50</v>
      </c>
      <c r="F113" s="58"/>
      <c r="G113" s="58"/>
      <c r="H113" s="58"/>
      <c r="I113" s="58"/>
      <c r="J113" s="58"/>
      <c r="K113" s="58"/>
      <c r="L113" s="15"/>
      <c r="M113" s="58"/>
      <c r="N113" s="15"/>
      <c r="O113" s="58"/>
      <c r="P113" s="15"/>
      <c r="Q113" s="58"/>
      <c r="R113" s="15"/>
      <c r="S113" s="58"/>
      <c r="T113" s="15"/>
      <c r="U113" s="58"/>
      <c r="V113" s="15"/>
      <c r="W113" s="58"/>
      <c r="X113" s="15"/>
      <c r="Y113" s="58"/>
      <c r="Z113" s="15"/>
      <c r="AA113" s="58"/>
      <c r="AB113" s="15"/>
      <c r="AC113" s="58"/>
      <c r="AD113" s="58"/>
      <c r="AE113" s="58"/>
      <c r="AF113" s="15"/>
      <c r="AG113" s="58"/>
      <c r="AH113" s="15"/>
      <c r="AI113" s="58"/>
      <c r="AJ113" s="15"/>
      <c r="AK113" s="58"/>
      <c r="AL113" s="15"/>
      <c r="AM113" s="58"/>
      <c r="AN113" s="15"/>
      <c r="AO113" s="58"/>
      <c r="AP113" s="15"/>
      <c r="AQ113" s="58"/>
      <c r="AR113" s="15"/>
      <c r="AS113" s="58"/>
      <c r="AT113" s="15"/>
      <c r="AU113" s="58"/>
      <c r="AV113" s="15"/>
      <c r="AW113" s="58"/>
      <c r="AX113" s="15"/>
      <c r="AY113" s="58"/>
      <c r="AZ113" s="15"/>
      <c r="BA113" s="58"/>
      <c r="BB113" s="15"/>
      <c r="BC113" s="58"/>
      <c r="BD113" s="15"/>
      <c r="BE113" s="58"/>
      <c r="BF113" s="15"/>
      <c r="BG113" s="58"/>
      <c r="BH113" s="15"/>
      <c r="BI113" s="58"/>
      <c r="BJ113" s="15"/>
      <c r="BK113" s="58"/>
      <c r="BL113" s="15"/>
      <c r="BM113" s="58"/>
      <c r="BN113" s="15"/>
      <c r="BO113" s="58"/>
      <c r="BP113" s="15"/>
      <c r="BQ113" s="58"/>
      <c r="BR113" s="15"/>
      <c r="BS113" s="58"/>
      <c r="BT113" s="15"/>
      <c r="BU113" s="58"/>
      <c r="BV113" s="15"/>
      <c r="BW113" s="58"/>
      <c r="BX113" s="15"/>
      <c r="BY113" s="58"/>
      <c r="BZ113" s="15"/>
      <c r="CA113" s="58"/>
      <c r="CB113" s="15"/>
      <c r="CC113" s="58"/>
      <c r="CD113" s="15"/>
      <c r="CE113" s="58"/>
      <c r="CF113" s="15"/>
      <c r="CG113" s="58"/>
      <c r="CH113" s="15"/>
      <c r="CI113" s="58"/>
      <c r="CJ113" s="15"/>
      <c r="CK113" s="58"/>
      <c r="CL113" s="15"/>
      <c r="CM113" s="58"/>
      <c r="CN113" s="15"/>
      <c r="CO113" s="58"/>
      <c r="CP113" s="15"/>
      <c r="CQ113" s="58"/>
      <c r="CR113" s="15"/>
      <c r="CS113" s="58"/>
      <c r="CT113" s="15"/>
      <c r="CU113" s="58"/>
      <c r="CV113" s="15"/>
      <c r="CW113" s="58"/>
      <c r="CX113" s="15"/>
      <c r="CY113" s="58"/>
      <c r="CZ113" s="15"/>
      <c r="DA113" s="58"/>
      <c r="DB113" s="15"/>
      <c r="DC113" s="58"/>
      <c r="DD113" s="15"/>
      <c r="DE113" s="58"/>
      <c r="DF113" s="15"/>
      <c r="DG113" s="58"/>
      <c r="DH113" s="15"/>
      <c r="DI113" s="58"/>
      <c r="DJ113" s="15"/>
      <c r="DK113" s="58"/>
      <c r="DL113" s="15"/>
      <c r="DM113" s="58"/>
      <c r="DN113" s="15"/>
      <c r="DO113" s="58"/>
      <c r="DP113" s="15"/>
      <c r="DQ113" s="58"/>
      <c r="DR113" s="15"/>
      <c r="DS113" s="58"/>
      <c r="DT113" s="15"/>
      <c r="DU113" s="58"/>
      <c r="DV113" s="15"/>
      <c r="DW113" s="58"/>
      <c r="DX113" s="15"/>
      <c r="DY113" s="58"/>
      <c r="DZ113" s="15"/>
      <c r="EA113" s="58"/>
      <c r="EB113" s="15"/>
      <c r="EC113" s="58"/>
      <c r="ED113" s="15"/>
      <c r="EE113" s="231"/>
      <c r="EF113" s="53">
        <v>72000</v>
      </c>
      <c r="EG113" s="315">
        <v>67000</v>
      </c>
      <c r="EH113" s="323">
        <v>70000</v>
      </c>
      <c r="EI113" s="218"/>
      <c r="EJ113" s="218"/>
      <c r="EK113" s="218"/>
      <c r="EL113" s="218"/>
      <c r="EM113" s="218"/>
      <c r="EN113" s="246" t="s">
        <v>209</v>
      </c>
      <c r="EO113" s="246" t="s">
        <v>209</v>
      </c>
      <c r="EP113" s="246" t="s">
        <v>209</v>
      </c>
      <c r="EQ113" s="246" t="s">
        <v>209</v>
      </c>
      <c r="ER113" s="246"/>
      <c r="ES113" s="246"/>
      <c r="ET113" s="246"/>
      <c r="EU113" s="246"/>
      <c r="EV113" s="246"/>
      <c r="EW113" s="246"/>
      <c r="EX113" s="246"/>
      <c r="EY113" s="246"/>
      <c r="EZ113" s="246"/>
      <c r="FA113" s="246"/>
      <c r="FB113" s="59">
        <f>MEDIAN(EF113,EG113,EH113)</f>
        <v>70000</v>
      </c>
      <c r="FC113" s="59">
        <f>AVERAGE(EF113,EG113,EH113)</f>
        <v>69666.666666666672</v>
      </c>
      <c r="FD113" s="60">
        <f>STDEV(EF113,EG113,EH113)</f>
        <v>2516.6114784235833</v>
      </c>
      <c r="FE113" s="65">
        <f t="shared" si="57"/>
        <v>3.6123609738137559E-2</v>
      </c>
      <c r="FF113" s="88">
        <f t="shared" si="60"/>
        <v>58543.697478991598</v>
      </c>
      <c r="FG113" s="88">
        <f t="shared" si="61"/>
        <v>11123.302521008403</v>
      </c>
      <c r="FH113" s="74">
        <f t="shared" si="122"/>
        <v>69667</v>
      </c>
      <c r="FI113" s="260">
        <f t="shared" si="116"/>
        <v>3483350</v>
      </c>
      <c r="FJ113" s="60" t="s">
        <v>65</v>
      </c>
    </row>
    <row r="114" spans="1:166" s="40" customFormat="1" ht="85.5" customHeight="1" x14ac:dyDescent="0.35">
      <c r="A114" s="37">
        <v>108</v>
      </c>
      <c r="B114" s="210" t="s">
        <v>297</v>
      </c>
      <c r="C114" s="210" t="s">
        <v>1103</v>
      </c>
      <c r="D114" s="249" t="s">
        <v>585</v>
      </c>
      <c r="E114" s="220">
        <v>50</v>
      </c>
      <c r="F114" s="58"/>
      <c r="G114" s="58"/>
      <c r="H114" s="58"/>
      <c r="I114" s="58"/>
      <c r="J114" s="58"/>
      <c r="K114" s="58"/>
      <c r="L114" s="15"/>
      <c r="M114" s="58"/>
      <c r="N114" s="15"/>
      <c r="O114" s="58"/>
      <c r="P114" s="15"/>
      <c r="Q114" s="58"/>
      <c r="R114" s="15"/>
      <c r="S114" s="58"/>
      <c r="T114" s="15"/>
      <c r="U114" s="58"/>
      <c r="V114" s="15"/>
      <c r="W114" s="58"/>
      <c r="X114" s="15"/>
      <c r="Y114" s="58"/>
      <c r="Z114" s="15"/>
      <c r="AA114" s="58"/>
      <c r="AB114" s="15"/>
      <c r="AC114" s="58"/>
      <c r="AD114" s="58"/>
      <c r="AE114" s="58"/>
      <c r="AF114" s="15"/>
      <c r="AG114" s="58"/>
      <c r="AH114" s="15"/>
      <c r="AI114" s="58"/>
      <c r="AJ114" s="15"/>
      <c r="AK114" s="58"/>
      <c r="AL114" s="15"/>
      <c r="AM114" s="58"/>
      <c r="AN114" s="15"/>
      <c r="AO114" s="58"/>
      <c r="AP114" s="15"/>
      <c r="AQ114" s="58"/>
      <c r="AR114" s="15"/>
      <c r="AS114" s="58"/>
      <c r="AT114" s="15"/>
      <c r="AU114" s="58"/>
      <c r="AV114" s="15"/>
      <c r="AW114" s="58"/>
      <c r="AX114" s="15"/>
      <c r="AY114" s="58"/>
      <c r="AZ114" s="15"/>
      <c r="BA114" s="58"/>
      <c r="BB114" s="15"/>
      <c r="BC114" s="58"/>
      <c r="BD114" s="15"/>
      <c r="BE114" s="58"/>
      <c r="BF114" s="15"/>
      <c r="BG114" s="58"/>
      <c r="BH114" s="15"/>
      <c r="BI114" s="58"/>
      <c r="BJ114" s="15"/>
      <c r="BK114" s="58"/>
      <c r="BL114" s="15"/>
      <c r="BM114" s="58"/>
      <c r="BN114" s="15"/>
      <c r="BO114" s="58"/>
      <c r="BP114" s="15"/>
      <c r="BQ114" s="58"/>
      <c r="BR114" s="15"/>
      <c r="BS114" s="58"/>
      <c r="BT114" s="15"/>
      <c r="BU114" s="58"/>
      <c r="BV114" s="15"/>
      <c r="BW114" s="58"/>
      <c r="BX114" s="15"/>
      <c r="BY114" s="58"/>
      <c r="BZ114" s="15"/>
      <c r="CA114" s="58"/>
      <c r="CB114" s="15"/>
      <c r="CC114" s="58"/>
      <c r="CD114" s="15"/>
      <c r="CE114" s="58"/>
      <c r="CF114" s="15"/>
      <c r="CG114" s="58"/>
      <c r="CH114" s="15"/>
      <c r="CI114" s="58"/>
      <c r="CJ114" s="15"/>
      <c r="CK114" s="58"/>
      <c r="CL114" s="15"/>
      <c r="CM114" s="58"/>
      <c r="CN114" s="15"/>
      <c r="CO114" s="58"/>
      <c r="CP114" s="15"/>
      <c r="CQ114" s="58"/>
      <c r="CR114" s="15"/>
      <c r="CS114" s="58"/>
      <c r="CT114" s="15"/>
      <c r="CU114" s="58"/>
      <c r="CV114" s="15"/>
      <c r="CW114" s="58"/>
      <c r="CX114" s="15"/>
      <c r="CY114" s="58"/>
      <c r="CZ114" s="15"/>
      <c r="DA114" s="58"/>
      <c r="DB114" s="15">
        <v>24000</v>
      </c>
      <c r="DC114" s="58">
        <f t="shared" ref="DC114" si="137">+(DB114*5.1%)+DB114</f>
        <v>25224</v>
      </c>
      <c r="DD114" s="15">
        <v>23000</v>
      </c>
      <c r="DE114" s="58">
        <f t="shared" ref="DE114" si="138">+(DD114*5.1%)+DD114</f>
        <v>24173</v>
      </c>
      <c r="DF114" s="15"/>
      <c r="DG114" s="58"/>
      <c r="DH114" s="15"/>
      <c r="DI114" s="58"/>
      <c r="DJ114" s="15"/>
      <c r="DK114" s="58"/>
      <c r="DL114" s="15"/>
      <c r="DM114" s="58"/>
      <c r="DN114" s="15"/>
      <c r="DO114" s="58"/>
      <c r="DP114" s="15"/>
      <c r="DQ114" s="58"/>
      <c r="DR114" s="15"/>
      <c r="DS114" s="58"/>
      <c r="DT114" s="15"/>
      <c r="DU114" s="58"/>
      <c r="DV114" s="15"/>
      <c r="DW114" s="58"/>
      <c r="DX114" s="15"/>
      <c r="DY114" s="58"/>
      <c r="DZ114" s="15"/>
      <c r="EA114" s="58"/>
      <c r="EB114" s="15"/>
      <c r="EC114" s="58"/>
      <c r="ED114" s="15"/>
      <c r="EE114" s="58"/>
      <c r="EF114" s="222"/>
      <c r="EG114" s="56"/>
      <c r="EH114" s="222"/>
      <c r="EI114" s="224"/>
      <c r="EJ114" s="224"/>
      <c r="EK114" s="224"/>
      <c r="EL114" s="224"/>
      <c r="EM114" s="224"/>
      <c r="EN114" s="247" t="s">
        <v>209</v>
      </c>
      <c r="EO114" s="247" t="s">
        <v>209</v>
      </c>
      <c r="EP114" s="247" t="s">
        <v>209</v>
      </c>
      <c r="EQ114" s="247" t="s">
        <v>209</v>
      </c>
      <c r="ER114" s="247"/>
      <c r="ES114" s="247"/>
      <c r="ET114" s="247"/>
      <c r="EU114" s="247"/>
      <c r="EV114" s="247"/>
      <c r="EW114" s="247"/>
      <c r="EX114" s="247"/>
      <c r="EY114" s="247"/>
      <c r="EZ114" s="247"/>
      <c r="FA114" s="247"/>
      <c r="FB114" s="63">
        <f>MEDIAN(DC114,DE114)</f>
        <v>24698.5</v>
      </c>
      <c r="FC114" s="63">
        <f>AVERAGE(DC114,DE114)</f>
        <v>24698.5</v>
      </c>
      <c r="FD114" s="64">
        <f>STDEV(DC114,DE114)</f>
        <v>743.16922702706142</v>
      </c>
      <c r="FE114" s="65">
        <f t="shared" si="57"/>
        <v>3.0089650263257342E-2</v>
      </c>
      <c r="FF114" s="88">
        <f t="shared" si="60"/>
        <v>20755.462184873952</v>
      </c>
      <c r="FG114" s="88">
        <f t="shared" si="61"/>
        <v>3943.5378151260506</v>
      </c>
      <c r="FH114" s="74">
        <f t="shared" si="122"/>
        <v>24699</v>
      </c>
      <c r="FI114" s="260">
        <f t="shared" si="116"/>
        <v>1234950</v>
      </c>
      <c r="FJ114" s="60" t="s">
        <v>1032</v>
      </c>
    </row>
    <row r="115" spans="1:166" s="40" customFormat="1" ht="85.5" customHeight="1" x14ac:dyDescent="0.35">
      <c r="A115" s="36">
        <v>109</v>
      </c>
      <c r="B115" s="210" t="s">
        <v>298</v>
      </c>
      <c r="C115" s="210" t="s">
        <v>974</v>
      </c>
      <c r="D115" s="249" t="s">
        <v>64</v>
      </c>
      <c r="E115" s="220">
        <v>50</v>
      </c>
      <c r="F115" s="58"/>
      <c r="G115" s="58"/>
      <c r="H115" s="58"/>
      <c r="I115" s="58"/>
      <c r="J115" s="58"/>
      <c r="K115" s="58"/>
      <c r="L115" s="15"/>
      <c r="M115" s="58"/>
      <c r="N115" s="15"/>
      <c r="O115" s="58"/>
      <c r="P115" s="15"/>
      <c r="Q115" s="58"/>
      <c r="R115" s="15"/>
      <c r="S115" s="58"/>
      <c r="T115" s="15"/>
      <c r="U115" s="58"/>
      <c r="V115" s="15"/>
      <c r="W115" s="58"/>
      <c r="X115" s="15"/>
      <c r="Y115" s="58"/>
      <c r="Z115" s="15"/>
      <c r="AA115" s="58"/>
      <c r="AB115" s="15"/>
      <c r="AC115" s="58"/>
      <c r="AD115" s="58">
        <v>83535.857999999993</v>
      </c>
      <c r="AE115" s="58">
        <f t="shared" ref="AE115" si="139">+(AD115*5.1%)+AD115</f>
        <v>87796.186757999996</v>
      </c>
      <c r="AF115" s="15"/>
      <c r="AG115" s="58"/>
      <c r="AH115" s="15"/>
      <c r="AI115" s="58"/>
      <c r="AJ115" s="15"/>
      <c r="AK115" s="58"/>
      <c r="AL115" s="15"/>
      <c r="AM115" s="58"/>
      <c r="AN115" s="15"/>
      <c r="AO115" s="58"/>
      <c r="AP115" s="15"/>
      <c r="AQ115" s="58"/>
      <c r="AR115" s="15"/>
      <c r="AS115" s="58"/>
      <c r="AT115" s="15"/>
      <c r="AU115" s="58"/>
      <c r="AV115" s="15"/>
      <c r="AW115" s="58"/>
      <c r="AX115" s="15"/>
      <c r="AY115" s="58"/>
      <c r="AZ115" s="15"/>
      <c r="BA115" s="58"/>
      <c r="BB115" s="15"/>
      <c r="BC115" s="58"/>
      <c r="BD115" s="15"/>
      <c r="BE115" s="58"/>
      <c r="BF115" s="15"/>
      <c r="BG115" s="58"/>
      <c r="BH115" s="15"/>
      <c r="BI115" s="58"/>
      <c r="BJ115" s="15"/>
      <c r="BK115" s="58"/>
      <c r="BL115" s="15"/>
      <c r="BM115" s="58"/>
      <c r="BN115" s="15"/>
      <c r="BO115" s="58"/>
      <c r="BP115" s="15"/>
      <c r="BQ115" s="58"/>
      <c r="BR115" s="15"/>
      <c r="BS115" s="58"/>
      <c r="BT115" s="15"/>
      <c r="BU115" s="58"/>
      <c r="BV115" s="15"/>
      <c r="BW115" s="58"/>
      <c r="BX115" s="15"/>
      <c r="BY115" s="58"/>
      <c r="BZ115" s="15"/>
      <c r="CA115" s="58"/>
      <c r="CB115" s="15"/>
      <c r="CC115" s="58"/>
      <c r="CD115" s="15"/>
      <c r="CE115" s="58"/>
      <c r="CF115" s="15"/>
      <c r="CG115" s="58"/>
      <c r="CH115" s="15"/>
      <c r="CI115" s="58"/>
      <c r="CJ115" s="15">
        <v>62874</v>
      </c>
      <c r="CK115" s="58">
        <f t="shared" ref="CK115" si="140">+(CJ115*5.1%)+CJ115</f>
        <v>66080.573999999993</v>
      </c>
      <c r="CL115" s="15"/>
      <c r="CM115" s="58"/>
      <c r="CN115" s="15"/>
      <c r="CO115" s="58"/>
      <c r="CP115" s="15"/>
      <c r="CQ115" s="58"/>
      <c r="CR115" s="15"/>
      <c r="CS115" s="58"/>
      <c r="CT115" s="15"/>
      <c r="CU115" s="58"/>
      <c r="CV115" s="15"/>
      <c r="CW115" s="58"/>
      <c r="CX115" s="15"/>
      <c r="CY115" s="58"/>
      <c r="CZ115" s="15"/>
      <c r="DA115" s="58"/>
      <c r="DB115" s="15"/>
      <c r="DC115" s="58"/>
      <c r="DD115" s="15"/>
      <c r="DE115" s="58"/>
      <c r="DF115" s="15"/>
      <c r="DG115" s="58"/>
      <c r="DH115" s="15"/>
      <c r="DI115" s="58"/>
      <c r="DJ115" s="15"/>
      <c r="DK115" s="58"/>
      <c r="DL115" s="15"/>
      <c r="DM115" s="58"/>
      <c r="DN115" s="15"/>
      <c r="DO115" s="58"/>
      <c r="DP115" s="15"/>
      <c r="DQ115" s="58"/>
      <c r="DR115" s="15"/>
      <c r="DS115" s="58"/>
      <c r="DT115" s="15"/>
      <c r="DU115" s="58"/>
      <c r="DV115" s="15"/>
      <c r="DW115" s="58"/>
      <c r="DX115" s="15"/>
      <c r="DY115" s="58"/>
      <c r="DZ115" s="15"/>
      <c r="EA115" s="58"/>
      <c r="EB115" s="15"/>
      <c r="EC115" s="58"/>
      <c r="ED115" s="15"/>
      <c r="EE115" s="58"/>
      <c r="EF115" s="8"/>
      <c r="EG115" s="56"/>
      <c r="EH115" s="222"/>
      <c r="EI115" s="224"/>
      <c r="EJ115" s="224"/>
      <c r="EK115" s="224"/>
      <c r="EL115" s="224"/>
      <c r="EM115" s="224"/>
      <c r="EN115" s="246" t="s">
        <v>209</v>
      </c>
      <c r="EO115" s="246" t="s">
        <v>209</v>
      </c>
      <c r="EP115" s="246" t="s">
        <v>209</v>
      </c>
      <c r="EQ115" s="246" t="s">
        <v>209</v>
      </c>
      <c r="ER115" s="246"/>
      <c r="ES115" s="246"/>
      <c r="ET115" s="246"/>
      <c r="EU115" s="246"/>
      <c r="EV115" s="246"/>
      <c r="EW115" s="246"/>
      <c r="EX115" s="246"/>
      <c r="EY115" s="246"/>
      <c r="EZ115" s="246"/>
      <c r="FA115" s="246"/>
      <c r="FB115" s="63">
        <f>MEDIAN(AE115,CK115)</f>
        <v>76938.380378999995</v>
      </c>
      <c r="FC115" s="63">
        <f>AVERAGE(AE115,CK115)</f>
        <v>76938.380378999995</v>
      </c>
      <c r="FD115" s="64">
        <f>STDEV(AE115,CK115)</f>
        <v>15355.257038802867</v>
      </c>
      <c r="FE115" s="65">
        <f t="shared" si="57"/>
        <v>0.19957863634719844</v>
      </c>
      <c r="FF115" s="88">
        <f t="shared" si="60"/>
        <v>64654.621848739502</v>
      </c>
      <c r="FG115" s="88">
        <f t="shared" si="61"/>
        <v>12284.378151260506</v>
      </c>
      <c r="FH115" s="74">
        <f t="shared" si="122"/>
        <v>76939</v>
      </c>
      <c r="FI115" s="260">
        <f t="shared" si="116"/>
        <v>3846950</v>
      </c>
      <c r="FJ115" s="60" t="s">
        <v>66</v>
      </c>
    </row>
    <row r="116" spans="1:166" s="40" customFormat="1" ht="85.5" customHeight="1" x14ac:dyDescent="0.35">
      <c r="A116" s="37">
        <v>110</v>
      </c>
      <c r="B116" s="210" t="s">
        <v>299</v>
      </c>
      <c r="C116" s="210" t="s">
        <v>1104</v>
      </c>
      <c r="D116" s="249" t="s">
        <v>64</v>
      </c>
      <c r="E116" s="220">
        <v>50</v>
      </c>
      <c r="F116" s="58"/>
      <c r="G116" s="58"/>
      <c r="H116" s="58"/>
      <c r="I116" s="58"/>
      <c r="J116" s="58"/>
      <c r="K116" s="58"/>
      <c r="L116" s="15"/>
      <c r="M116" s="58"/>
      <c r="N116" s="15"/>
      <c r="O116" s="58"/>
      <c r="P116" s="15"/>
      <c r="Q116" s="58"/>
      <c r="R116" s="15"/>
      <c r="S116" s="58"/>
      <c r="T116" s="15"/>
      <c r="U116" s="58"/>
      <c r="V116" s="15"/>
      <c r="W116" s="58"/>
      <c r="X116" s="15"/>
      <c r="Y116" s="58"/>
      <c r="Z116" s="15"/>
      <c r="AA116" s="58"/>
      <c r="AB116" s="15"/>
      <c r="AC116" s="58"/>
      <c r="AD116" s="58"/>
      <c r="AE116" s="58"/>
      <c r="AF116" s="15"/>
      <c r="AG116" s="58"/>
      <c r="AH116" s="15"/>
      <c r="AI116" s="58"/>
      <c r="AJ116" s="15"/>
      <c r="AK116" s="58"/>
      <c r="AL116" s="15"/>
      <c r="AM116" s="58"/>
      <c r="AN116" s="15"/>
      <c r="AO116" s="58"/>
      <c r="AP116" s="15"/>
      <c r="AQ116" s="58"/>
      <c r="AR116" s="15"/>
      <c r="AS116" s="58"/>
      <c r="AT116" s="15"/>
      <c r="AU116" s="58"/>
      <c r="AV116" s="15">
        <v>5000</v>
      </c>
      <c r="AW116" s="58">
        <f t="shared" ref="AW116" si="141">+(AV116*5.1%)+AV116</f>
        <v>5255</v>
      </c>
      <c r="AX116" s="15"/>
      <c r="AY116" s="58"/>
      <c r="AZ116" s="15">
        <v>4000</v>
      </c>
      <c r="BA116" s="58">
        <f t="shared" ref="BA116" si="142">+(AZ116*5.1%)+AZ116</f>
        <v>4204</v>
      </c>
      <c r="BB116" s="15"/>
      <c r="BC116" s="58"/>
      <c r="BD116" s="15"/>
      <c r="BE116" s="58"/>
      <c r="BF116" s="15"/>
      <c r="BG116" s="58"/>
      <c r="BH116" s="15"/>
      <c r="BI116" s="58"/>
      <c r="BJ116" s="15"/>
      <c r="BK116" s="58"/>
      <c r="BL116" s="15"/>
      <c r="BM116" s="58"/>
      <c r="BN116" s="15"/>
      <c r="BO116" s="58"/>
      <c r="BP116" s="15"/>
      <c r="BQ116" s="58"/>
      <c r="BR116" s="15"/>
      <c r="BS116" s="58"/>
      <c r="BT116" s="15"/>
      <c r="BU116" s="58"/>
      <c r="BV116" s="15"/>
      <c r="BW116" s="58"/>
      <c r="BX116" s="15"/>
      <c r="BY116" s="58"/>
      <c r="BZ116" s="15"/>
      <c r="CA116" s="58"/>
      <c r="CB116" s="15"/>
      <c r="CC116" s="58"/>
      <c r="CD116" s="15"/>
      <c r="CE116" s="58"/>
      <c r="CF116" s="15"/>
      <c r="CG116" s="58"/>
      <c r="CH116" s="15"/>
      <c r="CI116" s="58"/>
      <c r="CJ116" s="15"/>
      <c r="CK116" s="58"/>
      <c r="CL116" s="15"/>
      <c r="CM116" s="58"/>
      <c r="CN116" s="15"/>
      <c r="CO116" s="58"/>
      <c r="CP116" s="15"/>
      <c r="CQ116" s="58"/>
      <c r="CR116" s="15"/>
      <c r="CS116" s="58"/>
      <c r="CT116" s="15"/>
      <c r="CU116" s="58"/>
      <c r="CV116" s="15"/>
      <c r="CW116" s="58"/>
      <c r="CX116" s="15"/>
      <c r="CY116" s="58"/>
      <c r="CZ116" s="15"/>
      <c r="DA116" s="58"/>
      <c r="DB116" s="15"/>
      <c r="DC116" s="58"/>
      <c r="DD116" s="15"/>
      <c r="DE116" s="58"/>
      <c r="DF116" s="15"/>
      <c r="DG116" s="58"/>
      <c r="DH116" s="15"/>
      <c r="DI116" s="58"/>
      <c r="DJ116" s="15"/>
      <c r="DK116" s="58"/>
      <c r="DL116" s="15"/>
      <c r="DM116" s="58"/>
      <c r="DN116" s="15"/>
      <c r="DO116" s="58"/>
      <c r="DP116" s="15"/>
      <c r="DQ116" s="58"/>
      <c r="DR116" s="15"/>
      <c r="DS116" s="58"/>
      <c r="DT116" s="15"/>
      <c r="DU116" s="58"/>
      <c r="DV116" s="15"/>
      <c r="DW116" s="58"/>
      <c r="DX116" s="15"/>
      <c r="DY116" s="58"/>
      <c r="DZ116" s="15"/>
      <c r="EA116" s="58"/>
      <c r="EB116" s="15"/>
      <c r="EC116" s="58"/>
      <c r="ED116" s="15"/>
      <c r="EE116" s="58"/>
      <c r="EF116" s="222"/>
      <c r="EG116" s="37"/>
      <c r="EH116" s="222"/>
      <c r="EI116" s="224"/>
      <c r="EJ116" s="224"/>
      <c r="EK116" s="224"/>
      <c r="EL116" s="224"/>
      <c r="EM116" s="224"/>
      <c r="EN116" s="246"/>
      <c r="EO116" s="246"/>
      <c r="EP116" s="246"/>
      <c r="EQ116" s="246"/>
      <c r="ER116" s="246"/>
      <c r="ES116" s="246"/>
      <c r="ET116" s="246"/>
      <c r="EU116" s="246"/>
      <c r="EV116" s="246"/>
      <c r="EW116" s="246"/>
      <c r="EX116" s="246"/>
      <c r="EY116" s="246"/>
      <c r="EZ116" s="246"/>
      <c r="FA116" s="246"/>
      <c r="FB116" s="63">
        <f>MEDIAN(AW116,BA116)</f>
        <v>4729.5</v>
      </c>
      <c r="FC116" s="63">
        <f>AVERAGE(AW116,BA116)</f>
        <v>4729.5</v>
      </c>
      <c r="FD116" s="64">
        <f>STDEV(AW116,BA116)</f>
        <v>743.16922702706142</v>
      </c>
      <c r="FE116" s="65">
        <f t="shared" si="57"/>
        <v>0.15713484026367722</v>
      </c>
      <c r="FF116" s="88">
        <f t="shared" si="60"/>
        <v>3974.7899159663866</v>
      </c>
      <c r="FG116" s="88">
        <f t="shared" si="61"/>
        <v>755.2100840336135</v>
      </c>
      <c r="FH116" s="74">
        <f t="shared" si="122"/>
        <v>4730</v>
      </c>
      <c r="FI116" s="260">
        <f t="shared" si="116"/>
        <v>236500</v>
      </c>
      <c r="FJ116" s="60" t="s">
        <v>66</v>
      </c>
    </row>
    <row r="117" spans="1:166" s="40" customFormat="1" ht="85.5" customHeight="1" x14ac:dyDescent="0.35">
      <c r="A117" s="37">
        <v>111</v>
      </c>
      <c r="B117" s="210" t="s">
        <v>300</v>
      </c>
      <c r="C117" s="210" t="s">
        <v>1106</v>
      </c>
      <c r="D117" s="249" t="s">
        <v>64</v>
      </c>
      <c r="E117" s="220">
        <v>9</v>
      </c>
      <c r="F117" s="58"/>
      <c r="G117" s="58"/>
      <c r="H117" s="58"/>
      <c r="I117" s="58"/>
      <c r="J117" s="58"/>
      <c r="K117" s="58"/>
      <c r="L117" s="15"/>
      <c r="M117" s="58"/>
      <c r="N117" s="15"/>
      <c r="O117" s="58"/>
      <c r="P117" s="15"/>
      <c r="Q117" s="58"/>
      <c r="R117" s="15"/>
      <c r="S117" s="58"/>
      <c r="T117" s="15"/>
      <c r="U117" s="58"/>
      <c r="V117" s="15"/>
      <c r="W117" s="58"/>
      <c r="X117" s="15"/>
      <c r="Y117" s="58"/>
      <c r="Z117" s="15"/>
      <c r="AA117" s="58"/>
      <c r="AB117" s="15"/>
      <c r="AC117" s="58"/>
      <c r="AD117" s="58">
        <v>7021</v>
      </c>
      <c r="AE117" s="58">
        <f t="shared" ref="AE117" si="143">+(AD117*5.1%)+AD117</f>
        <v>7379.0709999999999</v>
      </c>
      <c r="AF117" s="15"/>
      <c r="AG117" s="58"/>
      <c r="AH117" s="15"/>
      <c r="AI117" s="58"/>
      <c r="AJ117" s="15"/>
      <c r="AK117" s="58"/>
      <c r="AL117" s="15"/>
      <c r="AM117" s="58"/>
      <c r="AN117" s="15"/>
      <c r="AO117" s="58"/>
      <c r="AP117" s="15"/>
      <c r="AQ117" s="58"/>
      <c r="AR117" s="15"/>
      <c r="AS117" s="58"/>
      <c r="AT117" s="15"/>
      <c r="AU117" s="58"/>
      <c r="AV117" s="15"/>
      <c r="AW117" s="58"/>
      <c r="AX117" s="15"/>
      <c r="AY117" s="58"/>
      <c r="AZ117" s="15"/>
      <c r="BA117" s="58"/>
      <c r="BB117" s="15"/>
      <c r="BC117" s="58"/>
      <c r="BD117" s="15"/>
      <c r="BE117" s="58"/>
      <c r="BF117" s="15"/>
      <c r="BG117" s="58"/>
      <c r="BH117" s="15"/>
      <c r="BI117" s="58"/>
      <c r="BJ117" s="15"/>
      <c r="BK117" s="58"/>
      <c r="BL117" s="15"/>
      <c r="BM117" s="58"/>
      <c r="BN117" s="15"/>
      <c r="BO117" s="58"/>
      <c r="BP117" s="15"/>
      <c r="BQ117" s="58"/>
      <c r="BR117" s="15"/>
      <c r="BS117" s="58"/>
      <c r="BT117" s="15"/>
      <c r="BU117" s="58"/>
      <c r="BV117" s="15"/>
      <c r="BW117" s="58"/>
      <c r="BX117" s="15"/>
      <c r="BY117" s="58"/>
      <c r="BZ117" s="15"/>
      <c r="CA117" s="58"/>
      <c r="CB117" s="15"/>
      <c r="CC117" s="58"/>
      <c r="CD117" s="15"/>
      <c r="CE117" s="58"/>
      <c r="CF117" s="15"/>
      <c r="CG117" s="58"/>
      <c r="CH117" s="15"/>
      <c r="CI117" s="58"/>
      <c r="CJ117" s="15">
        <v>6287</v>
      </c>
      <c r="CK117" s="58">
        <f t="shared" ref="CK117" si="144">+(CJ117*5.1%)+CJ117</f>
        <v>6607.6369999999997</v>
      </c>
      <c r="CL117" s="15"/>
      <c r="CM117" s="58"/>
      <c r="CN117" s="15"/>
      <c r="CO117" s="58"/>
      <c r="CP117" s="15"/>
      <c r="CQ117" s="58"/>
      <c r="CR117" s="15"/>
      <c r="CS117" s="58"/>
      <c r="CT117" s="15"/>
      <c r="CU117" s="58"/>
      <c r="CV117" s="15"/>
      <c r="CW117" s="58"/>
      <c r="CX117" s="15"/>
      <c r="CY117" s="58"/>
      <c r="CZ117" s="15"/>
      <c r="DA117" s="58"/>
      <c r="DB117" s="15"/>
      <c r="DC117" s="58"/>
      <c r="DD117" s="15"/>
      <c r="DE117" s="58"/>
      <c r="DF117" s="15"/>
      <c r="DG117" s="58"/>
      <c r="DH117" s="15"/>
      <c r="DI117" s="58"/>
      <c r="DJ117" s="15"/>
      <c r="DK117" s="58"/>
      <c r="DL117" s="15"/>
      <c r="DM117" s="58"/>
      <c r="DN117" s="15"/>
      <c r="DO117" s="58"/>
      <c r="DP117" s="15"/>
      <c r="DQ117" s="58"/>
      <c r="DR117" s="15"/>
      <c r="DS117" s="58"/>
      <c r="DT117" s="15"/>
      <c r="DU117" s="58"/>
      <c r="DV117" s="15"/>
      <c r="DW117" s="58"/>
      <c r="DX117" s="15"/>
      <c r="DY117" s="58"/>
      <c r="DZ117" s="15"/>
      <c r="EA117" s="58"/>
      <c r="EB117" s="15"/>
      <c r="EC117" s="58"/>
      <c r="ED117" s="15"/>
      <c r="EE117" s="58"/>
      <c r="EF117" s="222"/>
      <c r="EG117" s="56"/>
      <c r="EH117" s="222"/>
      <c r="EI117" s="224"/>
      <c r="EJ117" s="224"/>
      <c r="EK117" s="224"/>
      <c r="EL117" s="224"/>
      <c r="EM117" s="224"/>
      <c r="EN117" s="246" t="s">
        <v>209</v>
      </c>
      <c r="EO117" s="246" t="s">
        <v>209</v>
      </c>
      <c r="EP117" s="246" t="s">
        <v>209</v>
      </c>
      <c r="EQ117" s="246" t="s">
        <v>209</v>
      </c>
      <c r="ER117" s="246"/>
      <c r="ES117" s="246"/>
      <c r="ET117" s="246"/>
      <c r="EU117" s="246"/>
      <c r="EV117" s="246"/>
      <c r="EW117" s="246"/>
      <c r="EX117" s="246"/>
      <c r="EY117" s="246"/>
      <c r="EZ117" s="246"/>
      <c r="FA117" s="246"/>
      <c r="FB117" s="63">
        <f>MEDIAN(AE117,CK117)</f>
        <v>6993.3539999999994</v>
      </c>
      <c r="FC117" s="63">
        <f>AVERAGE(AE117,CK117)</f>
        <v>6993.3539999999994</v>
      </c>
      <c r="FD117" s="64">
        <f>STDEV(AE117,CK117)</f>
        <v>545.48621263786322</v>
      </c>
      <c r="FE117" s="65">
        <f t="shared" si="57"/>
        <v>7.8000657858570188E-2</v>
      </c>
      <c r="FF117" s="88">
        <f t="shared" si="60"/>
        <v>5877.3109243697481</v>
      </c>
      <c r="FG117" s="88">
        <f t="shared" si="61"/>
        <v>1116.6890756302521</v>
      </c>
      <c r="FH117" s="74">
        <f t="shared" si="122"/>
        <v>6994</v>
      </c>
      <c r="FI117" s="260">
        <f t="shared" si="116"/>
        <v>62946</v>
      </c>
      <c r="FJ117" s="60" t="s">
        <v>1032</v>
      </c>
    </row>
    <row r="118" spans="1:166" s="40" customFormat="1" ht="85.5" customHeight="1" x14ac:dyDescent="0.35">
      <c r="A118" s="36">
        <v>112</v>
      </c>
      <c r="B118" s="210" t="s">
        <v>301</v>
      </c>
      <c r="C118" s="210" t="s">
        <v>1107</v>
      </c>
      <c r="D118" s="249" t="s">
        <v>64</v>
      </c>
      <c r="E118" s="220">
        <v>10</v>
      </c>
      <c r="F118" s="58"/>
      <c r="G118" s="58"/>
      <c r="H118" s="58"/>
      <c r="I118" s="58"/>
      <c r="J118" s="58"/>
      <c r="K118" s="58"/>
      <c r="L118" s="15"/>
      <c r="M118" s="58"/>
      <c r="N118" s="15"/>
      <c r="O118" s="58"/>
      <c r="P118" s="15"/>
      <c r="Q118" s="58"/>
      <c r="R118" s="15"/>
      <c r="S118" s="58"/>
      <c r="T118" s="15"/>
      <c r="U118" s="58"/>
      <c r="V118" s="15"/>
      <c r="W118" s="58"/>
      <c r="X118" s="15"/>
      <c r="Y118" s="58"/>
      <c r="Z118" s="15"/>
      <c r="AA118" s="58"/>
      <c r="AB118" s="15"/>
      <c r="AC118" s="58"/>
      <c r="AD118" s="58">
        <v>28666.742999999995</v>
      </c>
      <c r="AE118" s="58">
        <f t="shared" ref="AE118" si="145">+(AD118*5.1%)+AD118</f>
        <v>30128.746892999996</v>
      </c>
      <c r="AF118" s="15"/>
      <c r="AG118" s="58"/>
      <c r="AH118" s="15"/>
      <c r="AI118" s="58"/>
      <c r="AJ118" s="15"/>
      <c r="AK118" s="58"/>
      <c r="AL118" s="15"/>
      <c r="AM118" s="58"/>
      <c r="AN118" s="15"/>
      <c r="AO118" s="58"/>
      <c r="AP118" s="15"/>
      <c r="AQ118" s="58"/>
      <c r="AR118" s="15"/>
      <c r="AS118" s="58"/>
      <c r="AT118" s="15"/>
      <c r="AU118" s="58"/>
      <c r="AV118" s="15"/>
      <c r="AW118" s="58"/>
      <c r="AX118" s="15"/>
      <c r="AY118" s="58"/>
      <c r="AZ118" s="15"/>
      <c r="BA118" s="58"/>
      <c r="BB118" s="15"/>
      <c r="BC118" s="58"/>
      <c r="BD118" s="15">
        <v>25000</v>
      </c>
      <c r="BE118" s="58">
        <f t="shared" ref="BE118" si="146">+(BD118*5.1%)+BD118</f>
        <v>26275</v>
      </c>
      <c r="BF118" s="15"/>
      <c r="BG118" s="58"/>
      <c r="BH118" s="15"/>
      <c r="BI118" s="58"/>
      <c r="BJ118" s="15"/>
      <c r="BK118" s="58"/>
      <c r="BL118" s="15"/>
      <c r="BM118" s="58"/>
      <c r="BN118" s="15"/>
      <c r="BO118" s="58"/>
      <c r="BP118" s="15"/>
      <c r="BQ118" s="58"/>
      <c r="BR118" s="15"/>
      <c r="BS118" s="58"/>
      <c r="BT118" s="15"/>
      <c r="BU118" s="58"/>
      <c r="BV118" s="15"/>
      <c r="BW118" s="58"/>
      <c r="BX118" s="15"/>
      <c r="BY118" s="58"/>
      <c r="BZ118" s="15"/>
      <c r="CA118" s="58"/>
      <c r="CB118" s="15"/>
      <c r="CC118" s="58"/>
      <c r="CD118" s="15"/>
      <c r="CE118" s="58"/>
      <c r="CF118" s="15"/>
      <c r="CG118" s="58"/>
      <c r="CH118" s="15"/>
      <c r="CI118" s="58"/>
      <c r="CJ118" s="15"/>
      <c r="CK118" s="58"/>
      <c r="CL118" s="15"/>
      <c r="CM118" s="58"/>
      <c r="CN118" s="15"/>
      <c r="CO118" s="58"/>
      <c r="CP118" s="15"/>
      <c r="CQ118" s="58"/>
      <c r="CR118" s="15"/>
      <c r="CS118" s="58"/>
      <c r="CT118" s="15"/>
      <c r="CU118" s="58"/>
      <c r="CV118" s="15"/>
      <c r="CW118" s="58"/>
      <c r="CX118" s="15"/>
      <c r="CY118" s="58"/>
      <c r="CZ118" s="15"/>
      <c r="DA118" s="58"/>
      <c r="DB118" s="15"/>
      <c r="DC118" s="58"/>
      <c r="DD118" s="15"/>
      <c r="DE118" s="58"/>
      <c r="DF118" s="15"/>
      <c r="DG118" s="58"/>
      <c r="DH118" s="15"/>
      <c r="DI118" s="58"/>
      <c r="DJ118" s="15"/>
      <c r="DK118" s="58"/>
      <c r="DL118" s="15"/>
      <c r="DM118" s="58"/>
      <c r="DN118" s="15"/>
      <c r="DO118" s="58"/>
      <c r="DP118" s="15"/>
      <c r="DQ118" s="58"/>
      <c r="DR118" s="15"/>
      <c r="DS118" s="58"/>
      <c r="DT118" s="15"/>
      <c r="DU118" s="58"/>
      <c r="DV118" s="15"/>
      <c r="DW118" s="58"/>
      <c r="DX118" s="15"/>
      <c r="DY118" s="58"/>
      <c r="DZ118" s="15"/>
      <c r="EA118" s="58"/>
      <c r="EB118" s="15"/>
      <c r="EC118" s="58"/>
      <c r="ED118" s="15"/>
      <c r="EE118" s="58"/>
      <c r="EF118" s="222"/>
      <c r="EG118" s="324">
        <v>37000</v>
      </c>
      <c r="EH118" s="8">
        <v>35000</v>
      </c>
      <c r="EI118" s="224"/>
      <c r="EJ118" s="224"/>
      <c r="EK118" s="224"/>
      <c r="EL118" s="224"/>
      <c r="EM118" s="224"/>
      <c r="EN118" s="246" t="s">
        <v>209</v>
      </c>
      <c r="EO118" s="246" t="s">
        <v>209</v>
      </c>
      <c r="EP118" s="246" t="s">
        <v>209</v>
      </c>
      <c r="EQ118" s="246" t="s">
        <v>209</v>
      </c>
      <c r="ER118" s="246"/>
      <c r="ES118" s="246"/>
      <c r="ET118" s="246"/>
      <c r="EU118" s="246"/>
      <c r="EV118" s="246"/>
      <c r="EW118" s="246"/>
      <c r="EX118" s="246"/>
      <c r="EY118" s="246"/>
      <c r="EZ118" s="246"/>
      <c r="FA118" s="246"/>
      <c r="FB118" s="63">
        <f>MEDIAN(AE118,BE118,EG118,EH118)</f>
        <v>32564.373446499998</v>
      </c>
      <c r="FC118" s="63">
        <f>AVERAGE(AE118,BE118,EG118,EH118)</f>
        <v>32100.936723250001</v>
      </c>
      <c r="FD118" s="64">
        <f>STDEV(AE118,BE118,EG118,EH118)</f>
        <v>4838.6106925457743</v>
      </c>
      <c r="FE118" s="65">
        <f t="shared" si="57"/>
        <v>0.15073113704626803</v>
      </c>
      <c r="FF118" s="88">
        <f t="shared" si="60"/>
        <v>27365.546218487398</v>
      </c>
      <c r="FG118" s="88">
        <f t="shared" si="61"/>
        <v>5199.4537815126059</v>
      </c>
      <c r="FH118" s="74">
        <f t="shared" si="122"/>
        <v>32565</v>
      </c>
      <c r="FI118" s="260">
        <f t="shared" si="116"/>
        <v>325650</v>
      </c>
      <c r="FJ118" s="60" t="s">
        <v>65</v>
      </c>
    </row>
    <row r="119" spans="1:166" s="40" customFormat="1" ht="85.5" customHeight="1" x14ac:dyDescent="0.35">
      <c r="A119" s="36">
        <v>113</v>
      </c>
      <c r="B119" s="210" t="s">
        <v>302</v>
      </c>
      <c r="C119" s="210" t="s">
        <v>975</v>
      </c>
      <c r="D119" s="249" t="s">
        <v>64</v>
      </c>
      <c r="E119" s="220">
        <v>10</v>
      </c>
      <c r="F119" s="58"/>
      <c r="G119" s="58"/>
      <c r="H119" s="58"/>
      <c r="I119" s="58"/>
      <c r="J119" s="58"/>
      <c r="K119" s="58"/>
      <c r="L119" s="15"/>
      <c r="M119" s="58"/>
      <c r="N119" s="15"/>
      <c r="O119" s="58"/>
      <c r="P119" s="15"/>
      <c r="Q119" s="58"/>
      <c r="R119" s="15"/>
      <c r="S119" s="58"/>
      <c r="T119" s="15"/>
      <c r="U119" s="58"/>
      <c r="V119" s="15"/>
      <c r="W119" s="58"/>
      <c r="X119" s="15"/>
      <c r="Y119" s="58"/>
      <c r="Z119" s="15"/>
      <c r="AA119" s="58"/>
      <c r="AB119" s="15"/>
      <c r="AC119" s="58"/>
      <c r="AD119" s="58">
        <v>40440.959999999999</v>
      </c>
      <c r="AE119" s="58">
        <f t="shared" ref="AE119" si="147">+(AD119*5.1%)+AD119</f>
        <v>42503.448960000002</v>
      </c>
      <c r="AF119" s="15"/>
      <c r="AG119" s="58"/>
      <c r="AH119" s="15"/>
      <c r="AI119" s="58"/>
      <c r="AJ119" s="15"/>
      <c r="AK119" s="58"/>
      <c r="AL119" s="15"/>
      <c r="AM119" s="58"/>
      <c r="AN119" s="15"/>
      <c r="AO119" s="58"/>
      <c r="AP119" s="15"/>
      <c r="AQ119" s="58"/>
      <c r="AR119" s="15"/>
      <c r="AS119" s="58"/>
      <c r="AT119" s="15"/>
      <c r="AU119" s="58"/>
      <c r="AV119" s="15"/>
      <c r="AW119" s="58"/>
      <c r="AX119" s="15"/>
      <c r="AY119" s="58"/>
      <c r="AZ119" s="15"/>
      <c r="BA119" s="58"/>
      <c r="BB119" s="15"/>
      <c r="BC119" s="58"/>
      <c r="BD119" s="15"/>
      <c r="BE119" s="58"/>
      <c r="BF119" s="15"/>
      <c r="BG119" s="58"/>
      <c r="BH119" s="15"/>
      <c r="BI119" s="58"/>
      <c r="BJ119" s="15"/>
      <c r="BK119" s="58"/>
      <c r="BL119" s="15"/>
      <c r="BM119" s="58"/>
      <c r="BN119" s="15"/>
      <c r="BO119" s="58"/>
      <c r="BP119" s="15"/>
      <c r="BQ119" s="58"/>
      <c r="BR119" s="15"/>
      <c r="BS119" s="58"/>
      <c r="BT119" s="15"/>
      <c r="BU119" s="58"/>
      <c r="BV119" s="15"/>
      <c r="BW119" s="58"/>
      <c r="BX119" s="15"/>
      <c r="BY119" s="58"/>
      <c r="BZ119" s="15"/>
      <c r="CA119" s="58"/>
      <c r="CB119" s="15"/>
      <c r="CC119" s="58"/>
      <c r="CD119" s="15"/>
      <c r="CE119" s="58"/>
      <c r="CF119" s="15"/>
      <c r="CG119" s="58"/>
      <c r="CH119" s="15"/>
      <c r="CI119" s="58"/>
      <c r="CJ119" s="15">
        <v>55000</v>
      </c>
      <c r="CK119" s="58">
        <f t="shared" ref="CK119" si="148">+(CJ119*5.1%)+CJ119</f>
        <v>57805</v>
      </c>
      <c r="CL119" s="15"/>
      <c r="CM119" s="58"/>
      <c r="CN119" s="15"/>
      <c r="CO119" s="58"/>
      <c r="CP119" s="15"/>
      <c r="CQ119" s="58"/>
      <c r="CR119" s="15"/>
      <c r="CS119" s="58"/>
      <c r="CT119" s="15"/>
      <c r="CU119" s="58"/>
      <c r="CV119" s="15"/>
      <c r="CW119" s="58"/>
      <c r="CX119" s="15"/>
      <c r="CY119" s="58"/>
      <c r="CZ119" s="15"/>
      <c r="DA119" s="58"/>
      <c r="DB119" s="15"/>
      <c r="DC119" s="58"/>
      <c r="DD119" s="15"/>
      <c r="DE119" s="58"/>
      <c r="DF119" s="15"/>
      <c r="DG119" s="58"/>
      <c r="DH119" s="15"/>
      <c r="DI119" s="58"/>
      <c r="DJ119" s="15"/>
      <c r="DK119" s="58"/>
      <c r="DL119" s="15"/>
      <c r="DM119" s="58"/>
      <c r="DN119" s="15"/>
      <c r="DO119" s="58"/>
      <c r="DP119" s="15"/>
      <c r="DQ119" s="58"/>
      <c r="DR119" s="15"/>
      <c r="DS119" s="58"/>
      <c r="DT119" s="15"/>
      <c r="DU119" s="58"/>
      <c r="DV119" s="15"/>
      <c r="DW119" s="58"/>
      <c r="DX119" s="15"/>
      <c r="DY119" s="58"/>
      <c r="DZ119" s="15"/>
      <c r="EA119" s="58"/>
      <c r="EB119" s="15"/>
      <c r="EC119" s="58"/>
      <c r="ED119" s="15"/>
      <c r="EE119" s="58"/>
      <c r="EF119" s="222"/>
      <c r="EG119" s="324"/>
      <c r="EH119" s="8"/>
      <c r="EI119" s="224"/>
      <c r="EJ119" s="58"/>
      <c r="EK119" s="58"/>
      <c r="EL119" s="58"/>
      <c r="EM119" s="58"/>
      <c r="EN119" s="208" t="s">
        <v>209</v>
      </c>
      <c r="EO119" s="246" t="s">
        <v>209</v>
      </c>
      <c r="EP119" s="246" t="s">
        <v>209</v>
      </c>
      <c r="EQ119" s="246" t="s">
        <v>209</v>
      </c>
      <c r="ER119" s="246"/>
      <c r="ES119" s="246"/>
      <c r="ET119" s="246"/>
      <c r="EU119" s="246"/>
      <c r="EV119" s="246"/>
      <c r="EW119" s="246"/>
      <c r="EX119" s="246"/>
      <c r="EY119" s="246"/>
      <c r="EZ119" s="246"/>
      <c r="FA119" s="246"/>
      <c r="FB119" s="63">
        <f>MEDIAN(AE119,CK119)</f>
        <v>50154.224480000004</v>
      </c>
      <c r="FC119" s="63">
        <f>AVERAGE(AE119,CK119)</f>
        <v>50154.224480000004</v>
      </c>
      <c r="FD119" s="64">
        <f>STDEV(AE119,CK119)</f>
        <v>10819.83050305602</v>
      </c>
      <c r="FE119" s="65">
        <f t="shared" si="57"/>
        <v>0.21573118945086356</v>
      </c>
      <c r="FF119" s="88">
        <f t="shared" si="60"/>
        <v>42147.058823529413</v>
      </c>
      <c r="FG119" s="88">
        <f t="shared" si="61"/>
        <v>8007.9411764705883</v>
      </c>
      <c r="FH119" s="74">
        <f t="shared" si="122"/>
        <v>50155</v>
      </c>
      <c r="FI119" s="260">
        <f t="shared" si="116"/>
        <v>501550</v>
      </c>
      <c r="FJ119" s="60" t="s">
        <v>66</v>
      </c>
    </row>
    <row r="120" spans="1:166" s="40" customFormat="1" ht="85.5" customHeight="1" x14ac:dyDescent="0.35">
      <c r="A120" s="37">
        <v>114</v>
      </c>
      <c r="B120" s="210" t="s">
        <v>303</v>
      </c>
      <c r="C120" s="210" t="s">
        <v>976</v>
      </c>
      <c r="D120" s="249" t="s">
        <v>64</v>
      </c>
      <c r="E120" s="220">
        <v>20</v>
      </c>
      <c r="F120" s="58"/>
      <c r="G120" s="58"/>
      <c r="H120" s="58"/>
      <c r="I120" s="58"/>
      <c r="J120" s="58"/>
      <c r="K120" s="58"/>
      <c r="L120" s="15"/>
      <c r="M120" s="58"/>
      <c r="N120" s="15"/>
      <c r="O120" s="58"/>
      <c r="P120" s="15"/>
      <c r="Q120" s="58"/>
      <c r="R120" s="15"/>
      <c r="S120" s="58"/>
      <c r="T120" s="15"/>
      <c r="U120" s="58"/>
      <c r="V120" s="15"/>
      <c r="W120" s="58"/>
      <c r="X120" s="15"/>
      <c r="Y120" s="58"/>
      <c r="Z120" s="15"/>
      <c r="AA120" s="58"/>
      <c r="AB120" s="15"/>
      <c r="AC120" s="58"/>
      <c r="AD120" s="58">
        <v>226918.72</v>
      </c>
      <c r="AE120" s="58">
        <f t="shared" ref="AE120" si="149">+(AD120*5.1%)+AD120</f>
        <v>238491.57472</v>
      </c>
      <c r="AF120" s="15"/>
      <c r="AG120" s="58"/>
      <c r="AH120" s="15"/>
      <c r="AI120" s="58"/>
      <c r="AJ120" s="15"/>
      <c r="AK120" s="58"/>
      <c r="AL120" s="15"/>
      <c r="AM120" s="58"/>
      <c r="AN120" s="15">
        <v>213000</v>
      </c>
      <c r="AO120" s="58">
        <f t="shared" ref="AO120" si="150">+(AN120*5.1%)+AN120</f>
        <v>223863</v>
      </c>
      <c r="AP120" s="15"/>
      <c r="AQ120" s="58"/>
      <c r="AR120" s="15"/>
      <c r="AS120" s="58"/>
      <c r="AT120" s="15"/>
      <c r="AU120" s="58"/>
      <c r="AV120" s="15"/>
      <c r="AW120" s="58"/>
      <c r="AX120" s="15"/>
      <c r="AY120" s="58"/>
      <c r="AZ120" s="15"/>
      <c r="BA120" s="58"/>
      <c r="BB120" s="15"/>
      <c r="BC120" s="58"/>
      <c r="BD120" s="15"/>
      <c r="BE120" s="58"/>
      <c r="BF120" s="15"/>
      <c r="BG120" s="58"/>
      <c r="BH120" s="15"/>
      <c r="BI120" s="58"/>
      <c r="BJ120" s="15"/>
      <c r="BK120" s="58"/>
      <c r="BL120" s="15"/>
      <c r="BM120" s="58"/>
      <c r="BN120" s="15"/>
      <c r="BO120" s="58"/>
      <c r="BP120" s="15"/>
      <c r="BQ120" s="58"/>
      <c r="BR120" s="15"/>
      <c r="BS120" s="58"/>
      <c r="BT120" s="15"/>
      <c r="BU120" s="58"/>
      <c r="BV120" s="15"/>
      <c r="BW120" s="58"/>
      <c r="BX120" s="15"/>
      <c r="BY120" s="58"/>
      <c r="BZ120" s="15"/>
      <c r="CA120" s="58"/>
      <c r="CB120" s="15"/>
      <c r="CC120" s="58"/>
      <c r="CD120" s="15"/>
      <c r="CE120" s="58"/>
      <c r="CF120" s="15"/>
      <c r="CG120" s="58"/>
      <c r="CH120" s="15"/>
      <c r="CI120" s="58"/>
      <c r="CJ120" s="15"/>
      <c r="CK120" s="58"/>
      <c r="CL120" s="15"/>
      <c r="CM120" s="58"/>
      <c r="CN120" s="15"/>
      <c r="CO120" s="58"/>
      <c r="CP120" s="15"/>
      <c r="CQ120" s="58"/>
      <c r="CR120" s="15"/>
      <c r="CS120" s="58"/>
      <c r="CT120" s="15"/>
      <c r="CU120" s="58"/>
      <c r="CV120" s="15"/>
      <c r="CW120" s="58"/>
      <c r="CX120" s="15"/>
      <c r="CY120" s="58"/>
      <c r="CZ120" s="15"/>
      <c r="DA120" s="58"/>
      <c r="DB120" s="15"/>
      <c r="DC120" s="58"/>
      <c r="DD120" s="15"/>
      <c r="DE120" s="58"/>
      <c r="DF120" s="15"/>
      <c r="DG120" s="58"/>
      <c r="DH120" s="15"/>
      <c r="DI120" s="58"/>
      <c r="DJ120" s="15"/>
      <c r="DK120" s="58"/>
      <c r="DL120" s="15"/>
      <c r="DM120" s="58"/>
      <c r="DN120" s="15"/>
      <c r="DO120" s="58"/>
      <c r="DP120" s="15"/>
      <c r="DQ120" s="58"/>
      <c r="DR120" s="15"/>
      <c r="DS120" s="58"/>
      <c r="DT120" s="15"/>
      <c r="DU120" s="58"/>
      <c r="DV120" s="15"/>
      <c r="DW120" s="58"/>
      <c r="DX120" s="15"/>
      <c r="DY120" s="58"/>
      <c r="DZ120" s="15"/>
      <c r="EA120" s="58"/>
      <c r="EB120" s="15"/>
      <c r="EC120" s="58"/>
      <c r="ED120" s="15"/>
      <c r="EE120" s="58"/>
      <c r="EF120" s="222"/>
      <c r="EG120" s="56"/>
      <c r="EH120" s="222"/>
      <c r="EI120" s="224"/>
      <c r="EJ120" s="58"/>
      <c r="EK120" s="58"/>
      <c r="EL120" s="58"/>
      <c r="EM120" s="58"/>
      <c r="EN120" s="208"/>
      <c r="EO120" s="246"/>
      <c r="EP120" s="246"/>
      <c r="EQ120" s="246"/>
      <c r="ER120" s="246"/>
      <c r="ES120" s="246"/>
      <c r="ET120" s="246"/>
      <c r="EU120" s="246"/>
      <c r="EV120" s="246"/>
      <c r="EW120" s="246"/>
      <c r="EX120" s="246"/>
      <c r="EY120" s="246"/>
      <c r="EZ120" s="246"/>
      <c r="FA120" s="246"/>
      <c r="FB120" s="63">
        <f>MEDIAN(AE120,AO120)</f>
        <v>231177.28736000002</v>
      </c>
      <c r="FC120" s="63">
        <f>AVERAGE(AE120,AO120)</f>
        <v>231177.28736000002</v>
      </c>
      <c r="FD120" s="64">
        <f>STDEV(AE120,AO120)</f>
        <v>10343.964383606104</v>
      </c>
      <c r="FE120" s="65">
        <f t="shared" si="57"/>
        <v>4.4744726014100171E-2</v>
      </c>
      <c r="FF120" s="88">
        <f t="shared" si="60"/>
        <v>194267.22689075631</v>
      </c>
      <c r="FG120" s="88">
        <f t="shared" si="61"/>
        <v>36910.773109243702</v>
      </c>
      <c r="FH120" s="74">
        <f t="shared" si="122"/>
        <v>231178</v>
      </c>
      <c r="FI120" s="260">
        <f t="shared" si="116"/>
        <v>4623560</v>
      </c>
      <c r="FJ120" s="60" t="s">
        <v>1032</v>
      </c>
    </row>
    <row r="121" spans="1:166" s="40" customFormat="1" ht="85.5" customHeight="1" x14ac:dyDescent="0.35">
      <c r="A121" s="37">
        <v>115</v>
      </c>
      <c r="B121" s="210" t="s">
        <v>304</v>
      </c>
      <c r="C121" s="210" t="s">
        <v>977</v>
      </c>
      <c r="D121" s="249" t="s">
        <v>64</v>
      </c>
      <c r="E121" s="220">
        <v>10</v>
      </c>
      <c r="F121" s="58"/>
      <c r="G121" s="58"/>
      <c r="H121" s="58"/>
      <c r="I121" s="58"/>
      <c r="J121" s="58"/>
      <c r="K121" s="58"/>
      <c r="L121" s="15"/>
      <c r="M121" s="58"/>
      <c r="N121" s="15"/>
      <c r="O121" s="58"/>
      <c r="P121" s="15"/>
      <c r="Q121" s="58"/>
      <c r="R121" s="15"/>
      <c r="S121" s="58"/>
      <c r="T121" s="15"/>
      <c r="U121" s="58"/>
      <c r="V121" s="15"/>
      <c r="W121" s="58"/>
      <c r="X121" s="15"/>
      <c r="Y121" s="58"/>
      <c r="Z121" s="15"/>
      <c r="AA121" s="58"/>
      <c r="AB121" s="15"/>
      <c r="AC121" s="58"/>
      <c r="AD121" s="58"/>
      <c r="AE121" s="58"/>
      <c r="AF121" s="15"/>
      <c r="AG121" s="58"/>
      <c r="AH121" s="15"/>
      <c r="AI121" s="58"/>
      <c r="AJ121" s="15"/>
      <c r="AK121" s="58"/>
      <c r="AL121" s="15"/>
      <c r="AM121" s="58"/>
      <c r="AN121" s="15"/>
      <c r="AO121" s="58"/>
      <c r="AP121" s="15"/>
      <c r="AQ121" s="58"/>
      <c r="AR121" s="15"/>
      <c r="AS121" s="58"/>
      <c r="AT121" s="15"/>
      <c r="AU121" s="58"/>
      <c r="AV121" s="15"/>
      <c r="AW121" s="58"/>
      <c r="AX121" s="15"/>
      <c r="AY121" s="58"/>
      <c r="AZ121" s="15"/>
      <c r="BA121" s="58"/>
      <c r="BB121" s="15"/>
      <c r="BC121" s="58"/>
      <c r="BD121" s="15"/>
      <c r="BE121" s="58"/>
      <c r="BF121" s="15"/>
      <c r="BG121" s="58"/>
      <c r="BH121" s="15"/>
      <c r="BI121" s="58"/>
      <c r="BJ121" s="15">
        <v>3000</v>
      </c>
      <c r="BK121" s="58">
        <f t="shared" ref="BK121" si="151">+(BJ121*5.1%)+BJ121</f>
        <v>3153</v>
      </c>
      <c r="BL121" s="15"/>
      <c r="BM121" s="58"/>
      <c r="BN121" s="15"/>
      <c r="BO121" s="58"/>
      <c r="BP121" s="15"/>
      <c r="BQ121" s="58"/>
      <c r="BR121" s="15"/>
      <c r="BS121" s="58"/>
      <c r="BT121" s="15"/>
      <c r="BU121" s="58"/>
      <c r="BV121" s="15"/>
      <c r="BW121" s="58"/>
      <c r="BX121" s="15"/>
      <c r="BY121" s="58"/>
      <c r="BZ121" s="15"/>
      <c r="CA121" s="58"/>
      <c r="CB121" s="15"/>
      <c r="CC121" s="58"/>
      <c r="CD121" s="15"/>
      <c r="CE121" s="58"/>
      <c r="CF121" s="15"/>
      <c r="CG121" s="58"/>
      <c r="CH121" s="15"/>
      <c r="CI121" s="58"/>
      <c r="CJ121" s="15">
        <v>4500</v>
      </c>
      <c r="CK121" s="58">
        <f t="shared" ref="CK121" si="152">+(CJ121*5.1%)+CJ121</f>
        <v>4729.5</v>
      </c>
      <c r="CL121" s="15"/>
      <c r="CM121" s="58"/>
      <c r="CN121" s="15"/>
      <c r="CO121" s="58"/>
      <c r="CP121" s="15"/>
      <c r="CQ121" s="58"/>
      <c r="CR121" s="15"/>
      <c r="CS121" s="58"/>
      <c r="CT121" s="15"/>
      <c r="CU121" s="58"/>
      <c r="CV121" s="15"/>
      <c r="CW121" s="58"/>
      <c r="CX121" s="15"/>
      <c r="CY121" s="58"/>
      <c r="CZ121" s="15"/>
      <c r="DA121" s="58"/>
      <c r="DB121" s="15"/>
      <c r="DC121" s="58"/>
      <c r="DD121" s="15"/>
      <c r="DE121" s="58"/>
      <c r="DF121" s="15"/>
      <c r="DG121" s="58"/>
      <c r="DH121" s="15"/>
      <c r="DI121" s="58"/>
      <c r="DJ121" s="15"/>
      <c r="DK121" s="58"/>
      <c r="DL121" s="15"/>
      <c r="DM121" s="58"/>
      <c r="DN121" s="15"/>
      <c r="DO121" s="58"/>
      <c r="DP121" s="15"/>
      <c r="DQ121" s="58"/>
      <c r="DR121" s="15"/>
      <c r="DS121" s="58"/>
      <c r="DT121" s="15"/>
      <c r="DU121" s="58"/>
      <c r="DV121" s="15"/>
      <c r="DW121" s="58"/>
      <c r="DX121" s="15"/>
      <c r="DY121" s="58"/>
      <c r="DZ121" s="15"/>
      <c r="EA121" s="58"/>
      <c r="EB121" s="15"/>
      <c r="EC121" s="58"/>
      <c r="ED121" s="15"/>
      <c r="EE121" s="58"/>
      <c r="EF121" s="8"/>
      <c r="EG121" s="56"/>
      <c r="EH121" s="222"/>
      <c r="EI121" s="224"/>
      <c r="EJ121" s="58"/>
      <c r="EK121" s="58"/>
      <c r="EL121" s="58"/>
      <c r="EM121" s="58"/>
      <c r="EN121" s="208"/>
      <c r="EO121" s="246"/>
      <c r="EP121" s="246"/>
      <c r="EQ121" s="246"/>
      <c r="ER121" s="246"/>
      <c r="ES121" s="246"/>
      <c r="ET121" s="246"/>
      <c r="EU121" s="246"/>
      <c r="EV121" s="246"/>
      <c r="EW121" s="246"/>
      <c r="EX121" s="246"/>
      <c r="EY121" s="246"/>
      <c r="EZ121" s="246"/>
      <c r="FA121" s="246"/>
      <c r="FB121" s="63">
        <f>MEDIAN(BK121,CK121)</f>
        <v>3941.25</v>
      </c>
      <c r="FC121" s="63">
        <f>AVERAGE(BK121,CK121)</f>
        <v>3941.25</v>
      </c>
      <c r="FD121" s="64">
        <f>STDEV(BK121,CK121)</f>
        <v>1114.7538405405921</v>
      </c>
      <c r="FE121" s="65">
        <f t="shared" si="57"/>
        <v>0.28284271247461901</v>
      </c>
      <c r="FF121" s="88">
        <f t="shared" si="60"/>
        <v>3312.6050420168067</v>
      </c>
      <c r="FG121" s="88">
        <f t="shared" si="61"/>
        <v>629.39495798319331</v>
      </c>
      <c r="FH121" s="74">
        <f t="shared" si="122"/>
        <v>3942</v>
      </c>
      <c r="FI121" s="260">
        <f t="shared" si="116"/>
        <v>39420</v>
      </c>
      <c r="FJ121" s="60" t="s">
        <v>66</v>
      </c>
    </row>
    <row r="122" spans="1:166" s="40" customFormat="1" ht="85.5" customHeight="1" x14ac:dyDescent="0.35">
      <c r="A122" s="37">
        <v>116</v>
      </c>
      <c r="B122" s="210" t="s">
        <v>305</v>
      </c>
      <c r="C122" s="210" t="s">
        <v>1105</v>
      </c>
      <c r="D122" s="249" t="s">
        <v>64</v>
      </c>
      <c r="E122" s="220">
        <v>1</v>
      </c>
      <c r="F122" s="58"/>
      <c r="G122" s="58"/>
      <c r="H122" s="58"/>
      <c r="I122" s="58"/>
      <c r="J122" s="58"/>
      <c r="K122" s="58"/>
      <c r="L122" s="15"/>
      <c r="M122" s="58"/>
      <c r="N122" s="15"/>
      <c r="O122" s="58"/>
      <c r="P122" s="15"/>
      <c r="Q122" s="58"/>
      <c r="R122" s="15"/>
      <c r="S122" s="58"/>
      <c r="T122" s="15"/>
      <c r="U122" s="58"/>
      <c r="V122" s="15"/>
      <c r="W122" s="58"/>
      <c r="X122" s="15"/>
      <c r="Y122" s="58"/>
      <c r="Z122" s="15"/>
      <c r="AA122" s="58"/>
      <c r="AB122" s="15"/>
      <c r="AC122" s="58"/>
      <c r="AD122" s="58">
        <v>129186.4</v>
      </c>
      <c r="AE122" s="58">
        <f t="shared" ref="AE122" si="153">+(AD122*5.1%)+AD122</f>
        <v>135774.90640000001</v>
      </c>
      <c r="AF122" s="15"/>
      <c r="AG122" s="58"/>
      <c r="AH122" s="15"/>
      <c r="AI122" s="58"/>
      <c r="AJ122" s="15"/>
      <c r="AK122" s="58"/>
      <c r="AL122" s="15"/>
      <c r="AM122" s="58"/>
      <c r="AN122" s="15"/>
      <c r="AO122" s="58"/>
      <c r="AP122" s="15"/>
      <c r="AQ122" s="58"/>
      <c r="AR122" s="15"/>
      <c r="AS122" s="58"/>
      <c r="AT122" s="15"/>
      <c r="AU122" s="58">
        <f t="shared" ref="AU122" si="154">+(AT122*5.1%)+AT122</f>
        <v>0</v>
      </c>
      <c r="AV122" s="15"/>
      <c r="AW122" s="58"/>
      <c r="AX122" s="15"/>
      <c r="AY122" s="58"/>
      <c r="AZ122" s="15"/>
      <c r="BA122" s="58"/>
      <c r="BB122" s="15"/>
      <c r="BC122" s="58"/>
      <c r="BD122" s="15"/>
      <c r="BE122" s="58"/>
      <c r="BF122" s="15"/>
      <c r="BG122" s="58"/>
      <c r="BH122" s="15"/>
      <c r="BI122" s="58"/>
      <c r="BJ122" s="15"/>
      <c r="BK122" s="58">
        <f t="shared" ref="BK122" si="155">+(BJ122*5.1%)+BJ122</f>
        <v>0</v>
      </c>
      <c r="BL122" s="15"/>
      <c r="BM122" s="58"/>
      <c r="BN122" s="15"/>
      <c r="BO122" s="58"/>
      <c r="BP122" s="15"/>
      <c r="BQ122" s="58"/>
      <c r="BR122" s="15"/>
      <c r="BS122" s="58"/>
      <c r="BT122" s="15"/>
      <c r="BU122" s="58"/>
      <c r="BV122" s="15"/>
      <c r="BW122" s="58"/>
      <c r="BX122" s="15"/>
      <c r="BY122" s="58"/>
      <c r="BZ122" s="15"/>
      <c r="CA122" s="58"/>
      <c r="CB122" s="15"/>
      <c r="CC122" s="58"/>
      <c r="CD122" s="15"/>
      <c r="CE122" s="58"/>
      <c r="CF122" s="15"/>
      <c r="CG122" s="58"/>
      <c r="CH122" s="15"/>
      <c r="CI122" s="58"/>
      <c r="CJ122" s="15"/>
      <c r="CK122" s="58"/>
      <c r="CL122" s="15"/>
      <c r="CM122" s="58"/>
      <c r="CN122" s="15"/>
      <c r="CO122" s="58"/>
      <c r="CP122" s="15"/>
      <c r="CQ122" s="58"/>
      <c r="CR122" s="15"/>
      <c r="CS122" s="58"/>
      <c r="CT122" s="15"/>
      <c r="CU122" s="58"/>
      <c r="CV122" s="15">
        <v>140000</v>
      </c>
      <c r="CW122" s="58">
        <f t="shared" ref="CW122" si="156">+(CV122*5.1%)+CV122</f>
        <v>147140</v>
      </c>
      <c r="CX122" s="15"/>
      <c r="CY122" s="58"/>
      <c r="CZ122" s="15"/>
      <c r="DA122" s="58"/>
      <c r="DB122" s="15"/>
      <c r="DC122" s="58"/>
      <c r="DD122" s="15"/>
      <c r="DE122" s="58"/>
      <c r="DF122" s="15"/>
      <c r="DG122" s="58"/>
      <c r="DH122" s="15"/>
      <c r="DI122" s="58"/>
      <c r="DJ122" s="15"/>
      <c r="DK122" s="58"/>
      <c r="DL122" s="15"/>
      <c r="DM122" s="58"/>
      <c r="DN122" s="15"/>
      <c r="DO122" s="58"/>
      <c r="DP122" s="15"/>
      <c r="DQ122" s="58"/>
      <c r="DR122" s="15"/>
      <c r="DS122" s="58"/>
      <c r="DT122" s="15"/>
      <c r="DU122" s="58"/>
      <c r="DV122" s="15"/>
      <c r="DW122" s="58"/>
      <c r="DX122" s="15"/>
      <c r="DY122" s="58"/>
      <c r="DZ122" s="15"/>
      <c r="EA122" s="58"/>
      <c r="EB122" s="15"/>
      <c r="EC122" s="58"/>
      <c r="ED122" s="15"/>
      <c r="EE122" s="58"/>
      <c r="EF122" s="222"/>
      <c r="EG122" s="37"/>
      <c r="EH122" s="222"/>
      <c r="EI122" s="224"/>
      <c r="EJ122" s="58"/>
      <c r="EK122" s="58"/>
      <c r="EL122" s="58"/>
      <c r="EM122" s="58"/>
      <c r="EN122" s="208" t="s">
        <v>209</v>
      </c>
      <c r="EO122" s="246" t="s">
        <v>209</v>
      </c>
      <c r="EP122" s="246" t="s">
        <v>209</v>
      </c>
      <c r="EQ122" s="246" t="s">
        <v>209</v>
      </c>
      <c r="ER122" s="246"/>
      <c r="ES122" s="246"/>
      <c r="ET122" s="246"/>
      <c r="EU122" s="246"/>
      <c r="EV122" s="246"/>
      <c r="EW122" s="246"/>
      <c r="EX122" s="246"/>
      <c r="EY122" s="246"/>
      <c r="EZ122" s="246"/>
      <c r="FA122" s="246"/>
      <c r="FB122" s="63">
        <f>MEDIAN(AE122,CW122)</f>
        <v>141457.45319999999</v>
      </c>
      <c r="FC122" s="63">
        <f>AVERAGE(AE122,CW122)</f>
        <v>141457.45319999999</v>
      </c>
      <c r="FD122" s="64">
        <f>STDEV(AE122,CW122)</f>
        <v>8036.3347533798269</v>
      </c>
      <c r="FE122" s="65">
        <f t="shared" si="57"/>
        <v>5.6810967337420068E-2</v>
      </c>
      <c r="FF122" s="88">
        <f t="shared" si="60"/>
        <v>118872.26890756303</v>
      </c>
      <c r="FG122" s="88">
        <f t="shared" si="61"/>
        <v>22585.731092436978</v>
      </c>
      <c r="FH122" s="74">
        <f t="shared" si="122"/>
        <v>141458</v>
      </c>
      <c r="FI122" s="260">
        <f t="shared" si="116"/>
        <v>141458</v>
      </c>
      <c r="FJ122" s="60" t="s">
        <v>1032</v>
      </c>
    </row>
    <row r="123" spans="1:166" s="40" customFormat="1" ht="85.5" customHeight="1" x14ac:dyDescent="0.35">
      <c r="A123" s="36">
        <v>117</v>
      </c>
      <c r="B123" s="210" t="s">
        <v>306</v>
      </c>
      <c r="C123" s="210" t="s">
        <v>978</v>
      </c>
      <c r="D123" s="249" t="s">
        <v>64</v>
      </c>
      <c r="E123" s="220">
        <v>1</v>
      </c>
      <c r="F123" s="66"/>
      <c r="G123" s="58"/>
      <c r="H123" s="66"/>
      <c r="I123" s="58"/>
      <c r="J123" s="66"/>
      <c r="K123" s="58"/>
      <c r="L123" s="44"/>
      <c r="M123" s="58"/>
      <c r="N123" s="44"/>
      <c r="O123" s="58"/>
      <c r="P123" s="44"/>
      <c r="Q123" s="58"/>
      <c r="R123" s="44"/>
      <c r="S123" s="58"/>
      <c r="T123" s="44"/>
      <c r="U123" s="58"/>
      <c r="V123" s="44"/>
      <c r="W123" s="58"/>
      <c r="X123" s="44"/>
      <c r="Y123" s="58"/>
      <c r="Z123" s="15"/>
      <c r="AA123" s="58"/>
      <c r="AB123" s="15"/>
      <c r="AC123" s="58"/>
      <c r="AD123" s="58"/>
      <c r="AE123" s="58"/>
      <c r="AF123" s="15"/>
      <c r="AG123" s="58"/>
      <c r="AH123" s="15"/>
      <c r="AI123" s="58"/>
      <c r="AJ123" s="15"/>
      <c r="AK123" s="58"/>
      <c r="AL123" s="15"/>
      <c r="AM123" s="58"/>
      <c r="AN123" s="15"/>
      <c r="AO123" s="58"/>
      <c r="AP123" s="15"/>
      <c r="AQ123" s="58"/>
      <c r="AR123" s="15"/>
      <c r="AS123" s="58"/>
      <c r="AT123" s="15"/>
      <c r="AU123" s="58"/>
      <c r="AV123" s="15"/>
      <c r="AW123" s="58"/>
      <c r="AX123" s="15"/>
      <c r="AY123" s="58"/>
      <c r="AZ123" s="15"/>
      <c r="BA123" s="58"/>
      <c r="BB123" s="15"/>
      <c r="BC123" s="58"/>
      <c r="BD123" s="15"/>
      <c r="BE123" s="58"/>
      <c r="BF123" s="15"/>
      <c r="BG123" s="58"/>
      <c r="BH123" s="15"/>
      <c r="BI123" s="58"/>
      <c r="BJ123" s="15"/>
      <c r="BK123" s="58"/>
      <c r="BL123" s="15"/>
      <c r="BM123" s="58"/>
      <c r="BN123" s="15"/>
      <c r="BO123" s="58"/>
      <c r="BP123" s="15"/>
      <c r="BQ123" s="58"/>
      <c r="BR123" s="15"/>
      <c r="BS123" s="58"/>
      <c r="BT123" s="15"/>
      <c r="BU123" s="58"/>
      <c r="BV123" s="15"/>
      <c r="BW123" s="58"/>
      <c r="BX123" s="15"/>
      <c r="BY123" s="58"/>
      <c r="BZ123" s="15"/>
      <c r="CA123" s="58"/>
      <c r="CB123" s="15"/>
      <c r="CC123" s="58"/>
      <c r="CD123" s="15"/>
      <c r="CE123" s="58"/>
      <c r="CF123" s="15"/>
      <c r="CG123" s="58"/>
      <c r="CH123" s="15"/>
      <c r="CI123" s="58"/>
      <c r="CJ123" s="15"/>
      <c r="CK123" s="58">
        <f t="shared" ref="CK123" si="157">+(CJ123*5.1%)+CJ123</f>
        <v>0</v>
      </c>
      <c r="CL123" s="15">
        <v>11500</v>
      </c>
      <c r="CM123" s="58">
        <f t="shared" ref="CM123" si="158">+(CL123*5.1%)+CL123</f>
        <v>12086.5</v>
      </c>
      <c r="CN123" s="15"/>
      <c r="CO123" s="58">
        <f t="shared" ref="CO123" si="159">+(CN123*5.1%)+CN123</f>
        <v>0</v>
      </c>
      <c r="CP123" s="15">
        <v>12400</v>
      </c>
      <c r="CQ123" s="58">
        <f t="shared" ref="CQ123" si="160">+(CP123*5.1%)+CP123</f>
        <v>13032.4</v>
      </c>
      <c r="CR123" s="15"/>
      <c r="CS123" s="58"/>
      <c r="CT123" s="15"/>
      <c r="CU123" s="58"/>
      <c r="CV123" s="15"/>
      <c r="CW123" s="58"/>
      <c r="CX123" s="15"/>
      <c r="CY123" s="58"/>
      <c r="CZ123" s="15"/>
      <c r="DA123" s="58"/>
      <c r="DB123" s="15"/>
      <c r="DC123" s="58"/>
      <c r="DD123" s="15"/>
      <c r="DE123" s="58"/>
      <c r="DF123" s="15"/>
      <c r="DG123" s="58"/>
      <c r="DH123" s="15"/>
      <c r="DI123" s="58"/>
      <c r="DJ123" s="15"/>
      <c r="DK123" s="58"/>
      <c r="DL123" s="15"/>
      <c r="DM123" s="58"/>
      <c r="DN123" s="15"/>
      <c r="DO123" s="58"/>
      <c r="DP123" s="15"/>
      <c r="DQ123" s="58"/>
      <c r="DR123" s="15"/>
      <c r="DS123" s="58"/>
      <c r="DT123" s="15"/>
      <c r="DU123" s="58"/>
      <c r="DV123" s="15"/>
      <c r="DW123" s="58"/>
      <c r="DX123" s="15"/>
      <c r="DY123" s="58"/>
      <c r="DZ123" s="15"/>
      <c r="EA123" s="58"/>
      <c r="EB123" s="15"/>
      <c r="EC123" s="58"/>
      <c r="ED123" s="15"/>
      <c r="EE123" s="58"/>
      <c r="EF123" s="222"/>
      <c r="EG123" s="56"/>
      <c r="EH123" s="222"/>
      <c r="EI123" s="224"/>
      <c r="EJ123" s="58"/>
      <c r="EK123" s="58"/>
      <c r="EL123" s="58"/>
      <c r="EM123" s="58"/>
      <c r="EN123" s="208" t="s">
        <v>209</v>
      </c>
      <c r="EO123" s="246" t="s">
        <v>209</v>
      </c>
      <c r="EP123" s="246" t="s">
        <v>209</v>
      </c>
      <c r="EQ123" s="246" t="s">
        <v>209</v>
      </c>
      <c r="ER123" s="246"/>
      <c r="ES123" s="246"/>
      <c r="ET123" s="246"/>
      <c r="EU123" s="246"/>
      <c r="EV123" s="246"/>
      <c r="EW123" s="246"/>
      <c r="EX123" s="246"/>
      <c r="EY123" s="246"/>
      <c r="EZ123" s="246"/>
      <c r="FA123" s="246"/>
      <c r="FB123" s="63">
        <f>MEDIAN(CM123,CQ123)</f>
        <v>12559.45</v>
      </c>
      <c r="FC123" s="63">
        <f>AVERAGE(CM123,CQ123)</f>
        <v>12559.45</v>
      </c>
      <c r="FD123" s="64">
        <f>STDEV(CM123,CQ123)</f>
        <v>668.85230432435503</v>
      </c>
      <c r="FE123" s="65">
        <f t="shared" si="57"/>
        <v>5.3254904022417782E-2</v>
      </c>
      <c r="FF123" s="88">
        <f t="shared" si="60"/>
        <v>10554.621848739496</v>
      </c>
      <c r="FG123" s="88">
        <f t="shared" si="61"/>
        <v>2005.3781512605044</v>
      </c>
      <c r="FH123" s="74">
        <f t="shared" si="122"/>
        <v>12560</v>
      </c>
      <c r="FI123" s="260">
        <f t="shared" si="116"/>
        <v>12560</v>
      </c>
      <c r="FJ123" s="60" t="s">
        <v>1032</v>
      </c>
    </row>
    <row r="124" spans="1:166" s="40" customFormat="1" ht="85.5" customHeight="1" x14ac:dyDescent="0.35">
      <c r="A124" s="37">
        <v>118</v>
      </c>
      <c r="B124" s="210" t="s">
        <v>307</v>
      </c>
      <c r="C124" s="210" t="s">
        <v>979</v>
      </c>
      <c r="D124" s="249" t="s">
        <v>212</v>
      </c>
      <c r="E124" s="220">
        <v>1</v>
      </c>
      <c r="F124" s="58"/>
      <c r="G124" s="58"/>
      <c r="H124" s="58"/>
      <c r="I124" s="58"/>
      <c r="J124" s="58"/>
      <c r="K124" s="58"/>
      <c r="L124" s="15">
        <v>18000</v>
      </c>
      <c r="M124" s="58">
        <f t="shared" ref="M124" si="161">+(L124*5.1%)+L124</f>
        <v>18918</v>
      </c>
      <c r="N124" s="15"/>
      <c r="O124" s="58"/>
      <c r="P124" s="15"/>
      <c r="Q124" s="58"/>
      <c r="R124" s="15"/>
      <c r="S124" s="58"/>
      <c r="T124" s="15"/>
      <c r="U124" s="58"/>
      <c r="V124" s="15"/>
      <c r="W124" s="58"/>
      <c r="X124" s="15"/>
      <c r="Y124" s="58"/>
      <c r="Z124" s="15"/>
      <c r="AA124" s="58"/>
      <c r="AB124" s="15"/>
      <c r="AC124" s="58"/>
      <c r="AD124" s="58">
        <v>16850.399999999998</v>
      </c>
      <c r="AE124" s="58">
        <f t="shared" ref="AE124" si="162">+(AD124*5.1%)+AD124</f>
        <v>17709.770399999998</v>
      </c>
      <c r="AF124" s="15"/>
      <c r="AG124" s="58"/>
      <c r="AH124" s="15"/>
      <c r="AI124" s="58"/>
      <c r="AJ124" s="15"/>
      <c r="AK124" s="58"/>
      <c r="AL124" s="15"/>
      <c r="AM124" s="58"/>
      <c r="AN124" s="15"/>
      <c r="AO124" s="58"/>
      <c r="AP124" s="15"/>
      <c r="AQ124" s="58"/>
      <c r="AR124" s="15"/>
      <c r="AS124" s="58"/>
      <c r="AT124" s="15"/>
      <c r="AU124" s="58"/>
      <c r="AV124" s="15"/>
      <c r="AW124" s="58"/>
      <c r="AX124" s="15"/>
      <c r="AY124" s="58"/>
      <c r="AZ124" s="15"/>
      <c r="BA124" s="58"/>
      <c r="BB124" s="15"/>
      <c r="BC124" s="58"/>
      <c r="BD124" s="15"/>
      <c r="BE124" s="58"/>
      <c r="BF124" s="15"/>
      <c r="BG124" s="58"/>
      <c r="BH124" s="15"/>
      <c r="BI124" s="58"/>
      <c r="BJ124" s="15"/>
      <c r="BK124" s="58"/>
      <c r="BL124" s="15"/>
      <c r="BM124" s="58"/>
      <c r="BN124" s="15"/>
      <c r="BO124" s="58"/>
      <c r="BP124" s="15"/>
      <c r="BQ124" s="58"/>
      <c r="BR124" s="15"/>
      <c r="BS124" s="58"/>
      <c r="BT124" s="15"/>
      <c r="BU124" s="58"/>
      <c r="BV124" s="15"/>
      <c r="BW124" s="58"/>
      <c r="BX124" s="15"/>
      <c r="BY124" s="58"/>
      <c r="BZ124" s="15"/>
      <c r="CA124" s="58"/>
      <c r="CB124" s="15"/>
      <c r="CC124" s="58"/>
      <c r="CD124" s="15"/>
      <c r="CE124" s="58"/>
      <c r="CF124" s="15"/>
      <c r="CG124" s="58"/>
      <c r="CH124" s="15"/>
      <c r="CI124" s="58"/>
      <c r="CJ124" s="15"/>
      <c r="CK124" s="58"/>
      <c r="CL124" s="15"/>
      <c r="CM124" s="58"/>
      <c r="CN124" s="15"/>
      <c r="CO124" s="58"/>
      <c r="CP124" s="15"/>
      <c r="CQ124" s="58"/>
      <c r="CR124" s="15"/>
      <c r="CS124" s="58"/>
      <c r="CT124" s="15"/>
      <c r="CU124" s="58"/>
      <c r="CV124" s="15"/>
      <c r="CW124" s="58"/>
      <c r="CX124" s="15"/>
      <c r="CY124" s="58"/>
      <c r="CZ124" s="15"/>
      <c r="DA124" s="58"/>
      <c r="DB124" s="15"/>
      <c r="DC124" s="58"/>
      <c r="DD124" s="15"/>
      <c r="DE124" s="58"/>
      <c r="DF124" s="15"/>
      <c r="DG124" s="58"/>
      <c r="DH124" s="15"/>
      <c r="DI124" s="58"/>
      <c r="DJ124" s="15"/>
      <c r="DK124" s="58"/>
      <c r="DL124" s="15"/>
      <c r="DM124" s="58"/>
      <c r="DN124" s="15"/>
      <c r="DO124" s="58"/>
      <c r="DP124" s="15"/>
      <c r="DQ124" s="58"/>
      <c r="DR124" s="15"/>
      <c r="DS124" s="58"/>
      <c r="DT124" s="15"/>
      <c r="DU124" s="58"/>
      <c r="DV124" s="15"/>
      <c r="DW124" s="58"/>
      <c r="DX124" s="15"/>
      <c r="DY124" s="58"/>
      <c r="DZ124" s="15"/>
      <c r="EA124" s="58"/>
      <c r="EB124" s="15"/>
      <c r="EC124" s="58"/>
      <c r="ED124" s="15"/>
      <c r="EE124" s="58"/>
      <c r="EF124" s="222"/>
      <c r="EG124" s="56"/>
      <c r="EH124" s="222"/>
      <c r="EI124" s="224"/>
      <c r="EJ124" s="58"/>
      <c r="EK124" s="58"/>
      <c r="EL124" s="58"/>
      <c r="EM124" s="58"/>
      <c r="EN124" s="208" t="s">
        <v>209</v>
      </c>
      <c r="EO124" s="246" t="s">
        <v>209</v>
      </c>
      <c r="EP124" s="246" t="s">
        <v>209</v>
      </c>
      <c r="EQ124" s="246" t="s">
        <v>209</v>
      </c>
      <c r="ER124" s="246"/>
      <c r="ES124" s="246"/>
      <c r="ET124" s="246"/>
      <c r="EU124" s="246"/>
      <c r="EV124" s="246"/>
      <c r="EW124" s="246"/>
      <c r="EX124" s="246"/>
      <c r="EY124" s="246"/>
      <c r="EZ124" s="246"/>
      <c r="FA124" s="246"/>
      <c r="FB124" s="63">
        <f>MEDIAN(M124,AE124)</f>
        <v>18313.885199999997</v>
      </c>
      <c r="FC124" s="63">
        <f>AVERAGE(M124,AE124)</f>
        <v>18313.885199999997</v>
      </c>
      <c r="FD124" s="64">
        <f>STDEV(M124,AE124)</f>
        <v>854.34734339031149</v>
      </c>
      <c r="FE124" s="65">
        <f t="shared" si="57"/>
        <v>4.6650251110578744E-2</v>
      </c>
      <c r="FF124" s="88">
        <f t="shared" si="60"/>
        <v>15389.915966386556</v>
      </c>
      <c r="FG124" s="88">
        <f t="shared" si="61"/>
        <v>2924.0840336134456</v>
      </c>
      <c r="FH124" s="74">
        <f t="shared" si="122"/>
        <v>18314</v>
      </c>
      <c r="FI124" s="260">
        <f t="shared" si="116"/>
        <v>18314</v>
      </c>
      <c r="FJ124" s="60" t="s">
        <v>1032</v>
      </c>
    </row>
    <row r="125" spans="1:166" s="40" customFormat="1" ht="85.5" customHeight="1" x14ac:dyDescent="0.35">
      <c r="A125" s="37">
        <v>119</v>
      </c>
      <c r="B125" s="210" t="s">
        <v>308</v>
      </c>
      <c r="C125" s="210" t="s">
        <v>1115</v>
      </c>
      <c r="D125" s="249" t="s">
        <v>64</v>
      </c>
      <c r="E125" s="220">
        <v>1</v>
      </c>
      <c r="F125" s="58"/>
      <c r="G125" s="58"/>
      <c r="H125" s="58"/>
      <c r="I125" s="58"/>
      <c r="J125" s="58"/>
      <c r="K125" s="58"/>
      <c r="L125" s="15"/>
      <c r="M125" s="58"/>
      <c r="N125" s="15"/>
      <c r="O125" s="58"/>
      <c r="P125" s="15"/>
      <c r="Q125" s="58"/>
      <c r="R125" s="15"/>
      <c r="S125" s="58"/>
      <c r="T125" s="15"/>
      <c r="U125" s="58"/>
      <c r="V125" s="15"/>
      <c r="W125" s="58"/>
      <c r="X125" s="15"/>
      <c r="Y125" s="58"/>
      <c r="Z125" s="15"/>
      <c r="AA125" s="58"/>
      <c r="AB125" s="15"/>
      <c r="AC125" s="58"/>
      <c r="AD125" s="58"/>
      <c r="AE125" s="58"/>
      <c r="AF125" s="15"/>
      <c r="AG125" s="58"/>
      <c r="AH125" s="15"/>
      <c r="AI125" s="58"/>
      <c r="AJ125" s="15"/>
      <c r="AK125" s="58"/>
      <c r="AL125" s="15"/>
      <c r="AM125" s="58"/>
      <c r="AN125" s="15"/>
      <c r="AO125" s="58"/>
      <c r="AP125" s="15"/>
      <c r="AQ125" s="58"/>
      <c r="AR125" s="15"/>
      <c r="AS125" s="58"/>
      <c r="AT125" s="15"/>
      <c r="AU125" s="58"/>
      <c r="AV125" s="15"/>
      <c r="AW125" s="58"/>
      <c r="AX125" s="15"/>
      <c r="AY125" s="58"/>
      <c r="AZ125" s="15"/>
      <c r="BA125" s="58"/>
      <c r="BB125" s="15"/>
      <c r="BC125" s="58"/>
      <c r="BD125" s="15"/>
      <c r="BE125" s="58"/>
      <c r="BF125" s="15"/>
      <c r="BG125" s="58"/>
      <c r="BH125" s="15"/>
      <c r="BI125" s="58"/>
      <c r="BJ125" s="15"/>
      <c r="BK125" s="58"/>
      <c r="BL125" s="15"/>
      <c r="BM125" s="58"/>
      <c r="BN125" s="15"/>
      <c r="BO125" s="58"/>
      <c r="BP125" s="15"/>
      <c r="BQ125" s="58"/>
      <c r="BR125" s="15"/>
      <c r="BS125" s="58"/>
      <c r="BT125" s="15"/>
      <c r="BU125" s="58"/>
      <c r="BV125" s="15"/>
      <c r="BW125" s="58"/>
      <c r="BX125" s="15"/>
      <c r="BY125" s="58"/>
      <c r="BZ125" s="15"/>
      <c r="CA125" s="58"/>
      <c r="CB125" s="15"/>
      <c r="CC125" s="58"/>
      <c r="CD125" s="15"/>
      <c r="CE125" s="58"/>
      <c r="CF125" s="15"/>
      <c r="CG125" s="58"/>
      <c r="CH125" s="15"/>
      <c r="CI125" s="58"/>
      <c r="CJ125" s="15">
        <v>3767</v>
      </c>
      <c r="CK125" s="58">
        <f t="shared" ref="CK125" si="163">+(CJ125*5.1%)+CJ125</f>
        <v>3959.1170000000002</v>
      </c>
      <c r="CL125" s="15">
        <f>+(3000*26%)+3000</f>
        <v>3780</v>
      </c>
      <c r="CM125" s="58">
        <f t="shared" ref="CM125" si="164">+(CL125*5.1%)+CL125</f>
        <v>3972.78</v>
      </c>
      <c r="CN125" s="15"/>
      <c r="CO125" s="58"/>
      <c r="CP125" s="15"/>
      <c r="CQ125" s="58"/>
      <c r="CR125" s="15"/>
      <c r="CS125" s="58"/>
      <c r="CT125" s="15"/>
      <c r="CU125" s="58"/>
      <c r="CV125" s="15"/>
      <c r="CW125" s="58"/>
      <c r="CX125" s="15"/>
      <c r="CY125" s="58"/>
      <c r="CZ125" s="15"/>
      <c r="DA125" s="58"/>
      <c r="DB125" s="15"/>
      <c r="DC125" s="58"/>
      <c r="DD125" s="15"/>
      <c r="DE125" s="58"/>
      <c r="DF125" s="15"/>
      <c r="DG125" s="58"/>
      <c r="DH125" s="15"/>
      <c r="DI125" s="58"/>
      <c r="DJ125" s="15"/>
      <c r="DK125" s="58"/>
      <c r="DL125" s="15"/>
      <c r="DM125" s="58"/>
      <c r="DN125" s="15"/>
      <c r="DO125" s="58"/>
      <c r="DP125" s="15"/>
      <c r="DQ125" s="58"/>
      <c r="DR125" s="15"/>
      <c r="DS125" s="58"/>
      <c r="DT125" s="15"/>
      <c r="DU125" s="58"/>
      <c r="DV125" s="15"/>
      <c r="DW125" s="58"/>
      <c r="DX125" s="15"/>
      <c r="DY125" s="58"/>
      <c r="DZ125" s="15"/>
      <c r="EA125" s="58"/>
      <c r="EB125" s="15"/>
      <c r="EC125" s="58"/>
      <c r="ED125" s="15"/>
      <c r="EE125" s="58"/>
      <c r="EF125" s="222"/>
      <c r="EG125" s="56"/>
      <c r="EH125" s="222"/>
      <c r="EI125" s="224"/>
      <c r="EJ125" s="58"/>
      <c r="EK125" s="58"/>
      <c r="EL125" s="58"/>
      <c r="EM125" s="58"/>
      <c r="EN125" s="208" t="s">
        <v>209</v>
      </c>
      <c r="EO125" s="246" t="s">
        <v>209</v>
      </c>
      <c r="EP125" s="246" t="s">
        <v>209</v>
      </c>
      <c r="EQ125" s="246" t="s">
        <v>209</v>
      </c>
      <c r="ER125" s="246"/>
      <c r="ES125" s="246"/>
      <c r="ET125" s="246"/>
      <c r="EU125" s="246"/>
      <c r="EV125" s="246"/>
      <c r="EW125" s="246"/>
      <c r="EX125" s="246"/>
      <c r="EY125" s="246"/>
      <c r="EZ125" s="246"/>
      <c r="FA125" s="246"/>
      <c r="FB125" s="63">
        <f>MEDIAN(CK125,CM125)</f>
        <v>3965.9485000000004</v>
      </c>
      <c r="FC125" s="63">
        <f>AVERAGE(CK125,CM125)</f>
        <v>3965.9485000000004</v>
      </c>
      <c r="FD125" s="64">
        <f>STDEV(CK125,CM125)</f>
        <v>9.6611999513518061</v>
      </c>
      <c r="FE125" s="65">
        <f t="shared" si="57"/>
        <v>2.4360376720352784E-3</v>
      </c>
      <c r="FF125" s="88">
        <f t="shared" si="60"/>
        <v>3332.7731092436975</v>
      </c>
      <c r="FG125" s="88">
        <f t="shared" si="61"/>
        <v>633.22689075630251</v>
      </c>
      <c r="FH125" s="74">
        <f t="shared" si="122"/>
        <v>3966</v>
      </c>
      <c r="FI125" s="260">
        <f t="shared" si="116"/>
        <v>3966</v>
      </c>
      <c r="FJ125" s="60" t="s">
        <v>1032</v>
      </c>
    </row>
    <row r="126" spans="1:166" s="40" customFormat="1" ht="85.5" customHeight="1" x14ac:dyDescent="0.35">
      <c r="A126" s="36">
        <v>120</v>
      </c>
      <c r="B126" s="210" t="s">
        <v>309</v>
      </c>
      <c r="C126" s="210" t="s">
        <v>980</v>
      </c>
      <c r="D126" s="249" t="s">
        <v>64</v>
      </c>
      <c r="E126" s="220">
        <v>1</v>
      </c>
      <c r="F126" s="58"/>
      <c r="G126" s="58"/>
      <c r="H126" s="58"/>
      <c r="I126" s="58"/>
      <c r="J126" s="58"/>
      <c r="K126" s="58"/>
      <c r="L126" s="15"/>
      <c r="M126" s="58"/>
      <c r="N126" s="15"/>
      <c r="O126" s="58"/>
      <c r="P126" s="15"/>
      <c r="Q126" s="58"/>
      <c r="R126" s="15"/>
      <c r="S126" s="58"/>
      <c r="T126" s="15"/>
      <c r="U126" s="58"/>
      <c r="V126" s="15"/>
      <c r="W126" s="58"/>
      <c r="X126" s="15"/>
      <c r="Y126" s="58"/>
      <c r="Z126" s="15"/>
      <c r="AA126" s="58"/>
      <c r="AB126" s="15"/>
      <c r="AC126" s="58"/>
      <c r="AD126" s="58">
        <v>47181.119999999995</v>
      </c>
      <c r="AE126" s="58">
        <f t="shared" ref="AE126" si="165">+(AD126*5.1%)+AD126</f>
        <v>49587.357119999993</v>
      </c>
      <c r="AF126" s="15"/>
      <c r="AG126" s="58"/>
      <c r="AH126" s="15"/>
      <c r="AI126" s="58"/>
      <c r="AJ126" s="15"/>
      <c r="AK126" s="58"/>
      <c r="AL126" s="15"/>
      <c r="AM126" s="58"/>
      <c r="AN126" s="15"/>
      <c r="AO126" s="58"/>
      <c r="AP126" s="15"/>
      <c r="AQ126" s="58"/>
      <c r="AR126" s="15"/>
      <c r="AS126" s="58"/>
      <c r="AT126" s="15"/>
      <c r="AU126" s="58"/>
      <c r="AV126" s="15"/>
      <c r="AW126" s="58"/>
      <c r="AX126" s="15"/>
      <c r="AY126" s="58"/>
      <c r="AZ126" s="15"/>
      <c r="BA126" s="58"/>
      <c r="BB126" s="15"/>
      <c r="BC126" s="58"/>
      <c r="BD126" s="15"/>
      <c r="BE126" s="58"/>
      <c r="BF126" s="15"/>
      <c r="BG126" s="58"/>
      <c r="BH126" s="15"/>
      <c r="BI126" s="58"/>
      <c r="BJ126" s="15"/>
      <c r="BK126" s="58"/>
      <c r="BL126" s="15"/>
      <c r="BM126" s="58"/>
      <c r="BN126" s="15"/>
      <c r="BO126" s="58"/>
      <c r="BP126" s="15"/>
      <c r="BQ126" s="58"/>
      <c r="BR126" s="15"/>
      <c r="BS126" s="58"/>
      <c r="BT126" s="15"/>
      <c r="BU126" s="58"/>
      <c r="BV126" s="15"/>
      <c r="BW126" s="58"/>
      <c r="BX126" s="15"/>
      <c r="BY126" s="58"/>
      <c r="BZ126" s="15"/>
      <c r="CA126" s="58"/>
      <c r="CB126" s="15"/>
      <c r="CC126" s="58"/>
      <c r="CD126" s="15"/>
      <c r="CE126" s="58"/>
      <c r="CF126" s="15"/>
      <c r="CG126" s="58"/>
      <c r="CH126" s="15"/>
      <c r="CI126" s="58"/>
      <c r="CJ126" s="15"/>
      <c r="CK126" s="58"/>
      <c r="CL126" s="15"/>
      <c r="CM126" s="58"/>
      <c r="CN126" s="15"/>
      <c r="CO126" s="58"/>
      <c r="CP126" s="15"/>
      <c r="CQ126" s="58"/>
      <c r="CR126" s="15"/>
      <c r="CS126" s="58"/>
      <c r="CT126" s="15"/>
      <c r="CU126" s="58"/>
      <c r="CV126" s="15"/>
      <c r="CW126" s="58"/>
      <c r="CX126" s="15"/>
      <c r="CY126" s="58"/>
      <c r="CZ126" s="15">
        <v>52800</v>
      </c>
      <c r="DA126" s="58">
        <f t="shared" ref="DA126" si="166">+(CZ126*5.1%)+CZ126</f>
        <v>55492.800000000003</v>
      </c>
      <c r="DB126" s="15"/>
      <c r="DC126" s="58"/>
      <c r="DD126" s="15"/>
      <c r="DE126" s="58"/>
      <c r="DF126" s="15"/>
      <c r="DG126" s="58"/>
      <c r="DH126" s="15"/>
      <c r="DI126" s="58"/>
      <c r="DJ126" s="15"/>
      <c r="DK126" s="58"/>
      <c r="DL126" s="15"/>
      <c r="DM126" s="58"/>
      <c r="DN126" s="15"/>
      <c r="DO126" s="58"/>
      <c r="DP126" s="15"/>
      <c r="DQ126" s="58"/>
      <c r="DR126" s="15"/>
      <c r="DS126" s="58"/>
      <c r="DT126" s="15"/>
      <c r="DU126" s="58"/>
      <c r="DV126" s="15"/>
      <c r="DW126" s="58"/>
      <c r="DX126" s="15"/>
      <c r="DY126" s="58"/>
      <c r="DZ126" s="15"/>
      <c r="EA126" s="58"/>
      <c r="EB126" s="15"/>
      <c r="EC126" s="58"/>
      <c r="ED126" s="15"/>
      <c r="EE126" s="58"/>
      <c r="EF126" s="222"/>
      <c r="EG126" s="56"/>
      <c r="EH126" s="222"/>
      <c r="EI126" s="224"/>
      <c r="EJ126" s="58"/>
      <c r="EK126" s="58"/>
      <c r="EL126" s="58"/>
      <c r="EM126" s="58"/>
      <c r="EN126" s="208" t="s">
        <v>209</v>
      </c>
      <c r="EO126" s="246" t="s">
        <v>209</v>
      </c>
      <c r="EP126" s="246" t="s">
        <v>209</v>
      </c>
      <c r="EQ126" s="246" t="s">
        <v>209</v>
      </c>
      <c r="ER126" s="246"/>
      <c r="ES126" s="246"/>
      <c r="ET126" s="246"/>
      <c r="EU126" s="246"/>
      <c r="EV126" s="246"/>
      <c r="EW126" s="246"/>
      <c r="EX126" s="246"/>
      <c r="EY126" s="246"/>
      <c r="EZ126" s="246"/>
      <c r="FA126" s="246"/>
      <c r="FB126" s="63">
        <f>MEDIAN(AE126,DA126)</f>
        <v>52540.078559999994</v>
      </c>
      <c r="FC126" s="63">
        <f>AVERAGE(AE126,DA126)</f>
        <v>52540.078559999994</v>
      </c>
      <c r="FD126" s="64">
        <f>STDEV(AE126,DA126)</f>
        <v>4175.7787063578216</v>
      </c>
      <c r="FE126" s="65">
        <f t="shared" si="57"/>
        <v>7.9477968453913597E-2</v>
      </c>
      <c r="FF126" s="88">
        <f t="shared" si="60"/>
        <v>44152.100840336134</v>
      </c>
      <c r="FG126" s="88">
        <f t="shared" si="61"/>
        <v>8388.8991596638662</v>
      </c>
      <c r="FH126" s="74">
        <f t="shared" si="122"/>
        <v>52541</v>
      </c>
      <c r="FI126" s="260">
        <f t="shared" si="116"/>
        <v>52541</v>
      </c>
      <c r="FJ126" s="60" t="s">
        <v>1032</v>
      </c>
    </row>
    <row r="127" spans="1:166" s="40" customFormat="1" ht="85.5" customHeight="1" x14ac:dyDescent="0.35">
      <c r="A127" s="36">
        <v>121</v>
      </c>
      <c r="B127" s="210" t="s">
        <v>310</v>
      </c>
      <c r="C127" s="210" t="s">
        <v>981</v>
      </c>
      <c r="D127" s="249" t="s">
        <v>64</v>
      </c>
      <c r="E127" s="220">
        <v>100</v>
      </c>
      <c r="F127" s="58"/>
      <c r="G127" s="58"/>
      <c r="H127" s="58"/>
      <c r="I127" s="58"/>
      <c r="J127" s="58"/>
      <c r="K127" s="58"/>
      <c r="L127" s="15"/>
      <c r="M127" s="58"/>
      <c r="N127" s="15"/>
      <c r="O127" s="58"/>
      <c r="P127" s="15"/>
      <c r="Q127" s="58"/>
      <c r="R127" s="15"/>
      <c r="S127" s="58"/>
      <c r="T127" s="15"/>
      <c r="U127" s="58"/>
      <c r="V127" s="15"/>
      <c r="W127" s="58"/>
      <c r="X127" s="15"/>
      <c r="Y127" s="58"/>
      <c r="Z127" s="15"/>
      <c r="AA127" s="58"/>
      <c r="AB127" s="15"/>
      <c r="AC127" s="58"/>
      <c r="AD127" s="58">
        <v>18382.3822</v>
      </c>
      <c r="AE127" s="58">
        <f t="shared" ref="AE127" si="167">+(AD127*5.1%)+AD127</f>
        <v>19319.883692200001</v>
      </c>
      <c r="AF127" s="15"/>
      <c r="AG127" s="58"/>
      <c r="AH127" s="15"/>
      <c r="AI127" s="58"/>
      <c r="AJ127" s="15"/>
      <c r="AK127" s="58"/>
      <c r="AL127" s="15"/>
      <c r="AM127" s="58"/>
      <c r="AN127" s="15"/>
      <c r="AO127" s="58"/>
      <c r="AP127" s="15"/>
      <c r="AQ127" s="58"/>
      <c r="AR127" s="15"/>
      <c r="AS127" s="58"/>
      <c r="AT127" s="15"/>
      <c r="AU127" s="58"/>
      <c r="AV127" s="15"/>
      <c r="AW127" s="58"/>
      <c r="AX127" s="15"/>
      <c r="AY127" s="58"/>
      <c r="AZ127" s="15"/>
      <c r="BA127" s="58"/>
      <c r="BB127" s="15"/>
      <c r="BC127" s="58"/>
      <c r="BD127" s="15"/>
      <c r="BE127" s="58"/>
      <c r="BF127" s="15"/>
      <c r="BG127" s="58"/>
      <c r="BH127" s="15"/>
      <c r="BI127" s="58"/>
      <c r="BJ127" s="15"/>
      <c r="BK127" s="58"/>
      <c r="BL127" s="15"/>
      <c r="BM127" s="58"/>
      <c r="BN127" s="15"/>
      <c r="BO127" s="58"/>
      <c r="BP127" s="15"/>
      <c r="BQ127" s="58"/>
      <c r="BR127" s="15"/>
      <c r="BS127" s="58"/>
      <c r="BT127" s="15"/>
      <c r="BU127" s="58"/>
      <c r="BV127" s="15"/>
      <c r="BW127" s="58"/>
      <c r="BX127" s="15"/>
      <c r="BY127" s="58"/>
      <c r="BZ127" s="15"/>
      <c r="CA127" s="58"/>
      <c r="CB127" s="15"/>
      <c r="CC127" s="58"/>
      <c r="CD127" s="15"/>
      <c r="CE127" s="58"/>
      <c r="CF127" s="15"/>
      <c r="CG127" s="58"/>
      <c r="CH127" s="15"/>
      <c r="CI127" s="58"/>
      <c r="CJ127" s="15">
        <v>15876</v>
      </c>
      <c r="CK127" s="58">
        <f t="shared" ref="CK127" si="168">+(CJ127*5.1%)+CJ127</f>
        <v>16685.675999999999</v>
      </c>
      <c r="CL127" s="15"/>
      <c r="CM127" s="58"/>
      <c r="CN127" s="15"/>
      <c r="CO127" s="58"/>
      <c r="CP127" s="15"/>
      <c r="CQ127" s="58"/>
      <c r="CR127" s="15"/>
      <c r="CS127" s="58"/>
      <c r="CT127" s="15"/>
      <c r="CU127" s="58"/>
      <c r="CV127" s="15"/>
      <c r="CW127" s="58"/>
      <c r="CX127" s="15"/>
      <c r="CY127" s="58"/>
      <c r="CZ127" s="15"/>
      <c r="DA127" s="58"/>
      <c r="DB127" s="15"/>
      <c r="DC127" s="58"/>
      <c r="DD127" s="15"/>
      <c r="DE127" s="58"/>
      <c r="DF127" s="15"/>
      <c r="DG127" s="58"/>
      <c r="DH127" s="15"/>
      <c r="DI127" s="58"/>
      <c r="DJ127" s="15"/>
      <c r="DK127" s="58"/>
      <c r="DL127" s="15"/>
      <c r="DM127" s="58"/>
      <c r="DN127" s="15"/>
      <c r="DO127" s="58"/>
      <c r="DP127" s="15"/>
      <c r="DQ127" s="58"/>
      <c r="DR127" s="15"/>
      <c r="DS127" s="58"/>
      <c r="DT127" s="15"/>
      <c r="DU127" s="58"/>
      <c r="DV127" s="15"/>
      <c r="DW127" s="58"/>
      <c r="DX127" s="15"/>
      <c r="DY127" s="58"/>
      <c r="DZ127" s="15"/>
      <c r="EA127" s="58"/>
      <c r="EB127" s="15"/>
      <c r="EC127" s="58"/>
      <c r="ED127" s="15"/>
      <c r="EE127" s="58"/>
      <c r="EF127" s="222"/>
      <c r="EG127" s="56"/>
      <c r="EH127" s="222"/>
      <c r="EI127" s="224"/>
      <c r="EJ127" s="58"/>
      <c r="EK127" s="58"/>
      <c r="EL127" s="58"/>
      <c r="EM127" s="58"/>
      <c r="EN127" s="208" t="s">
        <v>209</v>
      </c>
      <c r="EO127" s="246" t="s">
        <v>209</v>
      </c>
      <c r="EP127" s="246" t="s">
        <v>209</v>
      </c>
      <c r="EQ127" s="246" t="s">
        <v>209</v>
      </c>
      <c r="ER127" s="246"/>
      <c r="ES127" s="246"/>
      <c r="ET127" s="246"/>
      <c r="EU127" s="246"/>
      <c r="EV127" s="246"/>
      <c r="EW127" s="246"/>
      <c r="EX127" s="246"/>
      <c r="EY127" s="246"/>
      <c r="EZ127" s="246"/>
      <c r="FA127" s="246"/>
      <c r="FB127" s="63">
        <f>MEDIAN(AE127,CK127)</f>
        <v>18002.779846099998</v>
      </c>
      <c r="FC127" s="63">
        <f>AVERAGE(AE127,CK127)</f>
        <v>18002.779846099998</v>
      </c>
      <c r="FD127" s="64">
        <f>STDEV(AE127,CK127)</f>
        <v>1862.6661222083867</v>
      </c>
      <c r="FE127" s="65">
        <f t="shared" si="57"/>
        <v>0.10346547245101718</v>
      </c>
      <c r="FF127" s="88">
        <f t="shared" si="60"/>
        <v>15128.571428571429</v>
      </c>
      <c r="FG127" s="88">
        <f t="shared" si="61"/>
        <v>2874.4285714285716</v>
      </c>
      <c r="FH127" s="74">
        <f t="shared" si="122"/>
        <v>18003</v>
      </c>
      <c r="FI127" s="260">
        <f t="shared" si="116"/>
        <v>1800300</v>
      </c>
      <c r="FJ127" s="60" t="s">
        <v>1032</v>
      </c>
    </row>
    <row r="128" spans="1:166" s="40" customFormat="1" ht="85.5" customHeight="1" x14ac:dyDescent="0.35">
      <c r="A128" s="37">
        <v>122</v>
      </c>
      <c r="B128" s="210" t="s">
        <v>311</v>
      </c>
      <c r="C128" s="210" t="s">
        <v>1116</v>
      </c>
      <c r="D128" s="249" t="s">
        <v>64</v>
      </c>
      <c r="E128" s="220">
        <v>100</v>
      </c>
      <c r="F128" s="58"/>
      <c r="G128" s="58"/>
      <c r="H128" s="58"/>
      <c r="I128" s="58"/>
      <c r="J128" s="58"/>
      <c r="K128" s="58"/>
      <c r="L128" s="15"/>
      <c r="M128" s="58"/>
      <c r="N128" s="15"/>
      <c r="O128" s="58"/>
      <c r="P128" s="15"/>
      <c r="Q128" s="58"/>
      <c r="R128" s="15"/>
      <c r="S128" s="58"/>
      <c r="T128" s="15"/>
      <c r="U128" s="58"/>
      <c r="V128" s="15"/>
      <c r="W128" s="58"/>
      <c r="X128" s="15"/>
      <c r="Y128" s="58"/>
      <c r="Z128" s="15"/>
      <c r="AA128" s="58"/>
      <c r="AB128" s="15"/>
      <c r="AC128" s="58"/>
      <c r="AD128" s="58"/>
      <c r="AE128" s="58">
        <f t="shared" ref="AE128" si="169">+(AD128*5.1%)+AD128</f>
        <v>0</v>
      </c>
      <c r="AF128" s="15"/>
      <c r="AG128" s="58"/>
      <c r="AH128" s="15"/>
      <c r="AI128" s="58"/>
      <c r="AJ128" s="15"/>
      <c r="AK128" s="58"/>
      <c r="AL128" s="15"/>
      <c r="AM128" s="58"/>
      <c r="AN128" s="15"/>
      <c r="AO128" s="58"/>
      <c r="AP128" s="15"/>
      <c r="AQ128" s="58"/>
      <c r="AR128" s="15"/>
      <c r="AS128" s="58"/>
      <c r="AT128" s="15"/>
      <c r="AU128" s="58"/>
      <c r="AV128" s="15"/>
      <c r="AW128" s="58"/>
      <c r="AX128" s="15"/>
      <c r="AY128" s="58"/>
      <c r="AZ128" s="15"/>
      <c r="BA128" s="58"/>
      <c r="BB128" s="15"/>
      <c r="BC128" s="58"/>
      <c r="BD128" s="15"/>
      <c r="BE128" s="58"/>
      <c r="BF128" s="15"/>
      <c r="BG128" s="58"/>
      <c r="BH128" s="15"/>
      <c r="BI128" s="58"/>
      <c r="BJ128" s="15"/>
      <c r="BK128" s="58"/>
      <c r="BL128" s="15"/>
      <c r="BM128" s="58"/>
      <c r="BN128" s="15"/>
      <c r="BO128" s="58"/>
      <c r="BP128" s="15"/>
      <c r="BQ128" s="58"/>
      <c r="BR128" s="15"/>
      <c r="BS128" s="58"/>
      <c r="BT128" s="15"/>
      <c r="BU128" s="58"/>
      <c r="BV128" s="15"/>
      <c r="BW128" s="58"/>
      <c r="BX128" s="15"/>
      <c r="BY128" s="58"/>
      <c r="BZ128" s="15"/>
      <c r="CA128" s="58"/>
      <c r="CB128" s="15"/>
      <c r="CC128" s="58"/>
      <c r="CD128" s="15"/>
      <c r="CE128" s="58"/>
      <c r="CF128" s="15"/>
      <c r="CG128" s="58"/>
      <c r="CH128" s="15"/>
      <c r="CI128" s="58"/>
      <c r="CJ128" s="15">
        <v>15943</v>
      </c>
      <c r="CK128" s="58">
        <f t="shared" ref="CK128" si="170">+(CJ128*5.1%)+CJ128</f>
        <v>16756.093000000001</v>
      </c>
      <c r="CL128" s="15"/>
      <c r="CM128" s="58"/>
      <c r="CN128" s="15"/>
      <c r="CO128" s="58"/>
      <c r="CP128" s="15"/>
      <c r="CQ128" s="58"/>
      <c r="CR128" s="15"/>
      <c r="CS128" s="58"/>
      <c r="CT128" s="15"/>
      <c r="CU128" s="58"/>
      <c r="CV128" s="15"/>
      <c r="CW128" s="58"/>
      <c r="CX128" s="15"/>
      <c r="CY128" s="58"/>
      <c r="CZ128" s="15"/>
      <c r="DA128" s="58"/>
      <c r="DB128" s="15"/>
      <c r="DC128" s="58"/>
      <c r="DD128" s="15"/>
      <c r="DE128" s="58"/>
      <c r="DF128" s="15"/>
      <c r="DG128" s="58"/>
      <c r="DH128" s="15"/>
      <c r="DI128" s="58"/>
      <c r="DJ128" s="15"/>
      <c r="DK128" s="58"/>
      <c r="DL128" s="15"/>
      <c r="DM128" s="58"/>
      <c r="DN128" s="15"/>
      <c r="DO128" s="58"/>
      <c r="DP128" s="15"/>
      <c r="DQ128" s="58"/>
      <c r="DR128" s="15"/>
      <c r="DS128" s="58"/>
      <c r="DT128" s="15"/>
      <c r="DU128" s="58"/>
      <c r="DV128" s="15">
        <v>12733</v>
      </c>
      <c r="DW128" s="58">
        <f t="shared" ref="DW128" si="171">+(DV128*5.1%)+DV128</f>
        <v>13382.383</v>
      </c>
      <c r="DX128" s="15"/>
      <c r="DY128" s="58"/>
      <c r="DZ128" s="15"/>
      <c r="EA128" s="58"/>
      <c r="EB128" s="15"/>
      <c r="EC128" s="58"/>
      <c r="ED128" s="15"/>
      <c r="EE128" s="241"/>
      <c r="EF128" s="12">
        <v>23000</v>
      </c>
      <c r="EG128" s="325">
        <v>24000</v>
      </c>
      <c r="EH128" s="318">
        <v>22000</v>
      </c>
      <c r="EI128" s="224"/>
      <c r="EJ128" s="58"/>
      <c r="EK128" s="58"/>
      <c r="EL128" s="58"/>
      <c r="EM128" s="58"/>
      <c r="EN128" s="208" t="s">
        <v>209</v>
      </c>
      <c r="EO128" s="246" t="s">
        <v>209</v>
      </c>
      <c r="EP128" s="246" t="s">
        <v>209</v>
      </c>
      <c r="EQ128" s="246" t="s">
        <v>209</v>
      </c>
      <c r="ER128" s="246"/>
      <c r="ES128" s="246"/>
      <c r="ET128" s="246"/>
      <c r="EU128" s="246"/>
      <c r="EV128" s="246"/>
      <c r="EW128" s="246"/>
      <c r="EX128" s="246"/>
      <c r="EY128" s="246"/>
      <c r="EZ128" s="246"/>
      <c r="FA128" s="246"/>
      <c r="FB128" s="63">
        <f>MEDIAN(CK128,DW128,EF128,EG128,EH128)</f>
        <v>22000</v>
      </c>
      <c r="FC128" s="63">
        <f>AVERAGE(CK128,DW128,EF128,EG128,EH128)</f>
        <v>19827.695199999998</v>
      </c>
      <c r="FD128" s="64">
        <f>STDEV(CK128,DW128,EF128,EG128,EH128)</f>
        <v>4559.8065381884062</v>
      </c>
      <c r="FE128" s="65">
        <f t="shared" si="57"/>
        <v>0.22997158732742706</v>
      </c>
      <c r="FF128" s="88">
        <f t="shared" si="60"/>
        <v>18487.394957983193</v>
      </c>
      <c r="FG128" s="88">
        <f t="shared" si="61"/>
        <v>3512.6050420168067</v>
      </c>
      <c r="FH128" s="74">
        <f t="shared" si="122"/>
        <v>22000</v>
      </c>
      <c r="FI128" s="260">
        <f t="shared" ref="FI128:FI159" si="172">+FH128*E128</f>
        <v>2200000</v>
      </c>
      <c r="FJ128" s="60" t="s">
        <v>66</v>
      </c>
    </row>
    <row r="129" spans="1:166" s="40" customFormat="1" ht="85.5" customHeight="1" x14ac:dyDescent="0.35">
      <c r="A129" s="37">
        <v>123</v>
      </c>
      <c r="B129" s="210" t="s">
        <v>312</v>
      </c>
      <c r="C129" s="210" t="s">
        <v>982</v>
      </c>
      <c r="D129" s="249" t="s">
        <v>313</v>
      </c>
      <c r="E129" s="220">
        <v>80</v>
      </c>
      <c r="F129" s="58"/>
      <c r="G129" s="58"/>
      <c r="H129" s="58"/>
      <c r="I129" s="58"/>
      <c r="J129" s="58"/>
      <c r="K129" s="58"/>
      <c r="L129" s="15"/>
      <c r="M129" s="58"/>
      <c r="N129" s="15"/>
      <c r="O129" s="58"/>
      <c r="P129" s="15"/>
      <c r="Q129" s="58"/>
      <c r="R129" s="15"/>
      <c r="S129" s="58"/>
      <c r="T129" s="15"/>
      <c r="U129" s="58"/>
      <c r="V129" s="15"/>
      <c r="W129" s="58"/>
      <c r="X129" s="15"/>
      <c r="Y129" s="58"/>
      <c r="Z129" s="15"/>
      <c r="AA129" s="58"/>
      <c r="AB129" s="15"/>
      <c r="AC129" s="58"/>
      <c r="AD129" s="58"/>
      <c r="AE129" s="58"/>
      <c r="AF129" s="15"/>
      <c r="AG129" s="58"/>
      <c r="AH129" s="15"/>
      <c r="AI129" s="58"/>
      <c r="AJ129" s="15"/>
      <c r="AK129" s="58"/>
      <c r="AL129" s="15"/>
      <c r="AM129" s="58"/>
      <c r="AN129" s="15"/>
      <c r="AO129" s="58"/>
      <c r="AP129" s="15"/>
      <c r="AQ129" s="58"/>
      <c r="AR129" s="15"/>
      <c r="AS129" s="58"/>
      <c r="AT129" s="15"/>
      <c r="AU129" s="58"/>
      <c r="AV129" s="15"/>
      <c r="AW129" s="58"/>
      <c r="AX129" s="15"/>
      <c r="AY129" s="58"/>
      <c r="AZ129" s="15"/>
      <c r="BA129" s="58"/>
      <c r="BB129" s="15"/>
      <c r="BC129" s="58"/>
      <c r="BD129" s="15"/>
      <c r="BE129" s="58"/>
      <c r="BF129" s="15"/>
      <c r="BG129" s="58"/>
      <c r="BH129" s="15"/>
      <c r="BI129" s="58"/>
      <c r="BJ129" s="15"/>
      <c r="BK129" s="58"/>
      <c r="BL129" s="15"/>
      <c r="BM129" s="58"/>
      <c r="BN129" s="15"/>
      <c r="BO129" s="58"/>
      <c r="BP129" s="15"/>
      <c r="BQ129" s="58"/>
      <c r="BR129" s="15"/>
      <c r="BS129" s="58"/>
      <c r="BT129" s="15"/>
      <c r="BU129" s="58"/>
      <c r="BV129" s="15"/>
      <c r="BW129" s="58"/>
      <c r="BX129" s="15"/>
      <c r="BY129" s="58"/>
      <c r="BZ129" s="15"/>
      <c r="CA129" s="58"/>
      <c r="CB129" s="15"/>
      <c r="CC129" s="58"/>
      <c r="CD129" s="15"/>
      <c r="CE129" s="58"/>
      <c r="CF129" s="15"/>
      <c r="CG129" s="58"/>
      <c r="CH129" s="15"/>
      <c r="CI129" s="58"/>
      <c r="CJ129" s="15"/>
      <c r="CK129" s="58"/>
      <c r="CL129" s="15"/>
      <c r="CM129" s="58"/>
      <c r="CN129" s="15"/>
      <c r="CO129" s="58"/>
      <c r="CP129" s="15"/>
      <c r="CQ129" s="58"/>
      <c r="CR129" s="15"/>
      <c r="CS129" s="58"/>
      <c r="CT129" s="15"/>
      <c r="CU129" s="58"/>
      <c r="CV129" s="15"/>
      <c r="CW129" s="58"/>
      <c r="CX129" s="15"/>
      <c r="CY129" s="58"/>
      <c r="CZ129" s="15"/>
      <c r="DA129" s="58"/>
      <c r="DB129" s="15"/>
      <c r="DC129" s="58"/>
      <c r="DD129" s="15"/>
      <c r="DE129" s="58"/>
      <c r="DF129" s="15"/>
      <c r="DG129" s="58"/>
      <c r="DH129" s="15"/>
      <c r="DI129" s="58"/>
      <c r="DJ129" s="15"/>
      <c r="DK129" s="58"/>
      <c r="DL129" s="15"/>
      <c r="DM129" s="58"/>
      <c r="DN129" s="15"/>
      <c r="DO129" s="58"/>
      <c r="DP129" s="15"/>
      <c r="DQ129" s="58"/>
      <c r="DR129" s="15"/>
      <c r="DS129" s="58"/>
      <c r="DT129" s="15"/>
      <c r="DU129" s="58"/>
      <c r="DV129" s="15"/>
      <c r="DW129" s="58">
        <f t="shared" ref="DW129" si="173">+(DV129*5.1%)+DV129</f>
        <v>0</v>
      </c>
      <c r="DX129" s="15"/>
      <c r="DY129" s="58"/>
      <c r="DZ129" s="15"/>
      <c r="EA129" s="58"/>
      <c r="EB129" s="15"/>
      <c r="EC129" s="58"/>
      <c r="ED129" s="15"/>
      <c r="EE129" s="217"/>
      <c r="EF129" s="8">
        <v>19000</v>
      </c>
      <c r="EG129" s="312">
        <v>17000</v>
      </c>
      <c r="EH129" s="236">
        <v>18000</v>
      </c>
      <c r="EI129" s="224"/>
      <c r="EJ129" s="228"/>
      <c r="EK129" s="228"/>
      <c r="EL129" s="228"/>
      <c r="EM129" s="228"/>
      <c r="EN129" s="208" t="s">
        <v>209</v>
      </c>
      <c r="EO129" s="246" t="s">
        <v>209</v>
      </c>
      <c r="EP129" s="246" t="s">
        <v>209</v>
      </c>
      <c r="EQ129" s="246" t="s">
        <v>209</v>
      </c>
      <c r="ER129" s="246"/>
      <c r="ES129" s="246"/>
      <c r="ET129" s="246"/>
      <c r="EU129" s="246"/>
      <c r="EV129" s="246"/>
      <c r="EW129" s="246"/>
      <c r="EX129" s="246"/>
      <c r="EY129" s="246"/>
      <c r="EZ129" s="246"/>
      <c r="FA129" s="246"/>
      <c r="FB129" s="59">
        <f t="shared" ref="FB129:FB138" si="174">MEDIAN(EF129,EG129,EH129)</f>
        <v>18000</v>
      </c>
      <c r="FC129" s="59">
        <f t="shared" ref="FC129:FC138" si="175">AVERAGE(EF129,EG129,EH129)</f>
        <v>18000</v>
      </c>
      <c r="FD129" s="60">
        <f t="shared" ref="FD129:FD138" si="176">STDEV(EF129,EG129,EH129)</f>
        <v>1000</v>
      </c>
      <c r="FE129" s="65">
        <f t="shared" si="57"/>
        <v>5.5555555555555552E-2</v>
      </c>
      <c r="FF129" s="88">
        <f t="shared" si="60"/>
        <v>15126.050420168069</v>
      </c>
      <c r="FG129" s="88">
        <f t="shared" si="61"/>
        <v>2873.9495798319331</v>
      </c>
      <c r="FH129" s="74">
        <f t="shared" si="122"/>
        <v>18000</v>
      </c>
      <c r="FI129" s="260">
        <f t="shared" si="172"/>
        <v>1440000</v>
      </c>
      <c r="FJ129" s="60" t="s">
        <v>65</v>
      </c>
    </row>
    <row r="130" spans="1:166" s="40" customFormat="1" ht="85.5" customHeight="1" x14ac:dyDescent="0.35">
      <c r="A130" s="37">
        <v>124</v>
      </c>
      <c r="B130" s="210" t="s">
        <v>314</v>
      </c>
      <c r="C130" s="210" t="s">
        <v>983</v>
      </c>
      <c r="D130" s="249" t="s">
        <v>127</v>
      </c>
      <c r="E130" s="220">
        <v>30</v>
      </c>
      <c r="F130" s="58"/>
      <c r="G130" s="58"/>
      <c r="H130" s="58"/>
      <c r="I130" s="58"/>
      <c r="J130" s="58"/>
      <c r="K130" s="58"/>
      <c r="L130" s="15"/>
      <c r="M130" s="58"/>
      <c r="N130" s="15"/>
      <c r="O130" s="58"/>
      <c r="P130" s="15"/>
      <c r="Q130" s="58"/>
      <c r="R130" s="15"/>
      <c r="S130" s="58"/>
      <c r="T130" s="15"/>
      <c r="U130" s="58"/>
      <c r="V130" s="15"/>
      <c r="W130" s="58"/>
      <c r="X130" s="15"/>
      <c r="Y130" s="58"/>
      <c r="Z130" s="15"/>
      <c r="AA130" s="58"/>
      <c r="AB130" s="15"/>
      <c r="AC130" s="58"/>
      <c r="AD130" s="15"/>
      <c r="AE130" s="58"/>
      <c r="AF130" s="15"/>
      <c r="AG130" s="58"/>
      <c r="AH130" s="15"/>
      <c r="AI130" s="58"/>
      <c r="AJ130" s="15"/>
      <c r="AK130" s="58"/>
      <c r="AL130" s="15"/>
      <c r="AM130" s="58"/>
      <c r="AN130" s="15"/>
      <c r="AO130" s="58"/>
      <c r="AP130" s="15"/>
      <c r="AQ130" s="58"/>
      <c r="AR130" s="15"/>
      <c r="AS130" s="58"/>
      <c r="AT130" s="15"/>
      <c r="AU130" s="58"/>
      <c r="AV130" s="15"/>
      <c r="AW130" s="58"/>
      <c r="AX130" s="15"/>
      <c r="AY130" s="58"/>
      <c r="AZ130" s="15"/>
      <c r="BA130" s="58"/>
      <c r="BB130" s="15"/>
      <c r="BC130" s="58"/>
      <c r="BD130" s="15"/>
      <c r="BE130" s="58"/>
      <c r="BF130" s="15"/>
      <c r="BG130" s="58"/>
      <c r="BH130" s="15"/>
      <c r="BI130" s="58"/>
      <c r="BJ130" s="15"/>
      <c r="BK130" s="58"/>
      <c r="BL130" s="15"/>
      <c r="BM130" s="58"/>
      <c r="BN130" s="15"/>
      <c r="BO130" s="58"/>
      <c r="BP130" s="15"/>
      <c r="BQ130" s="58"/>
      <c r="BR130" s="15"/>
      <c r="BS130" s="58"/>
      <c r="BT130" s="15"/>
      <c r="BU130" s="58"/>
      <c r="BV130" s="15"/>
      <c r="BW130" s="58"/>
      <c r="BX130" s="15"/>
      <c r="BY130" s="58"/>
      <c r="BZ130" s="15"/>
      <c r="CA130" s="58"/>
      <c r="CB130" s="15"/>
      <c r="CC130" s="58"/>
      <c r="CD130" s="15"/>
      <c r="CE130" s="58"/>
      <c r="CF130" s="15"/>
      <c r="CG130" s="58"/>
      <c r="CH130" s="15"/>
      <c r="CI130" s="58"/>
      <c r="CJ130" s="15"/>
      <c r="CK130" s="58"/>
      <c r="CL130" s="15"/>
      <c r="CM130" s="58"/>
      <c r="CN130" s="15"/>
      <c r="CO130" s="58"/>
      <c r="CP130" s="15"/>
      <c r="CQ130" s="58"/>
      <c r="CR130" s="15"/>
      <c r="CS130" s="58"/>
      <c r="CT130" s="15"/>
      <c r="CU130" s="58"/>
      <c r="CV130" s="15"/>
      <c r="CW130" s="58"/>
      <c r="CX130" s="15"/>
      <c r="CY130" s="58"/>
      <c r="CZ130" s="15"/>
      <c r="DA130" s="58"/>
      <c r="DB130" s="15"/>
      <c r="DC130" s="58"/>
      <c r="DD130" s="15"/>
      <c r="DE130" s="58"/>
      <c r="DF130" s="15"/>
      <c r="DG130" s="58"/>
      <c r="DH130" s="15"/>
      <c r="DI130" s="58"/>
      <c r="DJ130" s="15"/>
      <c r="DK130" s="58"/>
      <c r="DL130" s="15"/>
      <c r="DM130" s="58"/>
      <c r="DN130" s="15"/>
      <c r="DO130" s="58"/>
      <c r="DP130" s="15"/>
      <c r="DQ130" s="58"/>
      <c r="DR130" s="15"/>
      <c r="DS130" s="58"/>
      <c r="DT130" s="15"/>
      <c r="DU130" s="58"/>
      <c r="DV130" s="15"/>
      <c r="DW130" s="58">
        <f t="shared" ref="DW130" si="177">+(DV130*5.1%)+DV130</f>
        <v>0</v>
      </c>
      <c r="DX130" s="15"/>
      <c r="DY130" s="58"/>
      <c r="DZ130" s="15"/>
      <c r="EA130" s="58"/>
      <c r="EB130" s="15"/>
      <c r="EC130" s="58"/>
      <c r="ED130" s="15"/>
      <c r="EE130" s="217"/>
      <c r="EF130" s="8">
        <v>3500</v>
      </c>
      <c r="EG130" s="312">
        <v>2000</v>
      </c>
      <c r="EH130" s="236">
        <v>3000</v>
      </c>
      <c r="EI130" s="224"/>
      <c r="EJ130" s="228"/>
      <c r="EK130" s="228"/>
      <c r="EL130" s="228"/>
      <c r="EM130" s="228"/>
      <c r="EN130" s="208" t="s">
        <v>209</v>
      </c>
      <c r="EO130" s="246" t="s">
        <v>209</v>
      </c>
      <c r="EP130" s="246" t="s">
        <v>209</v>
      </c>
      <c r="EQ130" s="246" t="s">
        <v>209</v>
      </c>
      <c r="ER130" s="246"/>
      <c r="ES130" s="246"/>
      <c r="ET130" s="246"/>
      <c r="EU130" s="246"/>
      <c r="EV130" s="246"/>
      <c r="EW130" s="246"/>
      <c r="EX130" s="246"/>
      <c r="EY130" s="246"/>
      <c r="EZ130" s="246"/>
      <c r="FA130" s="246"/>
      <c r="FB130" s="59">
        <f t="shared" si="174"/>
        <v>3000</v>
      </c>
      <c r="FC130" s="59">
        <f t="shared" si="175"/>
        <v>2833.3333333333335</v>
      </c>
      <c r="FD130" s="60">
        <f t="shared" si="176"/>
        <v>763.76261582597374</v>
      </c>
      <c r="FE130" s="65">
        <f t="shared" si="57"/>
        <v>0.26956327617387305</v>
      </c>
      <c r="FF130" s="88">
        <f t="shared" si="60"/>
        <v>2521.0084033613448</v>
      </c>
      <c r="FG130" s="88">
        <f t="shared" si="61"/>
        <v>478.99159663865549</v>
      </c>
      <c r="FH130" s="74">
        <f t="shared" si="122"/>
        <v>3000</v>
      </c>
      <c r="FI130" s="260">
        <f t="shared" si="172"/>
        <v>90000</v>
      </c>
      <c r="FJ130" s="60" t="s">
        <v>66</v>
      </c>
    </row>
    <row r="131" spans="1:166" s="40" customFormat="1" ht="85.5" customHeight="1" x14ac:dyDescent="0.35">
      <c r="A131" s="36">
        <v>125</v>
      </c>
      <c r="B131" s="210" t="s">
        <v>315</v>
      </c>
      <c r="C131" s="210" t="s">
        <v>984</v>
      </c>
      <c r="D131" s="249" t="s">
        <v>64</v>
      </c>
      <c r="E131" s="220">
        <v>40</v>
      </c>
      <c r="F131" s="58"/>
      <c r="G131" s="58"/>
      <c r="H131" s="58"/>
      <c r="I131" s="58"/>
      <c r="J131" s="58"/>
      <c r="K131" s="58"/>
      <c r="L131" s="15"/>
      <c r="M131" s="58"/>
      <c r="N131" s="15"/>
      <c r="O131" s="58"/>
      <c r="P131" s="15"/>
      <c r="Q131" s="58"/>
      <c r="R131" s="15"/>
      <c r="S131" s="58"/>
      <c r="T131" s="15"/>
      <c r="U131" s="58"/>
      <c r="V131" s="15"/>
      <c r="W131" s="58"/>
      <c r="X131" s="15"/>
      <c r="Y131" s="58"/>
      <c r="Z131" s="15"/>
      <c r="AA131" s="58"/>
      <c r="AB131" s="15"/>
      <c r="AC131" s="58"/>
      <c r="AD131" s="58"/>
      <c r="AE131" s="58"/>
      <c r="AF131" s="15"/>
      <c r="AG131" s="58"/>
      <c r="AH131" s="15"/>
      <c r="AI131" s="58"/>
      <c r="AJ131" s="15"/>
      <c r="AK131" s="58"/>
      <c r="AL131" s="15"/>
      <c r="AM131" s="58"/>
      <c r="AN131" s="15"/>
      <c r="AO131" s="58"/>
      <c r="AP131" s="15"/>
      <c r="AQ131" s="58"/>
      <c r="AR131" s="15"/>
      <c r="AS131" s="58"/>
      <c r="AT131" s="15"/>
      <c r="AU131" s="58"/>
      <c r="AV131" s="15"/>
      <c r="AW131" s="58"/>
      <c r="AX131" s="15"/>
      <c r="AY131" s="58"/>
      <c r="AZ131" s="15"/>
      <c r="BA131" s="58"/>
      <c r="BB131" s="15"/>
      <c r="BC131" s="58"/>
      <c r="BD131" s="15"/>
      <c r="BE131" s="58"/>
      <c r="BF131" s="15"/>
      <c r="BG131" s="58"/>
      <c r="BH131" s="15"/>
      <c r="BI131" s="58"/>
      <c r="BJ131" s="15"/>
      <c r="BK131" s="58"/>
      <c r="BL131" s="15"/>
      <c r="BM131" s="58"/>
      <c r="BN131" s="15"/>
      <c r="BO131" s="58"/>
      <c r="BP131" s="15"/>
      <c r="BQ131" s="58"/>
      <c r="BR131" s="15"/>
      <c r="BS131" s="58"/>
      <c r="BT131" s="15"/>
      <c r="BU131" s="58"/>
      <c r="BV131" s="15"/>
      <c r="BW131" s="58"/>
      <c r="BX131" s="15"/>
      <c r="BY131" s="58"/>
      <c r="BZ131" s="15"/>
      <c r="CA131" s="58"/>
      <c r="CB131" s="15"/>
      <c r="CC131" s="58"/>
      <c r="CD131" s="15"/>
      <c r="CE131" s="58"/>
      <c r="CF131" s="15"/>
      <c r="CG131" s="58"/>
      <c r="CH131" s="15"/>
      <c r="CI131" s="58"/>
      <c r="CJ131" s="15"/>
      <c r="CK131" s="58"/>
      <c r="CL131" s="15"/>
      <c r="CM131" s="58"/>
      <c r="CN131" s="15"/>
      <c r="CO131" s="58"/>
      <c r="CP131" s="15"/>
      <c r="CQ131" s="58"/>
      <c r="CR131" s="15"/>
      <c r="CS131" s="58"/>
      <c r="CT131" s="15"/>
      <c r="CU131" s="58"/>
      <c r="CV131" s="15"/>
      <c r="CW131" s="58"/>
      <c r="CX131" s="15"/>
      <c r="CY131" s="58"/>
      <c r="CZ131" s="15"/>
      <c r="DA131" s="58"/>
      <c r="DB131" s="15"/>
      <c r="DC131" s="58"/>
      <c r="DD131" s="15"/>
      <c r="DE131" s="58"/>
      <c r="DF131" s="15"/>
      <c r="DG131" s="58"/>
      <c r="DH131" s="15"/>
      <c r="DI131" s="58"/>
      <c r="DJ131" s="15"/>
      <c r="DK131" s="58"/>
      <c r="DL131" s="15"/>
      <c r="DM131" s="58"/>
      <c r="DN131" s="15"/>
      <c r="DO131" s="58"/>
      <c r="DP131" s="15"/>
      <c r="DQ131" s="58"/>
      <c r="DR131" s="15"/>
      <c r="DS131" s="58"/>
      <c r="DT131" s="15"/>
      <c r="DU131" s="58"/>
      <c r="DV131" s="15"/>
      <c r="DW131" s="58"/>
      <c r="DX131" s="15"/>
      <c r="DY131" s="58"/>
      <c r="DZ131" s="15"/>
      <c r="EA131" s="58"/>
      <c r="EB131" s="15"/>
      <c r="EC131" s="58"/>
      <c r="ED131" s="15"/>
      <c r="EE131" s="217"/>
      <c r="EF131" s="8">
        <v>11000</v>
      </c>
      <c r="EG131" s="312">
        <v>8000</v>
      </c>
      <c r="EH131" s="236">
        <v>10000</v>
      </c>
      <c r="EI131" s="224"/>
      <c r="EJ131" s="228"/>
      <c r="EK131" s="228"/>
      <c r="EL131" s="228"/>
      <c r="EM131" s="228"/>
      <c r="EN131" s="208" t="s">
        <v>209</v>
      </c>
      <c r="EO131" s="246" t="s">
        <v>209</v>
      </c>
      <c r="EP131" s="246" t="s">
        <v>209</v>
      </c>
      <c r="EQ131" s="246" t="s">
        <v>209</v>
      </c>
      <c r="ER131" s="246"/>
      <c r="ES131" s="246"/>
      <c r="ET131" s="246"/>
      <c r="EU131" s="246"/>
      <c r="EV131" s="246"/>
      <c r="EW131" s="246"/>
      <c r="EX131" s="246"/>
      <c r="EY131" s="246"/>
      <c r="EZ131" s="246"/>
      <c r="FA131" s="246"/>
      <c r="FB131" s="59">
        <f t="shared" si="174"/>
        <v>10000</v>
      </c>
      <c r="FC131" s="59">
        <f t="shared" si="175"/>
        <v>9666.6666666666661</v>
      </c>
      <c r="FD131" s="60">
        <f t="shared" si="176"/>
        <v>1527.52523165195</v>
      </c>
      <c r="FE131" s="65">
        <f t="shared" si="57"/>
        <v>0.15801985155020173</v>
      </c>
      <c r="FF131" s="88">
        <f t="shared" si="60"/>
        <v>8403.361344537816</v>
      </c>
      <c r="FG131" s="88">
        <f t="shared" si="61"/>
        <v>1596.6386554621849</v>
      </c>
      <c r="FH131" s="74">
        <f t="shared" si="122"/>
        <v>10000</v>
      </c>
      <c r="FI131" s="260">
        <f t="shared" si="172"/>
        <v>400000</v>
      </c>
      <c r="FJ131" s="60" t="s">
        <v>66</v>
      </c>
    </row>
    <row r="132" spans="1:166" s="40" customFormat="1" ht="85.5" customHeight="1" x14ac:dyDescent="0.35">
      <c r="A132" s="37">
        <v>126</v>
      </c>
      <c r="B132" s="210" t="s">
        <v>316</v>
      </c>
      <c r="C132" s="210" t="s">
        <v>985</v>
      </c>
      <c r="D132" s="249" t="s">
        <v>317</v>
      </c>
      <c r="E132" s="220">
        <v>60</v>
      </c>
      <c r="F132" s="58"/>
      <c r="G132" s="58"/>
      <c r="H132" s="58"/>
      <c r="I132" s="58"/>
      <c r="J132" s="58"/>
      <c r="K132" s="58"/>
      <c r="L132" s="15"/>
      <c r="M132" s="58"/>
      <c r="N132" s="15"/>
      <c r="O132" s="58"/>
      <c r="P132" s="15"/>
      <c r="Q132" s="58"/>
      <c r="R132" s="15"/>
      <c r="S132" s="58"/>
      <c r="T132" s="15"/>
      <c r="U132" s="58"/>
      <c r="V132" s="15"/>
      <c r="W132" s="58"/>
      <c r="X132" s="15"/>
      <c r="Y132" s="58"/>
      <c r="Z132" s="15"/>
      <c r="AA132" s="58"/>
      <c r="AB132" s="15"/>
      <c r="AC132" s="58"/>
      <c r="AD132" s="58"/>
      <c r="AE132" s="58"/>
      <c r="AF132" s="15"/>
      <c r="AG132" s="58"/>
      <c r="AH132" s="15"/>
      <c r="AI132" s="58"/>
      <c r="AJ132" s="15"/>
      <c r="AK132" s="58"/>
      <c r="AL132" s="15"/>
      <c r="AM132" s="58"/>
      <c r="AN132" s="15"/>
      <c r="AO132" s="58"/>
      <c r="AP132" s="15"/>
      <c r="AQ132" s="58"/>
      <c r="AR132" s="15"/>
      <c r="AS132" s="58"/>
      <c r="AT132" s="15"/>
      <c r="AU132" s="58"/>
      <c r="AV132" s="15"/>
      <c r="AW132" s="58"/>
      <c r="AX132" s="15"/>
      <c r="AY132" s="58"/>
      <c r="AZ132" s="15"/>
      <c r="BA132" s="58"/>
      <c r="BB132" s="15"/>
      <c r="BC132" s="58"/>
      <c r="BD132" s="15"/>
      <c r="BE132" s="58"/>
      <c r="BF132" s="15"/>
      <c r="BG132" s="58"/>
      <c r="BH132" s="15"/>
      <c r="BI132" s="58"/>
      <c r="BJ132" s="15"/>
      <c r="BK132" s="58"/>
      <c r="BL132" s="15"/>
      <c r="BM132" s="58"/>
      <c r="BN132" s="15"/>
      <c r="BO132" s="58"/>
      <c r="BP132" s="15"/>
      <c r="BQ132" s="58"/>
      <c r="BR132" s="15"/>
      <c r="BS132" s="58"/>
      <c r="BT132" s="15"/>
      <c r="BU132" s="58"/>
      <c r="BV132" s="15"/>
      <c r="BW132" s="58"/>
      <c r="BX132" s="15"/>
      <c r="BY132" s="58"/>
      <c r="BZ132" s="15"/>
      <c r="CA132" s="58"/>
      <c r="CB132" s="15"/>
      <c r="CC132" s="58"/>
      <c r="CD132" s="15"/>
      <c r="CE132" s="58"/>
      <c r="CF132" s="15"/>
      <c r="CG132" s="58"/>
      <c r="CH132" s="15"/>
      <c r="CI132" s="58"/>
      <c r="CJ132" s="15"/>
      <c r="CK132" s="58"/>
      <c r="CL132" s="15"/>
      <c r="CM132" s="58"/>
      <c r="CN132" s="15"/>
      <c r="CO132" s="58"/>
      <c r="CP132" s="15"/>
      <c r="CQ132" s="58"/>
      <c r="CR132" s="15"/>
      <c r="CS132" s="58"/>
      <c r="CT132" s="15"/>
      <c r="CU132" s="58"/>
      <c r="CV132" s="15"/>
      <c r="CW132" s="58"/>
      <c r="CX132" s="15"/>
      <c r="CY132" s="58"/>
      <c r="CZ132" s="15"/>
      <c r="DA132" s="58"/>
      <c r="DB132" s="15"/>
      <c r="DC132" s="58"/>
      <c r="DD132" s="15"/>
      <c r="DE132" s="58"/>
      <c r="DF132" s="15"/>
      <c r="DG132" s="58"/>
      <c r="DH132" s="15"/>
      <c r="DI132" s="58"/>
      <c r="DJ132" s="15"/>
      <c r="DK132" s="58"/>
      <c r="DL132" s="15"/>
      <c r="DM132" s="58"/>
      <c r="DN132" s="15"/>
      <c r="DO132" s="58"/>
      <c r="DP132" s="15"/>
      <c r="DQ132" s="58"/>
      <c r="DR132" s="15"/>
      <c r="DS132" s="58"/>
      <c r="DT132" s="15"/>
      <c r="DU132" s="58"/>
      <c r="DV132" s="15"/>
      <c r="DW132" s="58"/>
      <c r="DX132" s="15"/>
      <c r="DY132" s="58"/>
      <c r="DZ132" s="15"/>
      <c r="EA132" s="58"/>
      <c r="EB132" s="15"/>
      <c r="EC132" s="58"/>
      <c r="ED132" s="15"/>
      <c r="EE132" s="217"/>
      <c r="EF132" s="8">
        <v>33000</v>
      </c>
      <c r="EG132" s="312">
        <v>31000</v>
      </c>
      <c r="EH132" s="236">
        <v>32000</v>
      </c>
      <c r="EI132" s="224"/>
      <c r="EJ132" s="228"/>
      <c r="EK132" s="228"/>
      <c r="EL132" s="228"/>
      <c r="EM132" s="228"/>
      <c r="EN132" s="208" t="s">
        <v>209</v>
      </c>
      <c r="EO132" s="246" t="s">
        <v>209</v>
      </c>
      <c r="EP132" s="246" t="s">
        <v>209</v>
      </c>
      <c r="EQ132" s="246" t="s">
        <v>209</v>
      </c>
      <c r="ER132" s="246"/>
      <c r="ES132" s="246"/>
      <c r="ET132" s="246"/>
      <c r="EU132" s="246"/>
      <c r="EV132" s="246"/>
      <c r="EW132" s="246"/>
      <c r="EX132" s="246"/>
      <c r="EY132" s="246"/>
      <c r="EZ132" s="246"/>
      <c r="FA132" s="246"/>
      <c r="FB132" s="59">
        <f t="shared" si="174"/>
        <v>32000</v>
      </c>
      <c r="FC132" s="59">
        <f t="shared" si="175"/>
        <v>32000</v>
      </c>
      <c r="FD132" s="60">
        <f t="shared" si="176"/>
        <v>1000</v>
      </c>
      <c r="FE132" s="65">
        <f t="shared" si="57"/>
        <v>3.125E-2</v>
      </c>
      <c r="FF132" s="88">
        <f t="shared" si="60"/>
        <v>26890.756302521011</v>
      </c>
      <c r="FG132" s="88">
        <f t="shared" si="61"/>
        <v>5109.2436974789925</v>
      </c>
      <c r="FH132" s="74">
        <f t="shared" si="122"/>
        <v>32000</v>
      </c>
      <c r="FI132" s="260">
        <f t="shared" si="172"/>
        <v>1920000</v>
      </c>
      <c r="FJ132" s="60" t="s">
        <v>65</v>
      </c>
    </row>
    <row r="133" spans="1:166" s="40" customFormat="1" ht="85.5" customHeight="1" x14ac:dyDescent="0.35">
      <c r="A133" s="37">
        <v>127</v>
      </c>
      <c r="B133" s="210" t="s">
        <v>318</v>
      </c>
      <c r="C133" s="210" t="s">
        <v>986</v>
      </c>
      <c r="D133" s="249" t="s">
        <v>317</v>
      </c>
      <c r="E133" s="220">
        <v>70</v>
      </c>
      <c r="F133" s="58"/>
      <c r="G133" s="58"/>
      <c r="H133" s="58"/>
      <c r="I133" s="58"/>
      <c r="J133" s="58"/>
      <c r="K133" s="58"/>
      <c r="L133" s="15"/>
      <c r="M133" s="58"/>
      <c r="N133" s="15"/>
      <c r="O133" s="58"/>
      <c r="P133" s="15"/>
      <c r="Q133" s="58"/>
      <c r="R133" s="15"/>
      <c r="S133" s="58"/>
      <c r="T133" s="15"/>
      <c r="U133" s="58"/>
      <c r="V133" s="15"/>
      <c r="W133" s="58"/>
      <c r="X133" s="15"/>
      <c r="Y133" s="58"/>
      <c r="Z133" s="15"/>
      <c r="AA133" s="58"/>
      <c r="AB133" s="15"/>
      <c r="AC133" s="58"/>
      <c r="AD133" s="58"/>
      <c r="AE133" s="58"/>
      <c r="AF133" s="15"/>
      <c r="AG133" s="58"/>
      <c r="AH133" s="15"/>
      <c r="AI133" s="58"/>
      <c r="AJ133" s="15"/>
      <c r="AK133" s="58"/>
      <c r="AL133" s="15"/>
      <c r="AM133" s="58"/>
      <c r="AN133" s="15"/>
      <c r="AO133" s="58"/>
      <c r="AP133" s="15"/>
      <c r="AQ133" s="58"/>
      <c r="AR133" s="15"/>
      <c r="AS133" s="58"/>
      <c r="AT133" s="15"/>
      <c r="AU133" s="58"/>
      <c r="AV133" s="15"/>
      <c r="AW133" s="58"/>
      <c r="AX133" s="15"/>
      <c r="AY133" s="58"/>
      <c r="AZ133" s="15"/>
      <c r="BA133" s="58"/>
      <c r="BB133" s="15"/>
      <c r="BC133" s="58"/>
      <c r="BD133" s="15"/>
      <c r="BE133" s="58"/>
      <c r="BF133" s="15"/>
      <c r="BG133" s="58"/>
      <c r="BH133" s="15"/>
      <c r="BI133" s="58"/>
      <c r="BJ133" s="15"/>
      <c r="BK133" s="58"/>
      <c r="BL133" s="15"/>
      <c r="BM133" s="58"/>
      <c r="BN133" s="15"/>
      <c r="BO133" s="58"/>
      <c r="BP133" s="15"/>
      <c r="BQ133" s="58"/>
      <c r="BR133" s="15"/>
      <c r="BS133" s="58"/>
      <c r="BT133" s="15"/>
      <c r="BU133" s="58"/>
      <c r="BV133" s="15"/>
      <c r="BW133" s="58"/>
      <c r="BX133" s="15"/>
      <c r="BY133" s="58"/>
      <c r="BZ133" s="15"/>
      <c r="CA133" s="58"/>
      <c r="CB133" s="15"/>
      <c r="CC133" s="58"/>
      <c r="CD133" s="15"/>
      <c r="CE133" s="58"/>
      <c r="CF133" s="15"/>
      <c r="CG133" s="58"/>
      <c r="CH133" s="15"/>
      <c r="CI133" s="58"/>
      <c r="CJ133" s="15"/>
      <c r="CK133" s="58"/>
      <c r="CL133" s="15"/>
      <c r="CM133" s="58"/>
      <c r="CN133" s="15"/>
      <c r="CO133" s="58"/>
      <c r="CP133" s="15"/>
      <c r="CQ133" s="58"/>
      <c r="CR133" s="15"/>
      <c r="CS133" s="58"/>
      <c r="CT133" s="15"/>
      <c r="CU133" s="58"/>
      <c r="CV133" s="15"/>
      <c r="CW133" s="58"/>
      <c r="CX133" s="15"/>
      <c r="CY133" s="58"/>
      <c r="CZ133" s="15"/>
      <c r="DA133" s="58"/>
      <c r="DB133" s="15"/>
      <c r="DC133" s="58"/>
      <c r="DD133" s="15"/>
      <c r="DE133" s="58"/>
      <c r="DF133" s="15"/>
      <c r="DG133" s="58"/>
      <c r="DH133" s="15"/>
      <c r="DI133" s="58"/>
      <c r="DJ133" s="15"/>
      <c r="DK133" s="58"/>
      <c r="DL133" s="15"/>
      <c r="DM133" s="58"/>
      <c r="DN133" s="15"/>
      <c r="DO133" s="58"/>
      <c r="DP133" s="15"/>
      <c r="DQ133" s="58"/>
      <c r="DR133" s="15"/>
      <c r="DS133" s="58"/>
      <c r="DT133" s="15"/>
      <c r="DU133" s="58"/>
      <c r="DV133" s="15"/>
      <c r="DW133" s="58"/>
      <c r="DX133" s="15"/>
      <c r="DY133" s="58"/>
      <c r="DZ133" s="15"/>
      <c r="EA133" s="58"/>
      <c r="EB133" s="15"/>
      <c r="EC133" s="58"/>
      <c r="ED133" s="15"/>
      <c r="EE133" s="217"/>
      <c r="EF133" s="8">
        <v>35000</v>
      </c>
      <c r="EG133" s="312">
        <v>33000</v>
      </c>
      <c r="EH133" s="236">
        <v>34500</v>
      </c>
      <c r="EI133" s="224"/>
      <c r="EJ133" s="228"/>
      <c r="EK133" s="228"/>
      <c r="EL133" s="228"/>
      <c r="EM133" s="228"/>
      <c r="EN133" s="208" t="s">
        <v>209</v>
      </c>
      <c r="EO133" s="246" t="s">
        <v>209</v>
      </c>
      <c r="EP133" s="246" t="s">
        <v>209</v>
      </c>
      <c r="EQ133" s="246" t="s">
        <v>209</v>
      </c>
      <c r="ER133" s="246"/>
      <c r="ES133" s="246"/>
      <c r="ET133" s="246"/>
      <c r="EU133" s="246"/>
      <c r="EV133" s="246"/>
      <c r="EW133" s="246"/>
      <c r="EX133" s="246"/>
      <c r="EY133" s="246"/>
      <c r="EZ133" s="246"/>
      <c r="FA133" s="246"/>
      <c r="FB133" s="59">
        <f t="shared" si="174"/>
        <v>34500</v>
      </c>
      <c r="FC133" s="59">
        <f t="shared" si="175"/>
        <v>34166.666666666664</v>
      </c>
      <c r="FD133" s="60">
        <f t="shared" si="176"/>
        <v>1040.8329997330663</v>
      </c>
      <c r="FE133" s="65">
        <f t="shared" ref="FE133:FE194" si="178">FD133/FC133</f>
        <v>3.0463404870236091E-2</v>
      </c>
      <c r="FF133" s="88">
        <f t="shared" si="60"/>
        <v>28711.764705882353</v>
      </c>
      <c r="FG133" s="88">
        <f t="shared" si="61"/>
        <v>5455.2352941176468</v>
      </c>
      <c r="FH133" s="74">
        <f t="shared" ref="FH133:FH143" si="179">ROUNDUP(IF(FE133&lt;15%,FC133,FB133),0)</f>
        <v>34167</v>
      </c>
      <c r="FI133" s="260">
        <f t="shared" si="172"/>
        <v>2391690</v>
      </c>
      <c r="FJ133" s="60" t="s">
        <v>65</v>
      </c>
    </row>
    <row r="134" spans="1:166" s="40" customFormat="1" ht="85.5" customHeight="1" x14ac:dyDescent="0.35">
      <c r="A134" s="36">
        <v>128</v>
      </c>
      <c r="B134" s="210" t="s">
        <v>319</v>
      </c>
      <c r="C134" s="210" t="s">
        <v>987</v>
      </c>
      <c r="D134" s="249" t="s">
        <v>64</v>
      </c>
      <c r="E134" s="220">
        <v>100</v>
      </c>
      <c r="F134" s="58"/>
      <c r="G134" s="58"/>
      <c r="H134" s="58"/>
      <c r="I134" s="58"/>
      <c r="J134" s="58"/>
      <c r="K134" s="58"/>
      <c r="L134" s="15"/>
      <c r="M134" s="58"/>
      <c r="N134" s="15"/>
      <c r="O134" s="58"/>
      <c r="P134" s="15"/>
      <c r="Q134" s="58"/>
      <c r="R134" s="15"/>
      <c r="S134" s="58"/>
      <c r="T134" s="15"/>
      <c r="U134" s="58"/>
      <c r="V134" s="15"/>
      <c r="W134" s="58"/>
      <c r="X134" s="15"/>
      <c r="Y134" s="58"/>
      <c r="Z134" s="15"/>
      <c r="AA134" s="58"/>
      <c r="AB134" s="15"/>
      <c r="AC134" s="58"/>
      <c r="AD134" s="58"/>
      <c r="AE134" s="58"/>
      <c r="AF134" s="15"/>
      <c r="AG134" s="58"/>
      <c r="AH134" s="15"/>
      <c r="AI134" s="58"/>
      <c r="AJ134" s="15"/>
      <c r="AK134" s="58"/>
      <c r="AL134" s="15"/>
      <c r="AM134" s="58"/>
      <c r="AN134" s="15"/>
      <c r="AO134" s="58"/>
      <c r="AP134" s="15"/>
      <c r="AQ134" s="58"/>
      <c r="AR134" s="15"/>
      <c r="AS134" s="58"/>
      <c r="AT134" s="15"/>
      <c r="AU134" s="58"/>
      <c r="AV134" s="15"/>
      <c r="AW134" s="58"/>
      <c r="AX134" s="15"/>
      <c r="AY134" s="58"/>
      <c r="AZ134" s="15"/>
      <c r="BA134" s="58"/>
      <c r="BB134" s="15"/>
      <c r="BC134" s="58"/>
      <c r="BD134" s="15"/>
      <c r="BE134" s="58"/>
      <c r="BF134" s="15"/>
      <c r="BG134" s="58"/>
      <c r="BH134" s="15"/>
      <c r="BI134" s="58"/>
      <c r="BJ134" s="15"/>
      <c r="BK134" s="58"/>
      <c r="BL134" s="15"/>
      <c r="BM134" s="58"/>
      <c r="BN134" s="15"/>
      <c r="BO134" s="58"/>
      <c r="BP134" s="15"/>
      <c r="BQ134" s="58"/>
      <c r="BR134" s="15"/>
      <c r="BS134" s="58"/>
      <c r="BT134" s="15"/>
      <c r="BU134" s="58"/>
      <c r="BV134" s="15"/>
      <c r="BW134" s="58"/>
      <c r="BX134" s="15"/>
      <c r="BY134" s="58"/>
      <c r="BZ134" s="15"/>
      <c r="CA134" s="58"/>
      <c r="CB134" s="15"/>
      <c r="CC134" s="58"/>
      <c r="CD134" s="15"/>
      <c r="CE134" s="58"/>
      <c r="CF134" s="15"/>
      <c r="CG134" s="58"/>
      <c r="CH134" s="15"/>
      <c r="CI134" s="58"/>
      <c r="CJ134" s="15"/>
      <c r="CK134" s="58"/>
      <c r="CL134" s="15"/>
      <c r="CM134" s="58"/>
      <c r="CN134" s="15"/>
      <c r="CO134" s="58"/>
      <c r="CP134" s="15"/>
      <c r="CQ134" s="58"/>
      <c r="CR134" s="15"/>
      <c r="CS134" s="58"/>
      <c r="CT134" s="15"/>
      <c r="CU134" s="58"/>
      <c r="CV134" s="15"/>
      <c r="CW134" s="58"/>
      <c r="CX134" s="15"/>
      <c r="CY134" s="58"/>
      <c r="CZ134" s="15"/>
      <c r="DA134" s="58"/>
      <c r="DB134" s="15"/>
      <c r="DC134" s="58"/>
      <c r="DD134" s="15"/>
      <c r="DE134" s="58"/>
      <c r="DF134" s="15"/>
      <c r="DG134" s="58"/>
      <c r="DH134" s="15"/>
      <c r="DI134" s="58"/>
      <c r="DJ134" s="15"/>
      <c r="DK134" s="58"/>
      <c r="DL134" s="15"/>
      <c r="DM134" s="58"/>
      <c r="DN134" s="15"/>
      <c r="DO134" s="58"/>
      <c r="DP134" s="15"/>
      <c r="DQ134" s="58"/>
      <c r="DR134" s="15"/>
      <c r="DS134" s="58"/>
      <c r="DT134" s="15"/>
      <c r="DU134" s="58"/>
      <c r="DV134" s="15"/>
      <c r="DW134" s="58"/>
      <c r="DX134" s="15"/>
      <c r="DY134" s="58"/>
      <c r="DZ134" s="15"/>
      <c r="EA134" s="58"/>
      <c r="EB134" s="15"/>
      <c r="EC134" s="58"/>
      <c r="ED134" s="15"/>
      <c r="EE134" s="217"/>
      <c r="EF134" s="8">
        <v>40000</v>
      </c>
      <c r="EG134" s="312">
        <v>38100</v>
      </c>
      <c r="EH134" s="236">
        <v>39000</v>
      </c>
      <c r="EI134" s="224"/>
      <c r="EJ134" s="228"/>
      <c r="EK134" s="228"/>
      <c r="EL134" s="228"/>
      <c r="EM134" s="228"/>
      <c r="EN134" s="208" t="s">
        <v>209</v>
      </c>
      <c r="EO134" s="246" t="s">
        <v>209</v>
      </c>
      <c r="EP134" s="246" t="s">
        <v>209</v>
      </c>
      <c r="EQ134" s="246" t="s">
        <v>209</v>
      </c>
      <c r="ER134" s="246"/>
      <c r="ES134" s="246"/>
      <c r="ET134" s="246"/>
      <c r="EU134" s="246"/>
      <c r="EV134" s="246"/>
      <c r="EW134" s="246"/>
      <c r="EX134" s="246"/>
      <c r="EY134" s="246"/>
      <c r="EZ134" s="246"/>
      <c r="FA134" s="246"/>
      <c r="FB134" s="59">
        <f t="shared" si="174"/>
        <v>39000</v>
      </c>
      <c r="FC134" s="59">
        <f t="shared" si="175"/>
        <v>39033.333333333336</v>
      </c>
      <c r="FD134" s="60">
        <f t="shared" si="176"/>
        <v>950.43849529221688</v>
      </c>
      <c r="FE134" s="65">
        <f t="shared" si="178"/>
        <v>2.4349406369570031E-2</v>
      </c>
      <c r="FF134" s="88">
        <f t="shared" ref="FF134:FF195" si="180">FH134/1.19</f>
        <v>32801.680672268907</v>
      </c>
      <c r="FG134" s="88">
        <f t="shared" ref="FG134:FG195" si="181">+FF134*19%</f>
        <v>6232.319327731092</v>
      </c>
      <c r="FH134" s="74">
        <f t="shared" si="179"/>
        <v>39034</v>
      </c>
      <c r="FI134" s="260">
        <f t="shared" si="172"/>
        <v>3903400</v>
      </c>
      <c r="FJ134" s="60" t="s">
        <v>65</v>
      </c>
    </row>
    <row r="135" spans="1:166" s="40" customFormat="1" ht="85.5" customHeight="1" x14ac:dyDescent="0.35">
      <c r="A135" s="36">
        <v>129</v>
      </c>
      <c r="B135" s="210" t="s">
        <v>320</v>
      </c>
      <c r="C135" s="210" t="s">
        <v>1117</v>
      </c>
      <c r="D135" s="249" t="s">
        <v>64</v>
      </c>
      <c r="E135" s="220">
        <v>29</v>
      </c>
      <c r="F135" s="58"/>
      <c r="G135" s="58"/>
      <c r="H135" s="58"/>
      <c r="I135" s="58"/>
      <c r="J135" s="58"/>
      <c r="K135" s="58"/>
      <c r="L135" s="15"/>
      <c r="M135" s="58"/>
      <c r="N135" s="15"/>
      <c r="O135" s="58"/>
      <c r="P135" s="15"/>
      <c r="Q135" s="58"/>
      <c r="R135" s="15"/>
      <c r="S135" s="58"/>
      <c r="T135" s="15"/>
      <c r="U135" s="58"/>
      <c r="V135" s="15"/>
      <c r="W135" s="58"/>
      <c r="X135" s="15"/>
      <c r="Y135" s="58"/>
      <c r="Z135" s="15"/>
      <c r="AA135" s="58"/>
      <c r="AB135" s="15"/>
      <c r="AC135" s="58"/>
      <c r="AD135" s="58"/>
      <c r="AE135" s="58"/>
      <c r="AF135" s="15"/>
      <c r="AG135" s="58"/>
      <c r="AH135" s="15"/>
      <c r="AI135" s="58"/>
      <c r="AJ135" s="15"/>
      <c r="AK135" s="58"/>
      <c r="AL135" s="15"/>
      <c r="AM135" s="58"/>
      <c r="AN135" s="15"/>
      <c r="AO135" s="58"/>
      <c r="AP135" s="15"/>
      <c r="AQ135" s="58"/>
      <c r="AR135" s="15"/>
      <c r="AS135" s="58"/>
      <c r="AT135" s="15"/>
      <c r="AU135" s="58"/>
      <c r="AV135" s="15"/>
      <c r="AW135" s="58"/>
      <c r="AX135" s="15"/>
      <c r="AY135" s="58"/>
      <c r="AZ135" s="15"/>
      <c r="BA135" s="58"/>
      <c r="BB135" s="15"/>
      <c r="BC135" s="58"/>
      <c r="BD135" s="15"/>
      <c r="BE135" s="58"/>
      <c r="BF135" s="15"/>
      <c r="BG135" s="58"/>
      <c r="BH135" s="15"/>
      <c r="BI135" s="58"/>
      <c r="BJ135" s="15"/>
      <c r="BK135" s="58"/>
      <c r="BL135" s="15"/>
      <c r="BM135" s="58"/>
      <c r="BN135" s="15"/>
      <c r="BO135" s="58"/>
      <c r="BP135" s="15"/>
      <c r="BQ135" s="58"/>
      <c r="BR135" s="15"/>
      <c r="BS135" s="58"/>
      <c r="BT135" s="15"/>
      <c r="BU135" s="58"/>
      <c r="BV135" s="15"/>
      <c r="BW135" s="58"/>
      <c r="BX135" s="15"/>
      <c r="BY135" s="58"/>
      <c r="BZ135" s="15"/>
      <c r="CA135" s="58"/>
      <c r="CB135" s="15"/>
      <c r="CC135" s="58"/>
      <c r="CD135" s="15"/>
      <c r="CE135" s="58"/>
      <c r="CF135" s="15"/>
      <c r="CG135" s="58"/>
      <c r="CH135" s="15"/>
      <c r="CI135" s="58"/>
      <c r="CJ135" s="15"/>
      <c r="CK135" s="58"/>
      <c r="CL135" s="15"/>
      <c r="CM135" s="58"/>
      <c r="CN135" s="15"/>
      <c r="CO135" s="58"/>
      <c r="CP135" s="15"/>
      <c r="CQ135" s="58"/>
      <c r="CR135" s="15"/>
      <c r="CS135" s="58"/>
      <c r="CT135" s="15"/>
      <c r="CU135" s="58"/>
      <c r="CV135" s="15"/>
      <c r="CW135" s="58"/>
      <c r="CX135" s="15"/>
      <c r="CY135" s="58"/>
      <c r="CZ135" s="15"/>
      <c r="DA135" s="58"/>
      <c r="DB135" s="15"/>
      <c r="DC135" s="58"/>
      <c r="DD135" s="15"/>
      <c r="DE135" s="58"/>
      <c r="DF135" s="15"/>
      <c r="DG135" s="58"/>
      <c r="DH135" s="15"/>
      <c r="DI135" s="58"/>
      <c r="DJ135" s="15"/>
      <c r="DK135" s="58"/>
      <c r="DL135" s="15"/>
      <c r="DM135" s="58"/>
      <c r="DN135" s="15"/>
      <c r="DO135" s="58"/>
      <c r="DP135" s="15"/>
      <c r="DQ135" s="58"/>
      <c r="DR135" s="15"/>
      <c r="DS135" s="58"/>
      <c r="DT135" s="15"/>
      <c r="DU135" s="58"/>
      <c r="DV135" s="15"/>
      <c r="DW135" s="58"/>
      <c r="DX135" s="15"/>
      <c r="DY135" s="58"/>
      <c r="DZ135" s="15"/>
      <c r="EA135" s="58"/>
      <c r="EB135" s="15"/>
      <c r="EC135" s="58"/>
      <c r="ED135" s="15"/>
      <c r="EE135" s="217"/>
      <c r="EF135" s="8">
        <v>16000</v>
      </c>
      <c r="EG135" s="312">
        <v>14500</v>
      </c>
      <c r="EH135" s="236">
        <v>15000</v>
      </c>
      <c r="EI135" s="224"/>
      <c r="EJ135" s="228"/>
      <c r="EK135" s="228"/>
      <c r="EL135" s="228"/>
      <c r="EM135" s="228"/>
      <c r="EN135" s="208" t="s">
        <v>209</v>
      </c>
      <c r="EO135" s="246" t="s">
        <v>209</v>
      </c>
      <c r="EP135" s="246" t="s">
        <v>209</v>
      </c>
      <c r="EQ135" s="246" t="s">
        <v>209</v>
      </c>
      <c r="ER135" s="246"/>
      <c r="ES135" s="246"/>
      <c r="ET135" s="246"/>
      <c r="EU135" s="246"/>
      <c r="EV135" s="246"/>
      <c r="EW135" s="246"/>
      <c r="EX135" s="246"/>
      <c r="EY135" s="246"/>
      <c r="EZ135" s="246"/>
      <c r="FA135" s="246"/>
      <c r="FB135" s="59">
        <f t="shared" si="174"/>
        <v>15000</v>
      </c>
      <c r="FC135" s="59">
        <f t="shared" si="175"/>
        <v>15166.666666666666</v>
      </c>
      <c r="FD135" s="60">
        <f t="shared" si="176"/>
        <v>763.76261582597328</v>
      </c>
      <c r="FE135" s="65">
        <f t="shared" si="178"/>
        <v>5.0357974669844395E-2</v>
      </c>
      <c r="FF135" s="88">
        <f t="shared" si="180"/>
        <v>12745.378151260506</v>
      </c>
      <c r="FG135" s="88">
        <f t="shared" si="181"/>
        <v>2421.6218487394963</v>
      </c>
      <c r="FH135" s="74">
        <f t="shared" si="179"/>
        <v>15167</v>
      </c>
      <c r="FI135" s="260">
        <f t="shared" si="172"/>
        <v>439843</v>
      </c>
      <c r="FJ135" s="60" t="s">
        <v>65</v>
      </c>
    </row>
    <row r="136" spans="1:166" s="40" customFormat="1" ht="69" customHeight="1" x14ac:dyDescent="0.35">
      <c r="A136" s="37">
        <v>130</v>
      </c>
      <c r="B136" s="210" t="s">
        <v>321</v>
      </c>
      <c r="C136" s="210" t="s">
        <v>989</v>
      </c>
      <c r="D136" s="249" t="s">
        <v>322</v>
      </c>
      <c r="E136" s="220">
        <v>35</v>
      </c>
      <c r="F136" s="58"/>
      <c r="G136" s="58"/>
      <c r="H136" s="58"/>
      <c r="I136" s="58"/>
      <c r="J136" s="58"/>
      <c r="K136" s="58"/>
      <c r="L136" s="15"/>
      <c r="M136" s="58"/>
      <c r="N136" s="15"/>
      <c r="O136" s="58"/>
      <c r="P136" s="15"/>
      <c r="Q136" s="58"/>
      <c r="R136" s="15"/>
      <c r="S136" s="58"/>
      <c r="T136" s="15"/>
      <c r="U136" s="58"/>
      <c r="V136" s="15"/>
      <c r="W136" s="58"/>
      <c r="X136" s="15"/>
      <c r="Y136" s="58"/>
      <c r="Z136" s="15"/>
      <c r="AA136" s="58"/>
      <c r="AB136" s="15"/>
      <c r="AC136" s="58"/>
      <c r="AD136" s="58"/>
      <c r="AE136" s="58"/>
      <c r="AF136" s="15"/>
      <c r="AG136" s="58"/>
      <c r="AH136" s="15"/>
      <c r="AI136" s="58"/>
      <c r="AJ136" s="15"/>
      <c r="AK136" s="58"/>
      <c r="AL136" s="15"/>
      <c r="AM136" s="58"/>
      <c r="AN136" s="15"/>
      <c r="AO136" s="58"/>
      <c r="AP136" s="15"/>
      <c r="AQ136" s="58"/>
      <c r="AR136" s="15"/>
      <c r="AS136" s="58"/>
      <c r="AT136" s="15"/>
      <c r="AU136" s="58"/>
      <c r="AV136" s="15"/>
      <c r="AW136" s="58"/>
      <c r="AX136" s="15"/>
      <c r="AY136" s="58"/>
      <c r="AZ136" s="15"/>
      <c r="BA136" s="58"/>
      <c r="BB136" s="15"/>
      <c r="BC136" s="58"/>
      <c r="BD136" s="15"/>
      <c r="BE136" s="58"/>
      <c r="BF136" s="15"/>
      <c r="BG136" s="58"/>
      <c r="BH136" s="15"/>
      <c r="BI136" s="58"/>
      <c r="BJ136" s="15"/>
      <c r="BK136" s="58"/>
      <c r="BL136" s="15"/>
      <c r="BM136" s="58"/>
      <c r="BN136" s="15"/>
      <c r="BO136" s="58"/>
      <c r="BP136" s="15"/>
      <c r="BQ136" s="58"/>
      <c r="BR136" s="15"/>
      <c r="BS136" s="58"/>
      <c r="BT136" s="15"/>
      <c r="BU136" s="58"/>
      <c r="BV136" s="15"/>
      <c r="BW136" s="58"/>
      <c r="BX136" s="15"/>
      <c r="BY136" s="58"/>
      <c r="BZ136" s="15"/>
      <c r="CA136" s="58"/>
      <c r="CB136" s="15"/>
      <c r="CC136" s="58"/>
      <c r="CD136" s="15"/>
      <c r="CE136" s="58"/>
      <c r="CF136" s="15"/>
      <c r="CG136" s="58"/>
      <c r="CH136" s="15"/>
      <c r="CI136" s="58"/>
      <c r="CJ136" s="15"/>
      <c r="CK136" s="58"/>
      <c r="CL136" s="15"/>
      <c r="CM136" s="58"/>
      <c r="CN136" s="15"/>
      <c r="CO136" s="58"/>
      <c r="CP136" s="15"/>
      <c r="CQ136" s="58"/>
      <c r="CR136" s="15"/>
      <c r="CS136" s="58"/>
      <c r="CT136" s="15"/>
      <c r="CU136" s="58"/>
      <c r="CV136" s="15"/>
      <c r="CW136" s="58"/>
      <c r="CX136" s="15"/>
      <c r="CY136" s="58"/>
      <c r="CZ136" s="15"/>
      <c r="DA136" s="58"/>
      <c r="DB136" s="15"/>
      <c r="DC136" s="58"/>
      <c r="DD136" s="15"/>
      <c r="DE136" s="58"/>
      <c r="DF136" s="15"/>
      <c r="DG136" s="58"/>
      <c r="DH136" s="15"/>
      <c r="DI136" s="58"/>
      <c r="DJ136" s="15"/>
      <c r="DK136" s="58"/>
      <c r="DL136" s="15"/>
      <c r="DM136" s="58"/>
      <c r="DN136" s="15"/>
      <c r="DO136" s="58"/>
      <c r="DP136" s="15"/>
      <c r="DQ136" s="58"/>
      <c r="DR136" s="15"/>
      <c r="DS136" s="58"/>
      <c r="DT136" s="15"/>
      <c r="DU136" s="58"/>
      <c r="DV136" s="15"/>
      <c r="DW136" s="58"/>
      <c r="DX136" s="15"/>
      <c r="DY136" s="58"/>
      <c r="DZ136" s="15"/>
      <c r="EA136" s="58"/>
      <c r="EB136" s="15"/>
      <c r="EC136" s="58"/>
      <c r="ED136" s="15"/>
      <c r="EE136" s="217"/>
      <c r="EF136" s="8">
        <v>25000</v>
      </c>
      <c r="EG136" s="312">
        <v>21200</v>
      </c>
      <c r="EH136" s="236">
        <v>24000</v>
      </c>
      <c r="EI136" s="224"/>
      <c r="EJ136" s="228"/>
      <c r="EK136" s="228"/>
      <c r="EL136" s="228"/>
      <c r="EM136" s="228"/>
      <c r="EN136" s="208" t="s">
        <v>209</v>
      </c>
      <c r="EO136" s="246" t="s">
        <v>209</v>
      </c>
      <c r="EP136" s="246" t="s">
        <v>209</v>
      </c>
      <c r="EQ136" s="246" t="s">
        <v>209</v>
      </c>
      <c r="ER136" s="246"/>
      <c r="ES136" s="246"/>
      <c r="ET136" s="246"/>
      <c r="EU136" s="246"/>
      <c r="EV136" s="246"/>
      <c r="EW136" s="246"/>
      <c r="EX136" s="246"/>
      <c r="EY136" s="246"/>
      <c r="EZ136" s="246"/>
      <c r="FA136" s="246"/>
      <c r="FB136" s="59">
        <f t="shared" si="174"/>
        <v>24000</v>
      </c>
      <c r="FC136" s="59">
        <f t="shared" si="175"/>
        <v>23400</v>
      </c>
      <c r="FD136" s="60">
        <f t="shared" si="176"/>
        <v>1969.771560359221</v>
      </c>
      <c r="FE136" s="65">
        <f t="shared" si="178"/>
        <v>8.4178271810223124E-2</v>
      </c>
      <c r="FF136" s="88">
        <f t="shared" si="180"/>
        <v>19663.865546218487</v>
      </c>
      <c r="FG136" s="88">
        <f t="shared" si="181"/>
        <v>3736.1344537815125</v>
      </c>
      <c r="FH136" s="74">
        <f t="shared" si="179"/>
        <v>23400</v>
      </c>
      <c r="FI136" s="260">
        <f t="shared" si="172"/>
        <v>819000</v>
      </c>
      <c r="FJ136" s="60" t="s">
        <v>65</v>
      </c>
    </row>
    <row r="137" spans="1:166" s="40" customFormat="1" ht="69" customHeight="1" x14ac:dyDescent="0.35">
      <c r="A137" s="37">
        <v>131</v>
      </c>
      <c r="B137" s="210" t="s">
        <v>323</v>
      </c>
      <c r="C137" s="210" t="s">
        <v>990</v>
      </c>
      <c r="D137" s="249" t="s">
        <v>64</v>
      </c>
      <c r="E137" s="220">
        <v>30</v>
      </c>
      <c r="F137" s="58"/>
      <c r="G137" s="58"/>
      <c r="H137" s="58"/>
      <c r="I137" s="58"/>
      <c r="J137" s="58"/>
      <c r="K137" s="58"/>
      <c r="L137" s="15"/>
      <c r="M137" s="58"/>
      <c r="N137" s="15"/>
      <c r="O137" s="58"/>
      <c r="P137" s="15"/>
      <c r="Q137" s="58"/>
      <c r="R137" s="15"/>
      <c r="S137" s="58"/>
      <c r="T137" s="15"/>
      <c r="U137" s="58"/>
      <c r="V137" s="15"/>
      <c r="W137" s="58"/>
      <c r="X137" s="15"/>
      <c r="Y137" s="58"/>
      <c r="Z137" s="15"/>
      <c r="AA137" s="58"/>
      <c r="AB137" s="15"/>
      <c r="AC137" s="58"/>
      <c r="AD137" s="58"/>
      <c r="AE137" s="58"/>
      <c r="AF137" s="15"/>
      <c r="AG137" s="58"/>
      <c r="AH137" s="15"/>
      <c r="AI137" s="58"/>
      <c r="AJ137" s="15"/>
      <c r="AK137" s="58"/>
      <c r="AL137" s="15"/>
      <c r="AM137" s="58"/>
      <c r="AN137" s="15"/>
      <c r="AO137" s="58"/>
      <c r="AP137" s="15"/>
      <c r="AQ137" s="58"/>
      <c r="AR137" s="15"/>
      <c r="AS137" s="58"/>
      <c r="AT137" s="15"/>
      <c r="AU137" s="58"/>
      <c r="AV137" s="15"/>
      <c r="AW137" s="58"/>
      <c r="AX137" s="15"/>
      <c r="AY137" s="58"/>
      <c r="AZ137" s="15"/>
      <c r="BA137" s="58"/>
      <c r="BB137" s="15"/>
      <c r="BC137" s="58"/>
      <c r="BD137" s="15"/>
      <c r="BE137" s="58"/>
      <c r="BF137" s="15"/>
      <c r="BG137" s="58"/>
      <c r="BH137" s="15"/>
      <c r="BI137" s="58"/>
      <c r="BJ137" s="15"/>
      <c r="BK137" s="58"/>
      <c r="BL137" s="15"/>
      <c r="BM137" s="58"/>
      <c r="BN137" s="15"/>
      <c r="BO137" s="58"/>
      <c r="BP137" s="15"/>
      <c r="BQ137" s="58"/>
      <c r="BR137" s="15"/>
      <c r="BS137" s="58"/>
      <c r="BT137" s="15"/>
      <c r="BU137" s="58"/>
      <c r="BV137" s="15"/>
      <c r="BW137" s="58"/>
      <c r="BX137" s="15"/>
      <c r="BY137" s="58"/>
      <c r="BZ137" s="15"/>
      <c r="CA137" s="58"/>
      <c r="CB137" s="15"/>
      <c r="CC137" s="58"/>
      <c r="CD137" s="15"/>
      <c r="CE137" s="58"/>
      <c r="CF137" s="15"/>
      <c r="CG137" s="58"/>
      <c r="CH137" s="15"/>
      <c r="CI137" s="58"/>
      <c r="CJ137" s="15"/>
      <c r="CK137" s="58"/>
      <c r="CL137" s="15"/>
      <c r="CM137" s="58"/>
      <c r="CN137" s="15"/>
      <c r="CO137" s="58"/>
      <c r="CP137" s="15"/>
      <c r="CQ137" s="58"/>
      <c r="CR137" s="15"/>
      <c r="CS137" s="58"/>
      <c r="CT137" s="15"/>
      <c r="CU137" s="58"/>
      <c r="CV137" s="15"/>
      <c r="CW137" s="58"/>
      <c r="CX137" s="15"/>
      <c r="CY137" s="58"/>
      <c r="CZ137" s="15"/>
      <c r="DA137" s="58"/>
      <c r="DB137" s="15"/>
      <c r="DC137" s="58"/>
      <c r="DD137" s="15"/>
      <c r="DE137" s="58"/>
      <c r="DF137" s="15"/>
      <c r="DG137" s="58"/>
      <c r="DH137" s="15"/>
      <c r="DI137" s="58"/>
      <c r="DJ137" s="15"/>
      <c r="DK137" s="58"/>
      <c r="DL137" s="15"/>
      <c r="DM137" s="58"/>
      <c r="DN137" s="15"/>
      <c r="DO137" s="58"/>
      <c r="DP137" s="15"/>
      <c r="DQ137" s="58"/>
      <c r="DR137" s="15"/>
      <c r="DS137" s="58"/>
      <c r="DT137" s="15"/>
      <c r="DU137" s="58"/>
      <c r="DV137" s="15"/>
      <c r="DW137" s="58"/>
      <c r="DX137" s="15"/>
      <c r="DY137" s="58"/>
      <c r="DZ137" s="15"/>
      <c r="EA137" s="58"/>
      <c r="EB137" s="15"/>
      <c r="EC137" s="58"/>
      <c r="ED137" s="15"/>
      <c r="EE137" s="217"/>
      <c r="EF137" s="8">
        <v>13400</v>
      </c>
      <c r="EG137" s="312">
        <v>12000</v>
      </c>
      <c r="EH137" s="236">
        <v>12800</v>
      </c>
      <c r="EI137" s="224"/>
      <c r="EJ137" s="228"/>
      <c r="EK137" s="228"/>
      <c r="EL137" s="228"/>
      <c r="EM137" s="228"/>
      <c r="EN137" s="208" t="s">
        <v>209</v>
      </c>
      <c r="EO137" s="246" t="s">
        <v>209</v>
      </c>
      <c r="EP137" s="246" t="s">
        <v>209</v>
      </c>
      <c r="EQ137" s="246" t="s">
        <v>209</v>
      </c>
      <c r="ER137" s="246"/>
      <c r="ES137" s="246"/>
      <c r="ET137" s="246"/>
      <c r="EU137" s="246"/>
      <c r="EV137" s="246"/>
      <c r="EW137" s="246"/>
      <c r="EX137" s="246"/>
      <c r="EY137" s="246"/>
      <c r="EZ137" s="246"/>
      <c r="FA137" s="246"/>
      <c r="FB137" s="59">
        <f t="shared" si="174"/>
        <v>12800</v>
      </c>
      <c r="FC137" s="59">
        <f t="shared" si="175"/>
        <v>12733.333333333334</v>
      </c>
      <c r="FD137" s="60">
        <f t="shared" si="176"/>
        <v>702.37691685684922</v>
      </c>
      <c r="FE137" s="65">
        <f t="shared" si="178"/>
        <v>5.5160490852632138E-2</v>
      </c>
      <c r="FF137" s="88">
        <f t="shared" si="180"/>
        <v>10700.840336134454</v>
      </c>
      <c r="FG137" s="88">
        <f t="shared" si="181"/>
        <v>2033.1596638655462</v>
      </c>
      <c r="FH137" s="74">
        <f t="shared" si="179"/>
        <v>12734</v>
      </c>
      <c r="FI137" s="260">
        <f t="shared" si="172"/>
        <v>382020</v>
      </c>
      <c r="FJ137" s="60" t="s">
        <v>65</v>
      </c>
    </row>
    <row r="138" spans="1:166" s="40" customFormat="1" ht="69" customHeight="1" x14ac:dyDescent="0.35">
      <c r="A138" s="37">
        <v>132</v>
      </c>
      <c r="B138" s="210" t="s">
        <v>324</v>
      </c>
      <c r="C138" s="210" t="s">
        <v>991</v>
      </c>
      <c r="D138" s="249" t="s">
        <v>64</v>
      </c>
      <c r="E138" s="220">
        <v>40</v>
      </c>
      <c r="F138" s="58"/>
      <c r="G138" s="58"/>
      <c r="H138" s="58"/>
      <c r="I138" s="58"/>
      <c r="J138" s="58"/>
      <c r="K138" s="58"/>
      <c r="L138" s="15"/>
      <c r="M138" s="58"/>
      <c r="N138" s="15"/>
      <c r="O138" s="58"/>
      <c r="P138" s="15"/>
      <c r="Q138" s="58"/>
      <c r="R138" s="15"/>
      <c r="S138" s="58"/>
      <c r="T138" s="15"/>
      <c r="U138" s="58"/>
      <c r="V138" s="15"/>
      <c r="W138" s="58"/>
      <c r="X138" s="15"/>
      <c r="Y138" s="58"/>
      <c r="Z138" s="15"/>
      <c r="AA138" s="58"/>
      <c r="AB138" s="15"/>
      <c r="AC138" s="58"/>
      <c r="AD138" s="58"/>
      <c r="AE138" s="58"/>
      <c r="AF138" s="15"/>
      <c r="AG138" s="58"/>
      <c r="AH138" s="15"/>
      <c r="AI138" s="58"/>
      <c r="AJ138" s="15"/>
      <c r="AK138" s="58"/>
      <c r="AL138" s="15"/>
      <c r="AM138" s="58"/>
      <c r="AN138" s="15"/>
      <c r="AO138" s="58"/>
      <c r="AP138" s="15"/>
      <c r="AQ138" s="58"/>
      <c r="AR138" s="15"/>
      <c r="AS138" s="58"/>
      <c r="AT138" s="15"/>
      <c r="AU138" s="58"/>
      <c r="AV138" s="15"/>
      <c r="AW138" s="58"/>
      <c r="AX138" s="15"/>
      <c r="AY138" s="58"/>
      <c r="AZ138" s="15"/>
      <c r="BA138" s="58"/>
      <c r="BB138" s="15"/>
      <c r="BC138" s="58"/>
      <c r="BD138" s="15"/>
      <c r="BE138" s="58"/>
      <c r="BF138" s="15"/>
      <c r="BG138" s="58"/>
      <c r="BH138" s="15"/>
      <c r="BI138" s="58"/>
      <c r="BJ138" s="15"/>
      <c r="BK138" s="58"/>
      <c r="BL138" s="15"/>
      <c r="BM138" s="58"/>
      <c r="BN138" s="15"/>
      <c r="BO138" s="58"/>
      <c r="BP138" s="15"/>
      <c r="BQ138" s="58"/>
      <c r="BR138" s="15"/>
      <c r="BS138" s="58"/>
      <c r="BT138" s="15"/>
      <c r="BU138" s="58"/>
      <c r="BV138" s="15"/>
      <c r="BW138" s="58"/>
      <c r="BX138" s="15"/>
      <c r="BY138" s="58"/>
      <c r="BZ138" s="15"/>
      <c r="CA138" s="58"/>
      <c r="CB138" s="15"/>
      <c r="CC138" s="58"/>
      <c r="CD138" s="15"/>
      <c r="CE138" s="58"/>
      <c r="CF138" s="15"/>
      <c r="CG138" s="58"/>
      <c r="CH138" s="15"/>
      <c r="CI138" s="58"/>
      <c r="CJ138" s="15"/>
      <c r="CK138" s="58"/>
      <c r="CL138" s="15"/>
      <c r="CM138" s="58"/>
      <c r="CN138" s="15"/>
      <c r="CO138" s="58"/>
      <c r="CP138" s="15"/>
      <c r="CQ138" s="58"/>
      <c r="CR138" s="15"/>
      <c r="CS138" s="58"/>
      <c r="CT138" s="15"/>
      <c r="CU138" s="58"/>
      <c r="CV138" s="15"/>
      <c r="CW138" s="58"/>
      <c r="CX138" s="15"/>
      <c r="CY138" s="58"/>
      <c r="CZ138" s="15"/>
      <c r="DA138" s="58"/>
      <c r="DB138" s="15"/>
      <c r="DC138" s="58"/>
      <c r="DD138" s="15"/>
      <c r="DE138" s="58"/>
      <c r="DF138" s="15"/>
      <c r="DG138" s="58"/>
      <c r="DH138" s="15"/>
      <c r="DI138" s="58"/>
      <c r="DJ138" s="15"/>
      <c r="DK138" s="58"/>
      <c r="DL138" s="15"/>
      <c r="DM138" s="58"/>
      <c r="DN138" s="15"/>
      <c r="DO138" s="58"/>
      <c r="DP138" s="15"/>
      <c r="DQ138" s="58"/>
      <c r="DR138" s="15"/>
      <c r="DS138" s="58"/>
      <c r="DT138" s="15"/>
      <c r="DU138" s="58"/>
      <c r="DV138" s="15"/>
      <c r="DW138" s="58"/>
      <c r="DX138" s="15"/>
      <c r="DY138" s="58"/>
      <c r="DZ138" s="15"/>
      <c r="EA138" s="58"/>
      <c r="EB138" s="15"/>
      <c r="EC138" s="58"/>
      <c r="ED138" s="15"/>
      <c r="EE138" s="217"/>
      <c r="EF138" s="8">
        <v>15000</v>
      </c>
      <c r="EG138" s="312">
        <v>13800</v>
      </c>
      <c r="EH138" s="236">
        <v>14600</v>
      </c>
      <c r="EI138" s="224"/>
      <c r="EJ138" s="228"/>
      <c r="EK138" s="228"/>
      <c r="EL138" s="228"/>
      <c r="EM138" s="228"/>
      <c r="EN138" s="208" t="s">
        <v>209</v>
      </c>
      <c r="EO138" s="246" t="s">
        <v>209</v>
      </c>
      <c r="EP138" s="246" t="s">
        <v>209</v>
      </c>
      <c r="EQ138" s="246" t="s">
        <v>209</v>
      </c>
      <c r="ER138" s="246"/>
      <c r="ES138" s="246"/>
      <c r="ET138" s="246"/>
      <c r="EU138" s="246"/>
      <c r="EV138" s="246"/>
      <c r="EW138" s="246"/>
      <c r="EX138" s="246"/>
      <c r="EY138" s="246"/>
      <c r="EZ138" s="246"/>
      <c r="FA138" s="246"/>
      <c r="FB138" s="59">
        <f t="shared" si="174"/>
        <v>14600</v>
      </c>
      <c r="FC138" s="59">
        <f t="shared" si="175"/>
        <v>14466.666666666666</v>
      </c>
      <c r="FD138" s="60">
        <f t="shared" si="176"/>
        <v>611.0100926607787</v>
      </c>
      <c r="FE138" s="65">
        <f t="shared" si="178"/>
        <v>4.2235720690837239E-2</v>
      </c>
      <c r="FF138" s="88">
        <f t="shared" si="180"/>
        <v>12157.142857142857</v>
      </c>
      <c r="FG138" s="88">
        <f t="shared" si="181"/>
        <v>2309.8571428571427</v>
      </c>
      <c r="FH138" s="74">
        <f t="shared" si="179"/>
        <v>14467</v>
      </c>
      <c r="FI138" s="260">
        <f t="shared" si="172"/>
        <v>578680</v>
      </c>
      <c r="FJ138" s="60" t="s">
        <v>65</v>
      </c>
    </row>
    <row r="139" spans="1:166" s="40" customFormat="1" ht="69" customHeight="1" x14ac:dyDescent="0.35">
      <c r="A139" s="36">
        <v>133</v>
      </c>
      <c r="B139" s="210" t="s">
        <v>325</v>
      </c>
      <c r="C139" s="210" t="s">
        <v>992</v>
      </c>
      <c r="D139" s="249" t="s">
        <v>64</v>
      </c>
      <c r="E139" s="220">
        <v>100</v>
      </c>
      <c r="F139" s="58"/>
      <c r="G139" s="58"/>
      <c r="H139" s="58"/>
      <c r="I139" s="58"/>
      <c r="J139" s="58"/>
      <c r="K139" s="58"/>
      <c r="L139" s="15"/>
      <c r="M139" s="58"/>
      <c r="N139" s="15"/>
      <c r="O139" s="58"/>
      <c r="P139" s="15"/>
      <c r="Q139" s="58"/>
      <c r="R139" s="15"/>
      <c r="S139" s="58"/>
      <c r="T139" s="15"/>
      <c r="U139" s="58"/>
      <c r="V139" s="15"/>
      <c r="W139" s="58"/>
      <c r="X139" s="15"/>
      <c r="Y139" s="58"/>
      <c r="Z139" s="15"/>
      <c r="AA139" s="58"/>
      <c r="AB139" s="15"/>
      <c r="AC139" s="58"/>
      <c r="AD139" s="58"/>
      <c r="AE139" s="58"/>
      <c r="AF139" s="15"/>
      <c r="AG139" s="58"/>
      <c r="AH139" s="15"/>
      <c r="AI139" s="58"/>
      <c r="AJ139" s="15"/>
      <c r="AK139" s="58"/>
      <c r="AL139" s="15"/>
      <c r="AM139" s="58"/>
      <c r="AN139" s="15"/>
      <c r="AO139" s="58"/>
      <c r="AP139" s="15"/>
      <c r="AQ139" s="58"/>
      <c r="AR139" s="15"/>
      <c r="AS139" s="58"/>
      <c r="AT139" s="15">
        <v>16800</v>
      </c>
      <c r="AU139" s="58">
        <f t="shared" ref="AU139" si="182">+(AT139*5.1%)+AT139</f>
        <v>17656.8</v>
      </c>
      <c r="AV139" s="15"/>
      <c r="AW139" s="58"/>
      <c r="AX139" s="15"/>
      <c r="AY139" s="58"/>
      <c r="AZ139" s="15"/>
      <c r="BA139" s="58"/>
      <c r="BB139" s="15"/>
      <c r="BC139" s="58"/>
      <c r="BD139" s="15"/>
      <c r="BE139" s="58"/>
      <c r="BF139" s="15"/>
      <c r="BG139" s="58"/>
      <c r="BH139" s="15"/>
      <c r="BI139" s="58"/>
      <c r="BJ139" s="15"/>
      <c r="BK139" s="58"/>
      <c r="BL139" s="15"/>
      <c r="BM139" s="58"/>
      <c r="BN139" s="15"/>
      <c r="BO139" s="58"/>
      <c r="BP139" s="15"/>
      <c r="BQ139" s="58"/>
      <c r="BR139" s="15"/>
      <c r="BS139" s="58"/>
      <c r="BT139" s="15"/>
      <c r="BU139" s="58"/>
      <c r="BV139" s="15"/>
      <c r="BW139" s="58"/>
      <c r="BX139" s="15"/>
      <c r="BY139" s="58"/>
      <c r="BZ139" s="15"/>
      <c r="CA139" s="58"/>
      <c r="CB139" s="15"/>
      <c r="CC139" s="58"/>
      <c r="CD139" s="15"/>
      <c r="CE139" s="58"/>
      <c r="CF139" s="15"/>
      <c r="CG139" s="58"/>
      <c r="CH139" s="15"/>
      <c r="CI139" s="58"/>
      <c r="CJ139" s="15"/>
      <c r="CK139" s="58"/>
      <c r="CL139" s="15"/>
      <c r="CM139" s="58"/>
      <c r="CN139" s="15"/>
      <c r="CO139" s="58"/>
      <c r="CP139" s="15"/>
      <c r="CQ139" s="58"/>
      <c r="CR139" s="15"/>
      <c r="CS139" s="58"/>
      <c r="CT139" s="15"/>
      <c r="CU139" s="58"/>
      <c r="CV139" s="15"/>
      <c r="CW139" s="58"/>
      <c r="CX139" s="15"/>
      <c r="CY139" s="58"/>
      <c r="CZ139" s="15"/>
      <c r="DA139" s="58"/>
      <c r="DB139" s="15"/>
      <c r="DC139" s="58"/>
      <c r="DD139" s="15"/>
      <c r="DE139" s="58"/>
      <c r="DF139" s="15"/>
      <c r="DG139" s="58"/>
      <c r="DH139" s="15"/>
      <c r="DI139" s="58"/>
      <c r="DJ139" s="15"/>
      <c r="DK139" s="58"/>
      <c r="DL139" s="15"/>
      <c r="DM139" s="58"/>
      <c r="DN139" s="15"/>
      <c r="DO139" s="58"/>
      <c r="DP139" s="15"/>
      <c r="DQ139" s="58"/>
      <c r="DR139" s="15"/>
      <c r="DS139" s="58"/>
      <c r="DT139" s="15"/>
      <c r="DU139" s="58"/>
      <c r="DV139" s="15"/>
      <c r="DW139" s="58"/>
      <c r="DX139" s="15"/>
      <c r="DY139" s="58"/>
      <c r="DZ139" s="15"/>
      <c r="EA139" s="58"/>
      <c r="EB139" s="15"/>
      <c r="EC139" s="58"/>
      <c r="ED139" s="15"/>
      <c r="EE139" s="217"/>
      <c r="EF139" s="8">
        <v>12400</v>
      </c>
      <c r="EG139" s="312">
        <v>11000</v>
      </c>
      <c r="EH139" s="236">
        <v>12000</v>
      </c>
      <c r="EI139" s="224"/>
      <c r="EJ139" s="58"/>
      <c r="EK139" s="58"/>
      <c r="EL139" s="58"/>
      <c r="EM139" s="58"/>
      <c r="EN139" s="208" t="s">
        <v>209</v>
      </c>
      <c r="EO139" s="246" t="s">
        <v>209</v>
      </c>
      <c r="EP139" s="246" t="s">
        <v>209</v>
      </c>
      <c r="EQ139" s="246" t="s">
        <v>209</v>
      </c>
      <c r="ER139" s="246"/>
      <c r="ES139" s="246"/>
      <c r="ET139" s="246"/>
      <c r="EU139" s="246"/>
      <c r="EV139" s="246"/>
      <c r="EW139" s="246"/>
      <c r="EX139" s="246"/>
      <c r="EY139" s="246"/>
      <c r="EZ139" s="246"/>
      <c r="FA139" s="246"/>
      <c r="FB139" s="63">
        <f>MEDIAN(AU139,EF139,EG139,EH139)</f>
        <v>12200</v>
      </c>
      <c r="FC139" s="63">
        <f>AVERAGE(AU139,EF139,EG139,EH139)</f>
        <v>13264.2</v>
      </c>
      <c r="FD139" s="64">
        <f>STDEV(AU139,EF139,EG139,EH139)</f>
        <v>2987.0040553482095</v>
      </c>
      <c r="FE139" s="65">
        <f t="shared" si="178"/>
        <v>0.22519292949052405</v>
      </c>
      <c r="FF139" s="88">
        <f t="shared" si="180"/>
        <v>10252.100840336136</v>
      </c>
      <c r="FG139" s="88">
        <f t="shared" si="181"/>
        <v>1947.8991596638657</v>
      </c>
      <c r="FH139" s="74">
        <f t="shared" si="179"/>
        <v>12200</v>
      </c>
      <c r="FI139" s="260">
        <f t="shared" si="172"/>
        <v>1220000</v>
      </c>
      <c r="FJ139" s="60" t="s">
        <v>66</v>
      </c>
    </row>
    <row r="140" spans="1:166" s="40" customFormat="1" ht="69" customHeight="1" x14ac:dyDescent="0.35">
      <c r="A140" s="37">
        <v>134</v>
      </c>
      <c r="B140" s="210" t="s">
        <v>326</v>
      </c>
      <c r="C140" s="210" t="s">
        <v>993</v>
      </c>
      <c r="D140" s="249" t="s">
        <v>64</v>
      </c>
      <c r="E140" s="220">
        <v>60</v>
      </c>
      <c r="F140" s="58"/>
      <c r="G140" s="58"/>
      <c r="H140" s="58"/>
      <c r="I140" s="58"/>
      <c r="J140" s="58"/>
      <c r="K140" s="58"/>
      <c r="L140" s="15"/>
      <c r="M140" s="58"/>
      <c r="N140" s="15"/>
      <c r="O140" s="58"/>
      <c r="P140" s="15"/>
      <c r="Q140" s="58"/>
      <c r="R140" s="15"/>
      <c r="S140" s="58"/>
      <c r="T140" s="15"/>
      <c r="U140" s="58"/>
      <c r="V140" s="15"/>
      <c r="W140" s="58"/>
      <c r="X140" s="15"/>
      <c r="Y140" s="58"/>
      <c r="Z140" s="15"/>
      <c r="AA140" s="58"/>
      <c r="AB140" s="15"/>
      <c r="AC140" s="58"/>
      <c r="AD140" s="58"/>
      <c r="AE140" s="58"/>
      <c r="AF140" s="15"/>
      <c r="AG140" s="58"/>
      <c r="AH140" s="15"/>
      <c r="AI140" s="58"/>
      <c r="AJ140" s="15"/>
      <c r="AK140" s="58"/>
      <c r="AL140" s="15"/>
      <c r="AM140" s="58"/>
      <c r="AN140" s="15"/>
      <c r="AO140" s="58"/>
      <c r="AP140" s="15"/>
      <c r="AQ140" s="58"/>
      <c r="AR140" s="15"/>
      <c r="AS140" s="58"/>
      <c r="AT140" s="15"/>
      <c r="AU140" s="58"/>
      <c r="AV140" s="15"/>
      <c r="AW140" s="58"/>
      <c r="AX140" s="15"/>
      <c r="AY140" s="58"/>
      <c r="AZ140" s="15"/>
      <c r="BA140" s="58"/>
      <c r="BB140" s="15"/>
      <c r="BC140" s="58"/>
      <c r="BD140" s="15"/>
      <c r="BE140" s="58"/>
      <c r="BF140" s="15"/>
      <c r="BG140" s="58"/>
      <c r="BH140" s="15"/>
      <c r="BI140" s="58"/>
      <c r="BJ140" s="15"/>
      <c r="BK140" s="58"/>
      <c r="BL140" s="15"/>
      <c r="BM140" s="58"/>
      <c r="BN140" s="15"/>
      <c r="BO140" s="58"/>
      <c r="BP140" s="15"/>
      <c r="BQ140" s="58"/>
      <c r="BR140" s="15"/>
      <c r="BS140" s="58"/>
      <c r="BT140" s="15"/>
      <c r="BU140" s="58"/>
      <c r="BV140" s="15"/>
      <c r="BW140" s="58"/>
      <c r="BX140" s="15"/>
      <c r="BY140" s="58"/>
      <c r="BZ140" s="15"/>
      <c r="CA140" s="58"/>
      <c r="CB140" s="15"/>
      <c r="CC140" s="58"/>
      <c r="CD140" s="15"/>
      <c r="CE140" s="58"/>
      <c r="CF140" s="15"/>
      <c r="CG140" s="58"/>
      <c r="CH140" s="15"/>
      <c r="CI140" s="58"/>
      <c r="CJ140" s="15"/>
      <c r="CK140" s="58"/>
      <c r="CL140" s="15"/>
      <c r="CM140" s="58"/>
      <c r="CN140" s="15"/>
      <c r="CO140" s="58"/>
      <c r="CP140" s="15"/>
      <c r="CQ140" s="58"/>
      <c r="CR140" s="15"/>
      <c r="CS140" s="58"/>
      <c r="CT140" s="15"/>
      <c r="CU140" s="58"/>
      <c r="CV140" s="15"/>
      <c r="CW140" s="58"/>
      <c r="CX140" s="15"/>
      <c r="CY140" s="58"/>
      <c r="CZ140" s="15"/>
      <c r="DA140" s="58"/>
      <c r="DB140" s="15"/>
      <c r="DC140" s="58"/>
      <c r="DD140" s="15"/>
      <c r="DE140" s="58"/>
      <c r="DF140" s="15"/>
      <c r="DG140" s="58"/>
      <c r="DH140" s="15"/>
      <c r="DI140" s="58"/>
      <c r="DJ140" s="15">
        <v>14000</v>
      </c>
      <c r="DK140" s="58">
        <f t="shared" ref="DK140" si="183">+(DJ140*5.1%)+DJ140</f>
        <v>14714</v>
      </c>
      <c r="DL140" s="15"/>
      <c r="DM140" s="58"/>
      <c r="DN140" s="15"/>
      <c r="DO140" s="58"/>
      <c r="DP140" s="15"/>
      <c r="DQ140" s="58"/>
      <c r="DR140" s="15"/>
      <c r="DS140" s="58"/>
      <c r="DT140" s="15"/>
      <c r="DU140" s="58"/>
      <c r="DV140" s="15"/>
      <c r="DW140" s="58"/>
      <c r="DX140" s="15"/>
      <c r="DY140" s="58"/>
      <c r="DZ140" s="15"/>
      <c r="EA140" s="58"/>
      <c r="EB140" s="15"/>
      <c r="EC140" s="58"/>
      <c r="ED140" s="15"/>
      <c r="EE140" s="217"/>
      <c r="EF140" s="8">
        <v>12900</v>
      </c>
      <c r="EG140" s="312">
        <v>12600</v>
      </c>
      <c r="EH140" s="236">
        <v>12300</v>
      </c>
      <c r="EI140" s="224"/>
      <c r="EJ140" s="58"/>
      <c r="EK140" s="58"/>
      <c r="EL140" s="58"/>
      <c r="EM140" s="58"/>
      <c r="EN140" s="208" t="s">
        <v>209</v>
      </c>
      <c r="EO140" s="246" t="s">
        <v>209</v>
      </c>
      <c r="EP140" s="246" t="s">
        <v>209</v>
      </c>
      <c r="EQ140" s="246" t="s">
        <v>209</v>
      </c>
      <c r="ER140" s="246"/>
      <c r="ES140" s="246"/>
      <c r="ET140" s="246"/>
      <c r="EU140" s="246"/>
      <c r="EV140" s="246"/>
      <c r="EW140" s="246"/>
      <c r="EX140" s="246"/>
      <c r="EY140" s="246"/>
      <c r="EZ140" s="246"/>
      <c r="FA140" s="246"/>
      <c r="FB140" s="63">
        <f>MEDIAN(DK140,EF140,EG140,EH140)</f>
        <v>12750</v>
      </c>
      <c r="FC140" s="63">
        <f>AVERAGE(DK140,EF140,EG140,EH140)</f>
        <v>13128.5</v>
      </c>
      <c r="FD140" s="64">
        <f>STDEV(DK140,EF140,EG140,EH140)</f>
        <v>1085.0110598514652</v>
      </c>
      <c r="FE140" s="65">
        <f t="shared" si="178"/>
        <v>8.2645470529875101E-2</v>
      </c>
      <c r="FF140" s="88">
        <f t="shared" si="180"/>
        <v>11032.773109243699</v>
      </c>
      <c r="FG140" s="88">
        <f t="shared" si="181"/>
        <v>2096.226890756303</v>
      </c>
      <c r="FH140" s="74">
        <f t="shared" si="179"/>
        <v>13129</v>
      </c>
      <c r="FI140" s="260">
        <f t="shared" si="172"/>
        <v>787740</v>
      </c>
      <c r="FJ140" s="60" t="s">
        <v>65</v>
      </c>
    </row>
    <row r="141" spans="1:166" s="40" customFormat="1" ht="69" customHeight="1" x14ac:dyDescent="0.35">
      <c r="A141" s="37">
        <v>135</v>
      </c>
      <c r="B141" s="210" t="s">
        <v>327</v>
      </c>
      <c r="C141" s="210" t="s">
        <v>994</v>
      </c>
      <c r="D141" s="249" t="s">
        <v>131</v>
      </c>
      <c r="E141" s="220">
        <v>90</v>
      </c>
      <c r="F141" s="58"/>
      <c r="G141" s="58"/>
      <c r="H141" s="58"/>
      <c r="I141" s="58"/>
      <c r="J141" s="58"/>
      <c r="K141" s="58"/>
      <c r="L141" s="15"/>
      <c r="M141" s="58"/>
      <c r="N141" s="15"/>
      <c r="O141" s="58"/>
      <c r="P141" s="15"/>
      <c r="Q141" s="58"/>
      <c r="R141" s="15"/>
      <c r="S141" s="58"/>
      <c r="T141" s="15"/>
      <c r="U141" s="58"/>
      <c r="V141" s="15"/>
      <c r="W141" s="58"/>
      <c r="X141" s="15"/>
      <c r="Y141" s="58"/>
      <c r="Z141" s="15"/>
      <c r="AA141" s="58"/>
      <c r="AB141" s="15"/>
      <c r="AC141" s="58"/>
      <c r="AD141" s="58"/>
      <c r="AE141" s="58"/>
      <c r="AF141" s="15"/>
      <c r="AG141" s="58"/>
      <c r="AH141" s="15"/>
      <c r="AI141" s="58"/>
      <c r="AJ141" s="15"/>
      <c r="AK141" s="58"/>
      <c r="AL141" s="15"/>
      <c r="AM141" s="58"/>
      <c r="AN141" s="15"/>
      <c r="AO141" s="58"/>
      <c r="AP141" s="15"/>
      <c r="AQ141" s="58"/>
      <c r="AR141" s="15"/>
      <c r="AS141" s="58"/>
      <c r="AT141" s="15"/>
      <c r="AU141" s="58"/>
      <c r="AV141" s="15"/>
      <c r="AW141" s="58"/>
      <c r="AX141" s="15"/>
      <c r="AY141" s="58"/>
      <c r="AZ141" s="15"/>
      <c r="BA141" s="58"/>
      <c r="BB141" s="15"/>
      <c r="BC141" s="58"/>
      <c r="BD141" s="15"/>
      <c r="BE141" s="58"/>
      <c r="BF141" s="15"/>
      <c r="BG141" s="58"/>
      <c r="BH141" s="15"/>
      <c r="BI141" s="58"/>
      <c r="BJ141" s="15"/>
      <c r="BK141" s="58"/>
      <c r="BL141" s="15"/>
      <c r="BM141" s="58"/>
      <c r="BN141" s="15"/>
      <c r="BO141" s="58"/>
      <c r="BP141" s="15"/>
      <c r="BQ141" s="58"/>
      <c r="BR141" s="15"/>
      <c r="BS141" s="58"/>
      <c r="BT141" s="15"/>
      <c r="BU141" s="58"/>
      <c r="BV141" s="15"/>
      <c r="BW141" s="58"/>
      <c r="BX141" s="15"/>
      <c r="BY141" s="58"/>
      <c r="BZ141" s="15"/>
      <c r="CA141" s="58"/>
      <c r="CB141" s="15"/>
      <c r="CC141" s="58"/>
      <c r="CD141" s="15"/>
      <c r="CE141" s="58"/>
      <c r="CF141" s="15"/>
      <c r="CG141" s="58"/>
      <c r="CH141" s="15"/>
      <c r="CI141" s="58"/>
      <c r="CJ141" s="15"/>
      <c r="CK141" s="58"/>
      <c r="CL141" s="15"/>
      <c r="CM141" s="58"/>
      <c r="CN141" s="15"/>
      <c r="CO141" s="58"/>
      <c r="CP141" s="15"/>
      <c r="CQ141" s="58"/>
      <c r="CR141" s="15"/>
      <c r="CS141" s="58"/>
      <c r="CT141" s="15"/>
      <c r="CU141" s="58"/>
      <c r="CV141" s="15"/>
      <c r="CW141" s="58"/>
      <c r="CX141" s="15"/>
      <c r="CY141" s="58"/>
      <c r="CZ141" s="15"/>
      <c r="DA141" s="58"/>
      <c r="DB141" s="15"/>
      <c r="DC141" s="58"/>
      <c r="DD141" s="15"/>
      <c r="DE141" s="58"/>
      <c r="DF141" s="15"/>
      <c r="DG141" s="58"/>
      <c r="DH141" s="15"/>
      <c r="DI141" s="58"/>
      <c r="DJ141" s="15"/>
      <c r="DK141" s="58"/>
      <c r="DL141" s="15"/>
      <c r="DM141" s="58"/>
      <c r="DN141" s="15"/>
      <c r="DO141" s="58"/>
      <c r="DP141" s="15"/>
      <c r="DQ141" s="58"/>
      <c r="DR141" s="15"/>
      <c r="DS141" s="58"/>
      <c r="DT141" s="15"/>
      <c r="DU141" s="58"/>
      <c r="DV141" s="15"/>
      <c r="DW141" s="58"/>
      <c r="DX141" s="15"/>
      <c r="DY141" s="58"/>
      <c r="DZ141" s="15"/>
      <c r="EA141" s="58"/>
      <c r="EB141" s="15"/>
      <c r="EC141" s="58"/>
      <c r="ED141" s="15"/>
      <c r="EE141" s="217"/>
      <c r="EF141" s="8">
        <v>14000</v>
      </c>
      <c r="EG141" s="312">
        <v>12300</v>
      </c>
      <c r="EH141" s="236">
        <v>13100</v>
      </c>
      <c r="EI141" s="224"/>
      <c r="EJ141" s="228"/>
      <c r="EK141" s="228"/>
      <c r="EL141" s="228"/>
      <c r="EM141" s="228"/>
      <c r="EN141" s="208" t="s">
        <v>209</v>
      </c>
      <c r="EO141" s="246" t="s">
        <v>209</v>
      </c>
      <c r="EP141" s="246" t="s">
        <v>209</v>
      </c>
      <c r="EQ141" s="246" t="s">
        <v>209</v>
      </c>
      <c r="ER141" s="246"/>
      <c r="ES141" s="246"/>
      <c r="ET141" s="246"/>
      <c r="EU141" s="246"/>
      <c r="EV141" s="246"/>
      <c r="EW141" s="246"/>
      <c r="EX141" s="246"/>
      <c r="EY141" s="246"/>
      <c r="EZ141" s="246"/>
      <c r="FA141" s="246"/>
      <c r="FB141" s="59">
        <f>MEDIAN(EF141,EG141,EH141)</f>
        <v>13100</v>
      </c>
      <c r="FC141" s="59">
        <f>AVERAGE(EF141,EG141,EH141)</f>
        <v>13133.333333333334</v>
      </c>
      <c r="FD141" s="60">
        <f>STDEV(EF141,EG141,EH141)</f>
        <v>850.49005481153824</v>
      </c>
      <c r="FE141" s="65">
        <f t="shared" si="178"/>
        <v>6.4758126000878546E-2</v>
      </c>
      <c r="FF141" s="88">
        <f t="shared" si="180"/>
        <v>11036.974789915967</v>
      </c>
      <c r="FG141" s="88">
        <f t="shared" si="181"/>
        <v>2097.0252100840335</v>
      </c>
      <c r="FH141" s="74">
        <f t="shared" si="179"/>
        <v>13134</v>
      </c>
      <c r="FI141" s="260">
        <f t="shared" si="172"/>
        <v>1182060</v>
      </c>
      <c r="FJ141" s="60" t="s">
        <v>65</v>
      </c>
    </row>
    <row r="142" spans="1:166" s="40" customFormat="1" ht="69" customHeight="1" x14ac:dyDescent="0.35">
      <c r="A142" s="36">
        <v>136</v>
      </c>
      <c r="B142" s="210" t="s">
        <v>328</v>
      </c>
      <c r="C142" s="210" t="s">
        <v>995</v>
      </c>
      <c r="D142" s="249" t="s">
        <v>329</v>
      </c>
      <c r="E142" s="220">
        <v>50</v>
      </c>
      <c r="F142" s="58"/>
      <c r="G142" s="58"/>
      <c r="H142" s="58"/>
      <c r="I142" s="58"/>
      <c r="J142" s="58"/>
      <c r="K142" s="58"/>
      <c r="L142" s="15"/>
      <c r="M142" s="58"/>
      <c r="N142" s="15"/>
      <c r="O142" s="58"/>
      <c r="P142" s="15"/>
      <c r="Q142" s="58"/>
      <c r="R142" s="15"/>
      <c r="S142" s="58"/>
      <c r="T142" s="15"/>
      <c r="U142" s="58"/>
      <c r="V142" s="15"/>
      <c r="W142" s="58"/>
      <c r="X142" s="15"/>
      <c r="Y142" s="58"/>
      <c r="Z142" s="15"/>
      <c r="AA142" s="58"/>
      <c r="AB142" s="15"/>
      <c r="AC142" s="58"/>
      <c r="AD142" s="58"/>
      <c r="AE142" s="58"/>
      <c r="AF142" s="15"/>
      <c r="AG142" s="58"/>
      <c r="AH142" s="15"/>
      <c r="AI142" s="58"/>
      <c r="AJ142" s="15"/>
      <c r="AK142" s="58"/>
      <c r="AL142" s="15"/>
      <c r="AM142" s="58"/>
      <c r="AN142" s="15"/>
      <c r="AO142" s="58"/>
      <c r="AP142" s="15"/>
      <c r="AQ142" s="58"/>
      <c r="AR142" s="15"/>
      <c r="AS142" s="58"/>
      <c r="AT142" s="15"/>
      <c r="AU142" s="58"/>
      <c r="AV142" s="15"/>
      <c r="AW142" s="58"/>
      <c r="AX142" s="15"/>
      <c r="AY142" s="58"/>
      <c r="AZ142" s="15"/>
      <c r="BA142" s="58"/>
      <c r="BB142" s="15"/>
      <c r="BC142" s="58"/>
      <c r="BD142" s="15"/>
      <c r="BE142" s="58"/>
      <c r="BF142" s="15"/>
      <c r="BG142" s="58"/>
      <c r="BH142" s="15"/>
      <c r="BI142" s="58"/>
      <c r="BJ142" s="15"/>
      <c r="BK142" s="58"/>
      <c r="BL142" s="15"/>
      <c r="BM142" s="58"/>
      <c r="BN142" s="15"/>
      <c r="BO142" s="58"/>
      <c r="BP142" s="15"/>
      <c r="BQ142" s="58"/>
      <c r="BR142" s="15"/>
      <c r="BS142" s="58"/>
      <c r="BT142" s="15"/>
      <c r="BU142" s="58"/>
      <c r="BV142" s="15"/>
      <c r="BW142" s="58"/>
      <c r="BX142" s="15"/>
      <c r="BY142" s="58"/>
      <c r="BZ142" s="15"/>
      <c r="CA142" s="58"/>
      <c r="CB142" s="15"/>
      <c r="CC142" s="58"/>
      <c r="CD142" s="15"/>
      <c r="CE142" s="58"/>
      <c r="CF142" s="15"/>
      <c r="CG142" s="58"/>
      <c r="CH142" s="15"/>
      <c r="CI142" s="58"/>
      <c r="CJ142" s="15"/>
      <c r="CK142" s="58"/>
      <c r="CL142" s="15"/>
      <c r="CM142" s="58"/>
      <c r="CN142" s="15"/>
      <c r="CO142" s="58"/>
      <c r="CP142" s="15"/>
      <c r="CQ142" s="58"/>
      <c r="CR142" s="15"/>
      <c r="CS142" s="58"/>
      <c r="CT142" s="15"/>
      <c r="CU142" s="58"/>
      <c r="CV142" s="15"/>
      <c r="CW142" s="58"/>
      <c r="CX142" s="15"/>
      <c r="CY142" s="58"/>
      <c r="CZ142" s="15"/>
      <c r="DA142" s="58"/>
      <c r="DB142" s="15"/>
      <c r="DC142" s="58"/>
      <c r="DD142" s="15"/>
      <c r="DE142" s="58"/>
      <c r="DF142" s="15"/>
      <c r="DG142" s="58"/>
      <c r="DH142" s="15"/>
      <c r="DI142" s="58"/>
      <c r="DJ142" s="15"/>
      <c r="DK142" s="58"/>
      <c r="DL142" s="15"/>
      <c r="DM142" s="58"/>
      <c r="DN142" s="15"/>
      <c r="DO142" s="58"/>
      <c r="DP142" s="15"/>
      <c r="DQ142" s="58"/>
      <c r="DR142" s="15"/>
      <c r="DS142" s="58"/>
      <c r="DT142" s="15"/>
      <c r="DU142" s="58"/>
      <c r="DV142" s="15"/>
      <c r="DW142" s="58"/>
      <c r="DX142" s="15"/>
      <c r="DY142" s="58"/>
      <c r="DZ142" s="15"/>
      <c r="EA142" s="58"/>
      <c r="EB142" s="15"/>
      <c r="EC142" s="58"/>
      <c r="ED142" s="15"/>
      <c r="EE142" s="217"/>
      <c r="EF142" s="8">
        <v>9600</v>
      </c>
      <c r="EG142" s="312">
        <v>7600</v>
      </c>
      <c r="EH142" s="236">
        <v>8900</v>
      </c>
      <c r="EI142" s="224"/>
      <c r="EJ142" s="228"/>
      <c r="EK142" s="228"/>
      <c r="EL142" s="228"/>
      <c r="EM142" s="228"/>
      <c r="EN142" s="208" t="s">
        <v>209</v>
      </c>
      <c r="EO142" s="246" t="s">
        <v>209</v>
      </c>
      <c r="EP142" s="246" t="s">
        <v>209</v>
      </c>
      <c r="EQ142" s="246" t="s">
        <v>209</v>
      </c>
      <c r="ER142" s="246"/>
      <c r="ES142" s="246"/>
      <c r="ET142" s="246"/>
      <c r="EU142" s="246"/>
      <c r="EV142" s="246"/>
      <c r="EW142" s="246"/>
      <c r="EX142" s="246"/>
      <c r="EY142" s="246"/>
      <c r="EZ142" s="246"/>
      <c r="FA142" s="246"/>
      <c r="FB142" s="59">
        <f>MEDIAN(EF142,EG142,EH142)</f>
        <v>8900</v>
      </c>
      <c r="FC142" s="59">
        <f>AVERAGE(EF142,EG142,EH142)</f>
        <v>8700</v>
      </c>
      <c r="FD142" s="60">
        <f>STDEV(EF142,EG142,EH142)</f>
        <v>1014.8891565092219</v>
      </c>
      <c r="FE142" s="65">
        <f t="shared" si="178"/>
        <v>0.11665392603554275</v>
      </c>
      <c r="FF142" s="88">
        <f t="shared" si="180"/>
        <v>7310.9243697478996</v>
      </c>
      <c r="FG142" s="88">
        <f t="shared" si="181"/>
        <v>1389.0756302521008</v>
      </c>
      <c r="FH142" s="74">
        <f t="shared" si="179"/>
        <v>8700</v>
      </c>
      <c r="FI142" s="260">
        <f t="shared" si="172"/>
        <v>435000</v>
      </c>
      <c r="FJ142" s="60" t="s">
        <v>65</v>
      </c>
    </row>
    <row r="143" spans="1:166" s="40" customFormat="1" ht="69" customHeight="1" x14ac:dyDescent="0.35">
      <c r="A143" s="36">
        <v>137</v>
      </c>
      <c r="B143" s="210" t="s">
        <v>330</v>
      </c>
      <c r="C143" s="210" t="s">
        <v>996</v>
      </c>
      <c r="D143" s="249" t="s">
        <v>329</v>
      </c>
      <c r="E143" s="220">
        <v>49</v>
      </c>
      <c r="F143" s="230"/>
      <c r="G143" s="58"/>
      <c r="H143" s="230"/>
      <c r="I143" s="58"/>
      <c r="J143" s="230"/>
      <c r="K143" s="58"/>
      <c r="L143" s="45"/>
      <c r="M143" s="58"/>
      <c r="N143" s="45"/>
      <c r="O143" s="58"/>
      <c r="P143" s="45"/>
      <c r="Q143" s="58"/>
      <c r="R143" s="45"/>
      <c r="S143" s="58"/>
      <c r="T143" s="45"/>
      <c r="U143" s="58"/>
      <c r="V143" s="45"/>
      <c r="W143" s="58"/>
      <c r="X143" s="45"/>
      <c r="Y143" s="58"/>
      <c r="Z143" s="45"/>
      <c r="AA143" s="58"/>
      <c r="AB143" s="45"/>
      <c r="AC143" s="58"/>
      <c r="AD143" s="58"/>
      <c r="AE143" s="58"/>
      <c r="AF143" s="45"/>
      <c r="AG143" s="58"/>
      <c r="AH143" s="45"/>
      <c r="AI143" s="58"/>
      <c r="AJ143" s="45"/>
      <c r="AK143" s="58"/>
      <c r="AL143" s="45"/>
      <c r="AM143" s="58"/>
      <c r="AN143" s="45"/>
      <c r="AO143" s="58"/>
      <c r="AP143" s="45"/>
      <c r="AQ143" s="58"/>
      <c r="AR143" s="45"/>
      <c r="AS143" s="58"/>
      <c r="AT143" s="45"/>
      <c r="AU143" s="58"/>
      <c r="AV143" s="45"/>
      <c r="AW143" s="58"/>
      <c r="AX143" s="45"/>
      <c r="AY143" s="58"/>
      <c r="AZ143" s="45"/>
      <c r="BA143" s="58"/>
      <c r="BB143" s="45"/>
      <c r="BC143" s="58"/>
      <c r="BD143" s="45"/>
      <c r="BE143" s="58"/>
      <c r="BF143" s="45"/>
      <c r="BG143" s="58"/>
      <c r="BH143" s="45"/>
      <c r="BI143" s="58"/>
      <c r="BJ143" s="45">
        <v>10100</v>
      </c>
      <c r="BK143" s="58">
        <f t="shared" ref="BK143" si="184">+(BJ143*5.1%)+BJ143</f>
        <v>10615.1</v>
      </c>
      <c r="BL143" s="45"/>
      <c r="BM143" s="58"/>
      <c r="BN143" s="45"/>
      <c r="BO143" s="58"/>
      <c r="BP143" s="45"/>
      <c r="BQ143" s="58"/>
      <c r="BR143" s="45"/>
      <c r="BS143" s="58"/>
      <c r="BT143" s="45"/>
      <c r="BU143" s="58"/>
      <c r="BV143" s="45"/>
      <c r="BW143" s="58"/>
      <c r="BX143" s="45"/>
      <c r="BY143" s="58"/>
      <c r="BZ143" s="45"/>
      <c r="CA143" s="58"/>
      <c r="CB143" s="45"/>
      <c r="CC143" s="58"/>
      <c r="CD143" s="45"/>
      <c r="CE143" s="58"/>
      <c r="CF143" s="45"/>
      <c r="CG143" s="58"/>
      <c r="CH143" s="45"/>
      <c r="CI143" s="58"/>
      <c r="CJ143" s="45"/>
      <c r="CK143" s="58"/>
      <c r="CL143" s="45"/>
      <c r="CM143" s="58"/>
      <c r="CN143" s="45"/>
      <c r="CO143" s="58"/>
      <c r="CP143" s="45"/>
      <c r="CQ143" s="58"/>
      <c r="CR143" s="45"/>
      <c r="CS143" s="58"/>
      <c r="CT143" s="45"/>
      <c r="CU143" s="58"/>
      <c r="CV143" s="45"/>
      <c r="CW143" s="58"/>
      <c r="CX143" s="45"/>
      <c r="CY143" s="58"/>
      <c r="CZ143" s="45"/>
      <c r="DA143" s="58"/>
      <c r="DB143" s="45"/>
      <c r="DC143" s="58"/>
      <c r="DD143" s="45"/>
      <c r="DE143" s="58"/>
      <c r="DF143" s="45"/>
      <c r="DG143" s="58"/>
      <c r="DH143" s="45"/>
      <c r="DI143" s="58"/>
      <c r="DJ143" s="45"/>
      <c r="DK143" s="58"/>
      <c r="DL143" s="45"/>
      <c r="DM143" s="58"/>
      <c r="DN143" s="45"/>
      <c r="DO143" s="58"/>
      <c r="DP143" s="45"/>
      <c r="DQ143" s="58"/>
      <c r="DR143" s="45"/>
      <c r="DS143" s="58"/>
      <c r="DT143" s="45"/>
      <c r="DU143" s="58"/>
      <c r="DV143" s="45"/>
      <c r="DW143" s="58"/>
      <c r="DX143" s="45"/>
      <c r="DY143" s="58"/>
      <c r="DZ143" s="45"/>
      <c r="EA143" s="58"/>
      <c r="EB143" s="45"/>
      <c r="EC143" s="58"/>
      <c r="ED143" s="45"/>
      <c r="EE143" s="217"/>
      <c r="EF143" s="8">
        <v>9700</v>
      </c>
      <c r="EG143" s="312">
        <v>7600</v>
      </c>
      <c r="EH143" s="236">
        <v>8900</v>
      </c>
      <c r="EI143" s="224"/>
      <c r="EJ143" s="58"/>
      <c r="EK143" s="58"/>
      <c r="EL143" s="58"/>
      <c r="EM143" s="58"/>
      <c r="EN143" s="208" t="s">
        <v>209</v>
      </c>
      <c r="EO143" s="246" t="s">
        <v>209</v>
      </c>
      <c r="EP143" s="246" t="s">
        <v>209</v>
      </c>
      <c r="EQ143" s="251" t="s">
        <v>209</v>
      </c>
      <c r="ER143" s="251"/>
      <c r="ES143" s="251"/>
      <c r="ET143" s="251"/>
      <c r="EU143" s="251"/>
      <c r="EV143" s="251"/>
      <c r="EW143" s="251"/>
      <c r="EX143" s="251"/>
      <c r="EY143" s="251"/>
      <c r="EZ143" s="251"/>
      <c r="FA143" s="251"/>
      <c r="FB143" s="63">
        <f>MEDIAN(BK143,EF143,EG143,EH143)</f>
        <v>9300</v>
      </c>
      <c r="FC143" s="63">
        <f>AVERAGE(BK143,EF143,EG143,EH143)</f>
        <v>9203.7749999999996</v>
      </c>
      <c r="FD143" s="64">
        <f>STDEV(BK143,EF143,EG143,EH143)</f>
        <v>1278.3388970978435</v>
      </c>
      <c r="FE143" s="62">
        <f t="shared" si="178"/>
        <v>0.1388928887437865</v>
      </c>
      <c r="FF143" s="88">
        <f t="shared" si="180"/>
        <v>7734.453781512605</v>
      </c>
      <c r="FG143" s="88">
        <f t="shared" si="181"/>
        <v>1469.546218487395</v>
      </c>
      <c r="FH143" s="72">
        <f t="shared" si="179"/>
        <v>9204</v>
      </c>
      <c r="FI143" s="260">
        <f t="shared" si="172"/>
        <v>450996</v>
      </c>
      <c r="FJ143" s="60" t="s">
        <v>65</v>
      </c>
    </row>
    <row r="144" spans="1:166" s="40" customFormat="1" ht="69" customHeight="1" x14ac:dyDescent="0.35">
      <c r="A144" s="37">
        <v>138</v>
      </c>
      <c r="B144" s="210" t="s">
        <v>331</v>
      </c>
      <c r="C144" s="210" t="s">
        <v>997</v>
      </c>
      <c r="D144" s="249" t="s">
        <v>329</v>
      </c>
      <c r="E144" s="220">
        <v>50</v>
      </c>
      <c r="F144" s="230"/>
      <c r="G144" s="58"/>
      <c r="H144" s="230"/>
      <c r="I144" s="58"/>
      <c r="J144" s="230"/>
      <c r="K144" s="58"/>
      <c r="L144" s="45"/>
      <c r="M144" s="58"/>
      <c r="N144" s="45"/>
      <c r="O144" s="58"/>
      <c r="P144" s="45"/>
      <c r="Q144" s="58"/>
      <c r="R144" s="45"/>
      <c r="S144" s="58"/>
      <c r="T144" s="45"/>
      <c r="U144" s="58"/>
      <c r="V144" s="45"/>
      <c r="W144" s="58"/>
      <c r="X144" s="45"/>
      <c r="Y144" s="58"/>
      <c r="Z144" s="45"/>
      <c r="AA144" s="58"/>
      <c r="AB144" s="45"/>
      <c r="AC144" s="58"/>
      <c r="AD144" s="58"/>
      <c r="AE144" s="58"/>
      <c r="AF144" s="45"/>
      <c r="AG144" s="58"/>
      <c r="AH144" s="45"/>
      <c r="AI144" s="58"/>
      <c r="AJ144" s="45"/>
      <c r="AK144" s="58"/>
      <c r="AL144" s="45"/>
      <c r="AM144" s="58"/>
      <c r="AN144" s="45"/>
      <c r="AO144" s="58"/>
      <c r="AP144" s="45"/>
      <c r="AQ144" s="58"/>
      <c r="AR144" s="45"/>
      <c r="AS144" s="58"/>
      <c r="AT144" s="45"/>
      <c r="AU144" s="58"/>
      <c r="AV144" s="45"/>
      <c r="AW144" s="58"/>
      <c r="AX144" s="45"/>
      <c r="AY144" s="58"/>
      <c r="AZ144" s="45"/>
      <c r="BA144" s="58"/>
      <c r="BB144" s="45"/>
      <c r="BC144" s="58"/>
      <c r="BD144" s="45"/>
      <c r="BE144" s="58"/>
      <c r="BF144" s="45"/>
      <c r="BG144" s="58"/>
      <c r="BH144" s="45"/>
      <c r="BI144" s="58"/>
      <c r="BJ144" s="45"/>
      <c r="BK144" s="58"/>
      <c r="BL144" s="45"/>
      <c r="BM144" s="58"/>
      <c r="BN144" s="45"/>
      <c r="BO144" s="58"/>
      <c r="BP144" s="45"/>
      <c r="BQ144" s="58"/>
      <c r="BR144" s="45"/>
      <c r="BS144" s="58"/>
      <c r="BT144" s="45"/>
      <c r="BU144" s="58"/>
      <c r="BV144" s="45"/>
      <c r="BW144" s="58"/>
      <c r="BX144" s="45"/>
      <c r="BY144" s="58"/>
      <c r="BZ144" s="45"/>
      <c r="CA144" s="58"/>
      <c r="CB144" s="45"/>
      <c r="CC144" s="58"/>
      <c r="CD144" s="45"/>
      <c r="CE144" s="58"/>
      <c r="CF144" s="45"/>
      <c r="CG144" s="58"/>
      <c r="CH144" s="45"/>
      <c r="CI144" s="58"/>
      <c r="CJ144" s="45"/>
      <c r="CK144" s="58"/>
      <c r="CL144" s="45"/>
      <c r="CM144" s="58"/>
      <c r="CN144" s="45"/>
      <c r="CO144" s="58"/>
      <c r="CP144" s="45"/>
      <c r="CQ144" s="58"/>
      <c r="CR144" s="45"/>
      <c r="CS144" s="58"/>
      <c r="CT144" s="45"/>
      <c r="CU144" s="58"/>
      <c r="CV144" s="45"/>
      <c r="CW144" s="58"/>
      <c r="CX144" s="45"/>
      <c r="CY144" s="58"/>
      <c r="CZ144" s="45"/>
      <c r="DA144" s="58"/>
      <c r="DB144" s="45"/>
      <c r="DC144" s="58"/>
      <c r="DD144" s="45"/>
      <c r="DE144" s="58"/>
      <c r="DF144" s="45"/>
      <c r="DG144" s="58"/>
      <c r="DH144" s="45"/>
      <c r="DI144" s="58"/>
      <c r="DJ144" s="45"/>
      <c r="DK144" s="58"/>
      <c r="DL144" s="45"/>
      <c r="DM144" s="58"/>
      <c r="DN144" s="45"/>
      <c r="DO144" s="58"/>
      <c r="DP144" s="45"/>
      <c r="DQ144" s="58"/>
      <c r="DR144" s="45"/>
      <c r="DS144" s="58"/>
      <c r="DT144" s="45"/>
      <c r="DU144" s="58"/>
      <c r="DV144" s="45"/>
      <c r="DW144" s="58"/>
      <c r="DX144" s="45"/>
      <c r="DY144" s="58"/>
      <c r="DZ144" s="45"/>
      <c r="EA144" s="58"/>
      <c r="EB144" s="45"/>
      <c r="EC144" s="58"/>
      <c r="ED144" s="45"/>
      <c r="EE144" s="217"/>
      <c r="EF144" s="8">
        <v>9500</v>
      </c>
      <c r="EG144" s="312">
        <v>8700</v>
      </c>
      <c r="EH144" s="236">
        <v>9200</v>
      </c>
      <c r="EI144" s="224"/>
      <c r="EJ144" s="58"/>
      <c r="EK144" s="58"/>
      <c r="EL144" s="58"/>
      <c r="EM144" s="58"/>
      <c r="EN144" s="208" t="s">
        <v>209</v>
      </c>
      <c r="EO144" s="246" t="s">
        <v>209</v>
      </c>
      <c r="EP144" s="246" t="s">
        <v>209</v>
      </c>
      <c r="EQ144" s="251" t="s">
        <v>209</v>
      </c>
      <c r="ER144" s="251"/>
      <c r="ES144" s="251"/>
      <c r="ET144" s="251"/>
      <c r="EU144" s="251"/>
      <c r="EV144" s="251"/>
      <c r="EW144" s="251"/>
      <c r="EX144" s="251"/>
      <c r="EY144" s="251"/>
      <c r="EZ144" s="251"/>
      <c r="FA144" s="251"/>
      <c r="FB144" s="63">
        <f>MEDIAN(EF144,EG144,EH144)</f>
        <v>9200</v>
      </c>
      <c r="FC144" s="63">
        <f>AVERAGE(EF144,EG144,EH144)</f>
        <v>9133.3333333333339</v>
      </c>
      <c r="FD144" s="64">
        <f>STDEV(EF144,EG144,EH144)</f>
        <v>404.14518843273805</v>
      </c>
      <c r="FE144" s="62">
        <f t="shared" si="178"/>
        <v>4.4249473186066209E-2</v>
      </c>
      <c r="FF144" s="88">
        <f t="shared" si="180"/>
        <v>7675.6302521008411</v>
      </c>
      <c r="FG144" s="88">
        <f t="shared" si="181"/>
        <v>1458.3697478991598</v>
      </c>
      <c r="FH144" s="72">
        <f t="shared" ref="FH144" si="185">ROUNDUP(IF(FE144&lt;15%,FC144,FB144),0)</f>
        <v>9134</v>
      </c>
      <c r="FI144" s="260">
        <f t="shared" si="172"/>
        <v>456700</v>
      </c>
      <c r="FJ144" s="60" t="s">
        <v>65</v>
      </c>
    </row>
    <row r="145" spans="1:167" s="40" customFormat="1" ht="69" customHeight="1" x14ac:dyDescent="0.35">
      <c r="A145" s="37">
        <v>139</v>
      </c>
      <c r="B145" s="210" t="s">
        <v>332</v>
      </c>
      <c r="C145" s="210" t="s">
        <v>998</v>
      </c>
      <c r="D145" s="249" t="s">
        <v>64</v>
      </c>
      <c r="E145" s="220">
        <v>60</v>
      </c>
      <c r="F145" s="230"/>
      <c r="G145" s="58"/>
      <c r="H145" s="230"/>
      <c r="I145" s="58"/>
      <c r="J145" s="230"/>
      <c r="K145" s="58"/>
      <c r="L145" s="45"/>
      <c r="M145" s="58"/>
      <c r="N145" s="45"/>
      <c r="O145" s="58"/>
      <c r="P145" s="45"/>
      <c r="Q145" s="58"/>
      <c r="R145" s="45"/>
      <c r="S145" s="58"/>
      <c r="T145" s="45"/>
      <c r="U145" s="58"/>
      <c r="V145" s="45"/>
      <c r="W145" s="58"/>
      <c r="X145" s="45"/>
      <c r="Y145" s="58"/>
      <c r="Z145" s="45"/>
      <c r="AA145" s="58"/>
      <c r="AB145" s="45"/>
      <c r="AC145" s="58"/>
      <c r="AD145" s="58"/>
      <c r="AE145" s="58"/>
      <c r="AF145" s="45"/>
      <c r="AG145" s="58"/>
      <c r="AH145" s="45"/>
      <c r="AI145" s="58"/>
      <c r="AJ145" s="45"/>
      <c r="AK145" s="58"/>
      <c r="AL145" s="45"/>
      <c r="AM145" s="58"/>
      <c r="AN145" s="45"/>
      <c r="AO145" s="58"/>
      <c r="AP145" s="45"/>
      <c r="AQ145" s="58"/>
      <c r="AR145" s="45"/>
      <c r="AS145" s="58"/>
      <c r="AT145" s="45"/>
      <c r="AU145" s="58"/>
      <c r="AV145" s="45"/>
      <c r="AW145" s="58"/>
      <c r="AX145" s="45"/>
      <c r="AY145" s="58"/>
      <c r="AZ145" s="45"/>
      <c r="BA145" s="58"/>
      <c r="BB145" s="45"/>
      <c r="BC145" s="58"/>
      <c r="BD145" s="45"/>
      <c r="BE145" s="58"/>
      <c r="BF145" s="45"/>
      <c r="BG145" s="58"/>
      <c r="BH145" s="45"/>
      <c r="BI145" s="58"/>
      <c r="BJ145" s="45"/>
      <c r="BK145" s="58"/>
      <c r="BL145" s="45"/>
      <c r="BM145" s="58"/>
      <c r="BN145" s="45"/>
      <c r="BO145" s="58"/>
      <c r="BP145" s="45"/>
      <c r="BQ145" s="58"/>
      <c r="BR145" s="45"/>
      <c r="BS145" s="58"/>
      <c r="BT145" s="45"/>
      <c r="BU145" s="58"/>
      <c r="BV145" s="45"/>
      <c r="BW145" s="58"/>
      <c r="BX145" s="45"/>
      <c r="BY145" s="58"/>
      <c r="BZ145" s="45"/>
      <c r="CA145" s="58"/>
      <c r="CB145" s="45"/>
      <c r="CC145" s="58"/>
      <c r="CD145" s="45"/>
      <c r="CE145" s="58"/>
      <c r="CF145" s="45"/>
      <c r="CG145" s="58"/>
      <c r="CH145" s="45"/>
      <c r="CI145" s="58"/>
      <c r="CJ145" s="45"/>
      <c r="CK145" s="58"/>
      <c r="CL145" s="45"/>
      <c r="CM145" s="58"/>
      <c r="CN145" s="45"/>
      <c r="CO145" s="58"/>
      <c r="CP145" s="45"/>
      <c r="CQ145" s="58"/>
      <c r="CR145" s="45"/>
      <c r="CS145" s="58"/>
      <c r="CT145" s="45"/>
      <c r="CU145" s="58"/>
      <c r="CV145" s="45"/>
      <c r="CW145" s="58"/>
      <c r="CX145" s="45"/>
      <c r="CY145" s="58"/>
      <c r="CZ145" s="45"/>
      <c r="DA145" s="58"/>
      <c r="DB145" s="45"/>
      <c r="DC145" s="58"/>
      <c r="DD145" s="45"/>
      <c r="DE145" s="58"/>
      <c r="DF145" s="45"/>
      <c r="DG145" s="58"/>
      <c r="DH145" s="45"/>
      <c r="DI145" s="58"/>
      <c r="DJ145" s="45"/>
      <c r="DK145" s="58"/>
      <c r="DL145" s="45"/>
      <c r="DM145" s="58"/>
      <c r="DN145" s="45"/>
      <c r="DO145" s="58"/>
      <c r="DP145" s="45"/>
      <c r="DQ145" s="58"/>
      <c r="DR145" s="45"/>
      <c r="DS145" s="58"/>
      <c r="DT145" s="45"/>
      <c r="DU145" s="58"/>
      <c r="DV145" s="45"/>
      <c r="DW145" s="58"/>
      <c r="DX145" s="45"/>
      <c r="DY145" s="58"/>
      <c r="DZ145" s="45"/>
      <c r="EA145" s="58"/>
      <c r="EB145" s="45"/>
      <c r="EC145" s="58"/>
      <c r="ED145" s="45"/>
      <c r="EE145" s="217"/>
      <c r="EF145" s="8">
        <v>3400</v>
      </c>
      <c r="EG145" s="312">
        <v>2800</v>
      </c>
      <c r="EH145" s="236">
        <v>3100</v>
      </c>
      <c r="EI145" s="224"/>
      <c r="EJ145" s="230"/>
      <c r="EK145" s="230"/>
      <c r="EL145" s="230"/>
      <c r="EM145" s="230"/>
      <c r="EN145" s="255" t="s">
        <v>209</v>
      </c>
      <c r="EO145" s="256" t="s">
        <v>209</v>
      </c>
      <c r="EP145" s="256" t="s">
        <v>209</v>
      </c>
      <c r="EQ145" s="251" t="s">
        <v>209</v>
      </c>
      <c r="ER145" s="251"/>
      <c r="ES145" s="251"/>
      <c r="ET145" s="251"/>
      <c r="EU145" s="251"/>
      <c r="EV145" s="251"/>
      <c r="EW145" s="251"/>
      <c r="EX145" s="251"/>
      <c r="EY145" s="251"/>
      <c r="EZ145" s="251"/>
      <c r="FA145" s="251"/>
      <c r="FB145" s="69">
        <f>MEDIAN(EF145,EG145,EH145)</f>
        <v>3100</v>
      </c>
      <c r="FC145" s="69">
        <f>AVERAGE(EF145,EG145,EH145)</f>
        <v>3100</v>
      </c>
      <c r="FD145" s="70">
        <f>STDEV(EF145,EG145,EH145)</f>
        <v>300</v>
      </c>
      <c r="FE145" s="65">
        <f t="shared" ref="FE145" si="186">FD145/FC145</f>
        <v>9.6774193548387094E-2</v>
      </c>
      <c r="FF145" s="88">
        <f t="shared" si="180"/>
        <v>2605.0420168067226</v>
      </c>
      <c r="FG145" s="88">
        <f t="shared" si="181"/>
        <v>494.9579831932773</v>
      </c>
      <c r="FH145" s="72">
        <f t="shared" ref="FH145:FH175" si="187">ROUNDUP(IF(FE145&lt;15%,FC145,FB145),0)</f>
        <v>3100</v>
      </c>
      <c r="FI145" s="260">
        <f t="shared" si="172"/>
        <v>186000</v>
      </c>
      <c r="FJ145" s="60" t="s">
        <v>65</v>
      </c>
    </row>
    <row r="146" spans="1:167" s="40" customFormat="1" ht="69" customHeight="1" x14ac:dyDescent="0.35">
      <c r="A146" s="37">
        <v>140</v>
      </c>
      <c r="B146" s="46" t="s">
        <v>672</v>
      </c>
      <c r="C146" s="36" t="s">
        <v>673</v>
      </c>
      <c r="D146" s="249" t="s">
        <v>64</v>
      </c>
      <c r="E146" s="220">
        <v>107</v>
      </c>
      <c r="F146" s="230"/>
      <c r="G146" s="58"/>
      <c r="H146" s="230"/>
      <c r="I146" s="58"/>
      <c r="J146" s="230"/>
      <c r="K146" s="58"/>
      <c r="L146" s="45"/>
      <c r="M146" s="58"/>
      <c r="N146" s="45"/>
      <c r="O146" s="58"/>
      <c r="P146" s="45"/>
      <c r="Q146" s="58"/>
      <c r="R146" s="45"/>
      <c r="S146" s="58"/>
      <c r="T146" s="45"/>
      <c r="U146" s="58"/>
      <c r="V146" s="45"/>
      <c r="W146" s="58"/>
      <c r="X146" s="45"/>
      <c r="Y146" s="58"/>
      <c r="Z146" s="45"/>
      <c r="AA146" s="58"/>
      <c r="AB146" s="45"/>
      <c r="AC146" s="58"/>
      <c r="AD146" s="58"/>
      <c r="AE146" s="58"/>
      <c r="AF146" s="45"/>
      <c r="AG146" s="58"/>
      <c r="AH146" s="45"/>
      <c r="AI146" s="58"/>
      <c r="AJ146" s="45"/>
      <c r="AK146" s="58"/>
      <c r="AL146" s="45"/>
      <c r="AM146" s="58"/>
      <c r="AN146" s="45"/>
      <c r="AO146" s="58"/>
      <c r="AP146" s="45"/>
      <c r="AQ146" s="58"/>
      <c r="AR146" s="45"/>
      <c r="AS146" s="58"/>
      <c r="AT146" s="45"/>
      <c r="AU146" s="58"/>
      <c r="AV146" s="45"/>
      <c r="AW146" s="58"/>
      <c r="AX146" s="45"/>
      <c r="AY146" s="58"/>
      <c r="AZ146" s="45"/>
      <c r="BA146" s="58"/>
      <c r="BB146" s="45"/>
      <c r="BC146" s="58"/>
      <c r="BD146" s="45"/>
      <c r="BE146" s="58"/>
      <c r="BF146" s="45"/>
      <c r="BG146" s="58"/>
      <c r="BH146" s="45"/>
      <c r="BI146" s="58"/>
      <c r="BJ146" s="45"/>
      <c r="BK146" s="58"/>
      <c r="BL146" s="45"/>
      <c r="BM146" s="58"/>
      <c r="BN146" s="45"/>
      <c r="BO146" s="58"/>
      <c r="BP146" s="45"/>
      <c r="BQ146" s="58"/>
      <c r="BR146" s="45"/>
      <c r="BS146" s="58"/>
      <c r="BT146" s="45"/>
      <c r="BU146" s="58"/>
      <c r="BV146" s="45"/>
      <c r="BW146" s="58"/>
      <c r="BX146" s="45"/>
      <c r="BY146" s="58"/>
      <c r="BZ146" s="45"/>
      <c r="CA146" s="58"/>
      <c r="CB146" s="45"/>
      <c r="CC146" s="58"/>
      <c r="CD146" s="45"/>
      <c r="CE146" s="58"/>
      <c r="CF146" s="45"/>
      <c r="CG146" s="58"/>
      <c r="CH146" s="45"/>
      <c r="CI146" s="58"/>
      <c r="CJ146" s="45"/>
      <c r="CK146" s="58"/>
      <c r="CL146" s="24">
        <v>2521</v>
      </c>
      <c r="CM146" s="24">
        <v>2649.5709999999999</v>
      </c>
      <c r="CN146" s="24">
        <v>2200</v>
      </c>
      <c r="CO146" s="24">
        <v>2312.1999999999998</v>
      </c>
      <c r="CP146" s="45"/>
      <c r="CQ146" s="58"/>
      <c r="CR146" s="45"/>
      <c r="CS146" s="58"/>
      <c r="CT146" s="45"/>
      <c r="CU146" s="58"/>
      <c r="CV146" s="45"/>
      <c r="CW146" s="58"/>
      <c r="CX146" s="45"/>
      <c r="CY146" s="58"/>
      <c r="CZ146" s="45"/>
      <c r="DA146" s="58"/>
      <c r="DB146" s="45"/>
      <c r="DC146" s="58"/>
      <c r="DD146" s="45"/>
      <c r="DE146" s="58"/>
      <c r="DF146" s="45"/>
      <c r="DG146" s="58"/>
      <c r="DH146" s="45"/>
      <c r="DI146" s="58"/>
      <c r="DJ146" s="45"/>
      <c r="DK146" s="58"/>
      <c r="DL146" s="45"/>
      <c r="DM146" s="58"/>
      <c r="DN146" s="45"/>
      <c r="DO146" s="58"/>
      <c r="DP146" s="45"/>
      <c r="DQ146" s="58"/>
      <c r="DR146" s="45">
        <v>3330</v>
      </c>
      <c r="DS146" s="58">
        <f t="shared" ref="DS146" si="188">+(DR146*5.1%)+DR146</f>
        <v>3499.83</v>
      </c>
      <c r="DT146" s="45"/>
      <c r="DU146" s="58"/>
      <c r="DV146" s="45"/>
      <c r="DW146" s="58"/>
      <c r="DX146" s="45"/>
      <c r="DY146" s="58"/>
      <c r="DZ146" s="45"/>
      <c r="EA146" s="58"/>
      <c r="EB146" s="45"/>
      <c r="EC146" s="58"/>
      <c r="ED146" s="45"/>
      <c r="EE146" s="217"/>
      <c r="EF146" s="8"/>
      <c r="EG146" s="312"/>
      <c r="EH146" s="236"/>
      <c r="EI146" s="224"/>
      <c r="EJ146" s="230"/>
      <c r="EK146" s="230"/>
      <c r="EL146" s="230"/>
      <c r="EM146" s="230"/>
      <c r="EN146" s="251" t="s">
        <v>209</v>
      </c>
      <c r="EO146" s="247" t="s">
        <v>209</v>
      </c>
      <c r="EP146" s="247" t="s">
        <v>209</v>
      </c>
      <c r="EQ146" s="251" t="s">
        <v>209</v>
      </c>
      <c r="ER146" s="251"/>
      <c r="ES146" s="251"/>
      <c r="ET146" s="251"/>
      <c r="EU146" s="251"/>
      <c r="EV146" s="251"/>
      <c r="EW146" s="251"/>
      <c r="EX146" s="251"/>
      <c r="EY146" s="251"/>
      <c r="EZ146" s="251"/>
      <c r="FA146" s="251"/>
      <c r="FB146" s="69">
        <f>MEDIAN(CM146,CO146,DS146)</f>
        <v>2649.5709999999999</v>
      </c>
      <c r="FC146" s="69">
        <f>AVERAGE(CM146,CO146,DS146)</f>
        <v>2820.5336666666662</v>
      </c>
      <c r="FD146" s="70">
        <f>STDEV(CM146,CO146,DS146)</f>
        <v>611.99463173326649</v>
      </c>
      <c r="FE146" s="65">
        <f t="shared" si="178"/>
        <v>0.21697831122027614</v>
      </c>
      <c r="FF146" s="88">
        <f t="shared" ref="FF146" si="189">FH146/1.19</f>
        <v>2226.8907563025209</v>
      </c>
      <c r="FG146" s="88">
        <f t="shared" ref="FG146" si="190">+FF146*19%</f>
        <v>423.10924369747897</v>
      </c>
      <c r="FH146" s="72">
        <f t="shared" si="187"/>
        <v>2650</v>
      </c>
      <c r="FI146" s="260">
        <f t="shared" si="172"/>
        <v>283550</v>
      </c>
      <c r="FJ146" s="60" t="s">
        <v>66</v>
      </c>
      <c r="FK146" s="343"/>
    </row>
    <row r="147" spans="1:167" s="40" customFormat="1" ht="69" customHeight="1" x14ac:dyDescent="0.35">
      <c r="A147" s="36">
        <v>141</v>
      </c>
      <c r="B147" s="210" t="s">
        <v>333</v>
      </c>
      <c r="C147" s="210" t="s">
        <v>999</v>
      </c>
      <c r="D147" s="249" t="s">
        <v>64</v>
      </c>
      <c r="E147" s="220">
        <v>50</v>
      </c>
      <c r="F147" s="58"/>
      <c r="G147" s="58"/>
      <c r="H147" s="58"/>
      <c r="I147" s="58"/>
      <c r="J147" s="58"/>
      <c r="K147" s="58"/>
      <c r="L147" s="15"/>
      <c r="M147" s="58"/>
      <c r="N147" s="15"/>
      <c r="O147" s="58"/>
      <c r="P147" s="15"/>
      <c r="Q147" s="58"/>
      <c r="R147" s="15"/>
      <c r="S147" s="58"/>
      <c r="T147" s="15"/>
      <c r="U147" s="58"/>
      <c r="V147" s="15"/>
      <c r="W147" s="58"/>
      <c r="X147" s="15"/>
      <c r="Y147" s="58"/>
      <c r="Z147" s="15"/>
      <c r="AA147" s="58"/>
      <c r="AB147" s="15"/>
      <c r="AC147" s="58"/>
      <c r="AD147" s="15"/>
      <c r="AE147" s="58"/>
      <c r="AF147" s="15"/>
      <c r="AG147" s="58"/>
      <c r="AH147" s="15"/>
      <c r="AI147" s="58"/>
      <c r="AJ147" s="15"/>
      <c r="AK147" s="58"/>
      <c r="AL147" s="15"/>
      <c r="AM147" s="58"/>
      <c r="AN147" s="15"/>
      <c r="AO147" s="58"/>
      <c r="AP147" s="15"/>
      <c r="AQ147" s="58"/>
      <c r="AR147" s="15"/>
      <c r="AS147" s="58"/>
      <c r="AT147" s="15"/>
      <c r="AU147" s="58"/>
      <c r="AV147" s="15"/>
      <c r="AW147" s="58"/>
      <c r="AX147" s="15"/>
      <c r="AY147" s="58"/>
      <c r="AZ147" s="15"/>
      <c r="BA147" s="58"/>
      <c r="BB147" s="15"/>
      <c r="BC147" s="58"/>
      <c r="BD147" s="15"/>
      <c r="BE147" s="58"/>
      <c r="BF147" s="15"/>
      <c r="BG147" s="58"/>
      <c r="BH147" s="15"/>
      <c r="BI147" s="58"/>
      <c r="BJ147" s="15"/>
      <c r="BK147" s="58"/>
      <c r="BL147" s="15"/>
      <c r="BM147" s="58"/>
      <c r="BN147" s="15"/>
      <c r="BO147" s="58"/>
      <c r="BP147" s="15"/>
      <c r="BQ147" s="58"/>
      <c r="BR147" s="15"/>
      <c r="BS147" s="58"/>
      <c r="BT147" s="15"/>
      <c r="BU147" s="58"/>
      <c r="BV147" s="15"/>
      <c r="BW147" s="58"/>
      <c r="BX147" s="15"/>
      <c r="BY147" s="58"/>
      <c r="BZ147" s="15"/>
      <c r="CA147" s="58"/>
      <c r="CB147" s="15"/>
      <c r="CC147" s="58"/>
      <c r="CD147" s="15"/>
      <c r="CE147" s="58"/>
      <c r="CF147" s="15"/>
      <c r="CG147" s="58"/>
      <c r="CH147" s="15"/>
      <c r="CI147" s="58"/>
      <c r="CJ147" s="15">
        <v>10500</v>
      </c>
      <c r="CK147" s="58">
        <f t="shared" ref="CK147" si="191">+(CJ147*5.1%)+CJ147</f>
        <v>11035.5</v>
      </c>
      <c r="CL147" s="15"/>
      <c r="CM147" s="58"/>
      <c r="CN147" s="15">
        <v>11100</v>
      </c>
      <c r="CO147" s="58">
        <f t="shared" ref="CO147" si="192">+(CN147*5.1%)+CN147</f>
        <v>11666.1</v>
      </c>
      <c r="CP147" s="15"/>
      <c r="CQ147" s="58"/>
      <c r="CR147" s="15"/>
      <c r="CS147" s="58"/>
      <c r="CT147" s="15"/>
      <c r="CU147" s="58"/>
      <c r="CV147" s="15"/>
      <c r="CW147" s="58"/>
      <c r="CX147" s="15"/>
      <c r="CY147" s="58"/>
      <c r="CZ147" s="15"/>
      <c r="DA147" s="58"/>
      <c r="DB147" s="15"/>
      <c r="DC147" s="58"/>
      <c r="DD147" s="15"/>
      <c r="DE147" s="58"/>
      <c r="DF147" s="15"/>
      <c r="DG147" s="58"/>
      <c r="DH147" s="15"/>
      <c r="DI147" s="58"/>
      <c r="DJ147" s="15"/>
      <c r="DK147" s="58"/>
      <c r="DL147" s="15"/>
      <c r="DM147" s="58"/>
      <c r="DN147" s="15"/>
      <c r="DO147" s="58"/>
      <c r="DP147" s="15"/>
      <c r="DQ147" s="58"/>
      <c r="DR147" s="15"/>
      <c r="DS147" s="58"/>
      <c r="DT147" s="15"/>
      <c r="DU147" s="58"/>
      <c r="DV147" s="15"/>
      <c r="DW147" s="58"/>
      <c r="DX147" s="15"/>
      <c r="DY147" s="58"/>
      <c r="DZ147" s="15"/>
      <c r="EA147" s="58"/>
      <c r="EB147" s="15"/>
      <c r="EC147" s="58"/>
      <c r="ED147" s="15"/>
      <c r="EE147" s="217"/>
      <c r="EF147" s="222"/>
      <c r="EG147" s="235"/>
      <c r="EH147" s="223"/>
      <c r="EI147" s="224"/>
      <c r="EJ147" s="58"/>
      <c r="EK147" s="58"/>
      <c r="EL147" s="58"/>
      <c r="EM147" s="58"/>
      <c r="EN147" s="208" t="s">
        <v>209</v>
      </c>
      <c r="EO147" s="246" t="s">
        <v>209</v>
      </c>
      <c r="EP147" s="246" t="s">
        <v>209</v>
      </c>
      <c r="EQ147" s="251" t="s">
        <v>209</v>
      </c>
      <c r="ER147" s="251"/>
      <c r="ES147" s="251"/>
      <c r="ET147" s="251"/>
      <c r="EU147" s="251"/>
      <c r="EV147" s="251"/>
      <c r="EW147" s="251"/>
      <c r="EX147" s="251"/>
      <c r="EY147" s="251"/>
      <c r="EZ147" s="251"/>
      <c r="FA147" s="251"/>
      <c r="FB147" s="63">
        <f>MEDIAN(CK147,CO147)</f>
        <v>11350.8</v>
      </c>
      <c r="FC147" s="63">
        <f>AVERAGE(CK147,CO147)</f>
        <v>11350.8</v>
      </c>
      <c r="FD147" s="64">
        <f>STDEV(CK147,CO147)</f>
        <v>445.9015362162371</v>
      </c>
      <c r="FE147" s="65">
        <f t="shared" si="178"/>
        <v>3.9283710065919332E-2</v>
      </c>
      <c r="FF147" s="88">
        <f t="shared" si="180"/>
        <v>9538.6554621848736</v>
      </c>
      <c r="FG147" s="88">
        <f t="shared" si="181"/>
        <v>1812.3445378151259</v>
      </c>
      <c r="FH147" s="74">
        <f t="shared" si="187"/>
        <v>11351</v>
      </c>
      <c r="FI147" s="260">
        <f t="shared" si="172"/>
        <v>567550</v>
      </c>
      <c r="FJ147" s="60" t="s">
        <v>65</v>
      </c>
    </row>
    <row r="148" spans="1:167" s="40" customFormat="1" ht="69" customHeight="1" x14ac:dyDescent="0.35">
      <c r="A148" s="37">
        <v>142</v>
      </c>
      <c r="B148" s="36" t="s">
        <v>659</v>
      </c>
      <c r="C148" s="36" t="s">
        <v>660</v>
      </c>
      <c r="D148" s="249" t="s">
        <v>334</v>
      </c>
      <c r="E148" s="220">
        <v>20</v>
      </c>
      <c r="F148" s="58"/>
      <c r="G148" s="58"/>
      <c r="H148" s="58"/>
      <c r="I148" s="58"/>
      <c r="J148" s="58"/>
      <c r="K148" s="58"/>
      <c r="L148" s="15"/>
      <c r="M148" s="58"/>
      <c r="N148" s="15"/>
      <c r="O148" s="58"/>
      <c r="P148" s="15"/>
      <c r="Q148" s="58"/>
      <c r="R148" s="15"/>
      <c r="S148" s="58"/>
      <c r="T148" s="15"/>
      <c r="U148" s="58"/>
      <c r="V148" s="15"/>
      <c r="W148" s="58"/>
      <c r="X148" s="15"/>
      <c r="Y148" s="58"/>
      <c r="Z148" s="15"/>
      <c r="AA148" s="58"/>
      <c r="AB148" s="15"/>
      <c r="AC148" s="58"/>
      <c r="AD148" s="58"/>
      <c r="AE148" s="58"/>
      <c r="AF148" s="15"/>
      <c r="AG148" s="58"/>
      <c r="AH148" s="15"/>
      <c r="AI148" s="58"/>
      <c r="AJ148" s="15"/>
      <c r="AK148" s="58"/>
      <c r="AL148" s="15"/>
      <c r="AM148" s="58"/>
      <c r="AN148" s="15"/>
      <c r="AO148" s="58"/>
      <c r="AP148" s="15"/>
      <c r="AQ148" s="58"/>
      <c r="AR148" s="15"/>
      <c r="AS148" s="58"/>
      <c r="AT148" s="15"/>
      <c r="AU148" s="58"/>
      <c r="AV148" s="15"/>
      <c r="AW148" s="58"/>
      <c r="AX148" s="15"/>
      <c r="AY148" s="58"/>
      <c r="AZ148" s="15"/>
      <c r="BA148" s="58"/>
      <c r="BB148" s="15"/>
      <c r="BC148" s="58"/>
      <c r="BD148" s="15"/>
      <c r="BE148" s="58"/>
      <c r="BF148" s="15"/>
      <c r="BG148" s="58"/>
      <c r="BH148" s="15"/>
      <c r="BI148" s="58"/>
      <c r="BJ148" s="15"/>
      <c r="BK148" s="58"/>
      <c r="BL148" s="15"/>
      <c r="BM148" s="58"/>
      <c r="BN148" s="15"/>
      <c r="BO148" s="58"/>
      <c r="BP148" s="15"/>
      <c r="BQ148" s="58"/>
      <c r="BR148" s="15"/>
      <c r="BS148" s="58"/>
      <c r="BT148" s="15"/>
      <c r="BU148" s="58"/>
      <c r="BV148" s="15"/>
      <c r="BW148" s="58"/>
      <c r="BX148" s="15"/>
      <c r="BY148" s="58"/>
      <c r="BZ148" s="15"/>
      <c r="CA148" s="58"/>
      <c r="CB148" s="15"/>
      <c r="CC148" s="58"/>
      <c r="CD148" s="15"/>
      <c r="CE148" s="58"/>
      <c r="CF148" s="15"/>
      <c r="CG148" s="58"/>
      <c r="CH148" s="15"/>
      <c r="CI148" s="58"/>
      <c r="CJ148" s="15"/>
      <c r="CK148" s="58"/>
      <c r="CL148" s="15"/>
      <c r="CM148" s="58"/>
      <c r="CN148" s="15"/>
      <c r="CO148" s="58"/>
      <c r="CP148" s="15"/>
      <c r="CQ148" s="58"/>
      <c r="CR148" s="15"/>
      <c r="CS148" s="58"/>
      <c r="CT148" s="15"/>
      <c r="CU148" s="58"/>
      <c r="CV148" s="15"/>
      <c r="CW148" s="58"/>
      <c r="CX148" s="15"/>
      <c r="CY148" s="58"/>
      <c r="CZ148" s="15"/>
      <c r="DA148" s="58"/>
      <c r="DB148" s="15"/>
      <c r="DC148" s="58"/>
      <c r="DD148" s="15"/>
      <c r="DE148" s="58"/>
      <c r="DF148" s="15"/>
      <c r="DG148" s="58"/>
      <c r="DH148" s="15"/>
      <c r="DI148" s="58"/>
      <c r="DJ148" s="15"/>
      <c r="DK148" s="58"/>
      <c r="DL148" s="15"/>
      <c r="DM148" s="58"/>
      <c r="DN148" s="15"/>
      <c r="DO148" s="58"/>
      <c r="DP148" s="15"/>
      <c r="DQ148" s="58"/>
      <c r="DR148" s="15"/>
      <c r="DS148" s="58"/>
      <c r="DT148" s="15"/>
      <c r="DU148" s="58"/>
      <c r="DV148" s="15"/>
      <c r="DW148" s="58"/>
      <c r="DX148" s="15"/>
      <c r="DY148" s="58"/>
      <c r="DZ148" s="15"/>
      <c r="EA148" s="58"/>
      <c r="EB148" s="15"/>
      <c r="EC148" s="58"/>
      <c r="ED148" s="15"/>
      <c r="EE148" s="217"/>
      <c r="EF148" s="8"/>
      <c r="EG148" s="312"/>
      <c r="EH148" s="236"/>
      <c r="EI148" s="224"/>
      <c r="EJ148" s="58"/>
      <c r="EK148" s="58"/>
      <c r="EL148" s="58"/>
      <c r="EM148" s="58"/>
      <c r="EN148" s="208" t="s">
        <v>209</v>
      </c>
      <c r="EO148" s="246" t="s">
        <v>209</v>
      </c>
      <c r="EP148" s="246" t="s">
        <v>209</v>
      </c>
      <c r="EQ148" s="251" t="s">
        <v>209</v>
      </c>
      <c r="ER148" s="251"/>
      <c r="ES148" s="251"/>
      <c r="ET148" s="251"/>
      <c r="EU148" s="251"/>
      <c r="EV148" s="251"/>
      <c r="EW148" s="251"/>
      <c r="EX148" s="251">
        <v>72400</v>
      </c>
      <c r="EY148" s="251">
        <v>72400</v>
      </c>
      <c r="EZ148" s="251"/>
      <c r="FA148" s="251"/>
      <c r="FB148" s="63">
        <f>MEDIAN(EX148,EY148)</f>
        <v>72400</v>
      </c>
      <c r="FC148" s="63">
        <f>AVERAGE(EX148,EY148)</f>
        <v>72400</v>
      </c>
      <c r="FD148" s="64">
        <f>STDEV(EX148,EY148)</f>
        <v>0</v>
      </c>
      <c r="FE148" s="62">
        <f t="shared" si="178"/>
        <v>0</v>
      </c>
      <c r="FF148" s="288">
        <f t="shared" si="180"/>
        <v>60840.336134453784</v>
      </c>
      <c r="FG148" s="88">
        <f t="shared" si="181"/>
        <v>11559.663865546219</v>
      </c>
      <c r="FH148" s="74">
        <f t="shared" si="187"/>
        <v>72400</v>
      </c>
      <c r="FI148" s="260">
        <f t="shared" si="172"/>
        <v>1448000</v>
      </c>
      <c r="FJ148" s="60" t="s">
        <v>65</v>
      </c>
    </row>
    <row r="149" spans="1:167" s="40" customFormat="1" ht="69" customHeight="1" x14ac:dyDescent="0.35">
      <c r="A149" s="37">
        <v>143</v>
      </c>
      <c r="B149" s="210" t="s">
        <v>335</v>
      </c>
      <c r="C149" s="210" t="s">
        <v>1000</v>
      </c>
      <c r="D149" s="249" t="s">
        <v>64</v>
      </c>
      <c r="E149" s="220">
        <v>20</v>
      </c>
      <c r="F149" s="58"/>
      <c r="G149" s="58"/>
      <c r="H149" s="58"/>
      <c r="I149" s="58"/>
      <c r="J149" s="58"/>
      <c r="K149" s="58"/>
      <c r="L149" s="15">
        <v>13500</v>
      </c>
      <c r="M149" s="58">
        <f t="shared" ref="K149:M185" si="193">+(L149*5.1%)+L149</f>
        <v>14188.5</v>
      </c>
      <c r="N149" s="15"/>
      <c r="O149" s="58"/>
      <c r="P149" s="15"/>
      <c r="Q149" s="58"/>
      <c r="R149" s="15"/>
      <c r="S149" s="58"/>
      <c r="T149" s="15"/>
      <c r="U149" s="58"/>
      <c r="V149" s="15"/>
      <c r="W149" s="58"/>
      <c r="X149" s="15"/>
      <c r="Y149" s="58"/>
      <c r="Z149" s="15"/>
      <c r="AA149" s="58"/>
      <c r="AB149" s="15"/>
      <c r="AC149" s="58"/>
      <c r="AD149" s="58"/>
      <c r="AE149" s="58"/>
      <c r="AF149" s="15"/>
      <c r="AG149" s="58"/>
      <c r="AH149" s="15"/>
      <c r="AI149" s="58"/>
      <c r="AJ149" s="15"/>
      <c r="AK149" s="58"/>
      <c r="AL149" s="15"/>
      <c r="AM149" s="58"/>
      <c r="AN149" s="15"/>
      <c r="AO149" s="58"/>
      <c r="AP149" s="15"/>
      <c r="AQ149" s="58"/>
      <c r="AR149" s="15"/>
      <c r="AS149" s="58"/>
      <c r="AT149" s="15"/>
      <c r="AU149" s="58"/>
      <c r="AV149" s="15"/>
      <c r="AW149" s="58"/>
      <c r="AX149" s="15"/>
      <c r="AY149" s="58"/>
      <c r="AZ149" s="15"/>
      <c r="BA149" s="58"/>
      <c r="BB149" s="15"/>
      <c r="BC149" s="58"/>
      <c r="BD149" s="15"/>
      <c r="BE149" s="58"/>
      <c r="BF149" s="15"/>
      <c r="BG149" s="58"/>
      <c r="BH149" s="15"/>
      <c r="BI149" s="58"/>
      <c r="BJ149" s="15"/>
      <c r="BK149" s="58"/>
      <c r="BL149" s="15"/>
      <c r="BM149" s="58"/>
      <c r="BN149" s="15"/>
      <c r="BO149" s="58"/>
      <c r="BP149" s="15"/>
      <c r="BQ149" s="58"/>
      <c r="BR149" s="15"/>
      <c r="BS149" s="58"/>
      <c r="BT149" s="15"/>
      <c r="BU149" s="58"/>
      <c r="BV149" s="15"/>
      <c r="BW149" s="58"/>
      <c r="BX149" s="15"/>
      <c r="BY149" s="58"/>
      <c r="BZ149" s="15"/>
      <c r="CA149" s="58"/>
      <c r="CB149" s="15"/>
      <c r="CC149" s="58"/>
      <c r="CD149" s="15"/>
      <c r="CE149" s="58"/>
      <c r="CF149" s="15"/>
      <c r="CG149" s="58"/>
      <c r="CH149" s="15"/>
      <c r="CI149" s="58"/>
      <c r="CJ149" s="15">
        <v>20034</v>
      </c>
      <c r="CK149" s="58">
        <f t="shared" ref="CK149" si="194">+(CJ149*5.1%)+CJ149</f>
        <v>21055.734</v>
      </c>
      <c r="CL149" s="15">
        <v>17388</v>
      </c>
      <c r="CM149" s="58">
        <f t="shared" ref="CM149" si="195">+(CL149*5.1%)+CL149</f>
        <v>18274.788</v>
      </c>
      <c r="CN149" s="15"/>
      <c r="CO149" s="58"/>
      <c r="CP149" s="15"/>
      <c r="CQ149" s="58"/>
      <c r="CR149" s="15"/>
      <c r="CS149" s="58"/>
      <c r="CT149" s="15"/>
      <c r="CU149" s="58"/>
      <c r="CV149" s="15"/>
      <c r="CW149" s="58"/>
      <c r="CX149" s="15"/>
      <c r="CY149" s="58"/>
      <c r="CZ149" s="15"/>
      <c r="DA149" s="58"/>
      <c r="DB149" s="15"/>
      <c r="DC149" s="58"/>
      <c r="DD149" s="15"/>
      <c r="DE149" s="58"/>
      <c r="DF149" s="15"/>
      <c r="DG149" s="58"/>
      <c r="DH149" s="15"/>
      <c r="DI149" s="58"/>
      <c r="DJ149" s="15"/>
      <c r="DK149" s="58"/>
      <c r="DL149" s="15"/>
      <c r="DM149" s="58"/>
      <c r="DN149" s="15"/>
      <c r="DO149" s="58"/>
      <c r="DP149" s="15"/>
      <c r="DQ149" s="58"/>
      <c r="DR149" s="15"/>
      <c r="DS149" s="58"/>
      <c r="DT149" s="15"/>
      <c r="DU149" s="58"/>
      <c r="DV149" s="15"/>
      <c r="DW149" s="58"/>
      <c r="DX149" s="15"/>
      <c r="DY149" s="58"/>
      <c r="DZ149" s="15"/>
      <c r="EA149" s="58"/>
      <c r="EB149" s="15"/>
      <c r="EC149" s="58"/>
      <c r="ED149" s="15"/>
      <c r="EE149" s="217"/>
      <c r="EF149" s="222"/>
      <c r="EG149" s="312"/>
      <c r="EH149" s="223"/>
      <c r="EI149" s="224"/>
      <c r="EJ149" s="58"/>
      <c r="EK149" s="58"/>
      <c r="EL149" s="58"/>
      <c r="EM149" s="58"/>
      <c r="EN149" s="208" t="s">
        <v>209</v>
      </c>
      <c r="EO149" s="246" t="s">
        <v>209</v>
      </c>
      <c r="EP149" s="246" t="s">
        <v>209</v>
      </c>
      <c r="EQ149" s="246" t="s">
        <v>209</v>
      </c>
      <c r="ER149" s="246"/>
      <c r="ES149" s="246"/>
      <c r="ET149" s="246"/>
      <c r="EU149" s="246"/>
      <c r="EV149" s="246"/>
      <c r="EW149" s="246"/>
      <c r="EX149" s="246"/>
      <c r="EY149" s="246"/>
      <c r="EZ149" s="246"/>
      <c r="FA149" s="246"/>
      <c r="FB149" s="63">
        <f>MEDIAN(CK149,CM149)</f>
        <v>19665.260999999999</v>
      </c>
      <c r="FC149" s="63">
        <f>AVERAGE(CK149,CM149)</f>
        <v>19665.260999999999</v>
      </c>
      <c r="FD149" s="64">
        <f>STDEV(CK149,CM149)</f>
        <v>1966.4257747136046</v>
      </c>
      <c r="FE149" s="65">
        <f t="shared" si="178"/>
        <v>9.9994898349612782E-2</v>
      </c>
      <c r="FF149" s="88">
        <f t="shared" si="180"/>
        <v>16526.050420168067</v>
      </c>
      <c r="FG149" s="88">
        <f t="shared" si="181"/>
        <v>3139.9495798319326</v>
      </c>
      <c r="FH149" s="74">
        <f t="shared" si="187"/>
        <v>19666</v>
      </c>
      <c r="FI149" s="260">
        <f t="shared" si="172"/>
        <v>393320</v>
      </c>
      <c r="FJ149" s="60" t="s">
        <v>65</v>
      </c>
    </row>
    <row r="150" spans="1:167" s="40" customFormat="1" ht="69" customHeight="1" x14ac:dyDescent="0.35">
      <c r="A150" s="36">
        <v>144</v>
      </c>
      <c r="B150" s="210" t="s">
        <v>336</v>
      </c>
      <c r="C150" s="210" t="s">
        <v>1001</v>
      </c>
      <c r="D150" s="249" t="s">
        <v>64</v>
      </c>
      <c r="E150" s="220">
        <v>61</v>
      </c>
      <c r="F150" s="58"/>
      <c r="G150" s="58"/>
      <c r="H150" s="58"/>
      <c r="I150" s="58"/>
      <c r="J150" s="58"/>
      <c r="K150" s="58"/>
      <c r="L150" s="15"/>
      <c r="M150" s="58"/>
      <c r="N150" s="15"/>
      <c r="O150" s="58"/>
      <c r="P150" s="15"/>
      <c r="Q150" s="58"/>
      <c r="R150" s="15"/>
      <c r="S150" s="58"/>
      <c r="T150" s="15"/>
      <c r="U150" s="58"/>
      <c r="V150" s="15"/>
      <c r="W150" s="58"/>
      <c r="X150" s="15"/>
      <c r="Y150" s="58"/>
      <c r="Z150" s="15"/>
      <c r="AA150" s="58"/>
      <c r="AB150" s="15"/>
      <c r="AC150" s="58"/>
      <c r="AD150" s="58"/>
      <c r="AE150" s="58"/>
      <c r="AF150" s="15"/>
      <c r="AG150" s="58"/>
      <c r="AH150" s="15"/>
      <c r="AI150" s="58"/>
      <c r="AJ150" s="15"/>
      <c r="AK150" s="58"/>
      <c r="AL150" s="15"/>
      <c r="AM150" s="58"/>
      <c r="AN150" s="15"/>
      <c r="AO150" s="58"/>
      <c r="AP150" s="15"/>
      <c r="AQ150" s="58"/>
      <c r="AR150" s="15"/>
      <c r="AS150" s="58"/>
      <c r="AT150" s="15"/>
      <c r="AU150" s="58"/>
      <c r="AV150" s="15"/>
      <c r="AW150" s="58"/>
      <c r="AX150" s="15"/>
      <c r="AY150" s="58"/>
      <c r="AZ150" s="15"/>
      <c r="BA150" s="58"/>
      <c r="BB150" s="15"/>
      <c r="BC150" s="58"/>
      <c r="BD150" s="15"/>
      <c r="BE150" s="58"/>
      <c r="BF150" s="15"/>
      <c r="BG150" s="58"/>
      <c r="BH150" s="15"/>
      <c r="BI150" s="58"/>
      <c r="BJ150" s="15"/>
      <c r="BK150" s="58"/>
      <c r="BL150" s="15"/>
      <c r="BM150" s="58"/>
      <c r="BN150" s="15"/>
      <c r="BO150" s="58"/>
      <c r="BP150" s="15"/>
      <c r="BQ150" s="58"/>
      <c r="BR150" s="15"/>
      <c r="BS150" s="58"/>
      <c r="BT150" s="15"/>
      <c r="BU150" s="58"/>
      <c r="BV150" s="15"/>
      <c r="BW150" s="58"/>
      <c r="BX150" s="15"/>
      <c r="BY150" s="58"/>
      <c r="BZ150" s="15"/>
      <c r="CA150" s="58"/>
      <c r="CB150" s="15"/>
      <c r="CC150" s="58"/>
      <c r="CD150" s="15"/>
      <c r="CE150" s="58"/>
      <c r="CF150" s="15"/>
      <c r="CG150" s="58"/>
      <c r="CH150" s="15"/>
      <c r="CI150" s="58"/>
      <c r="CJ150" s="15"/>
      <c r="CK150" s="58"/>
      <c r="CL150" s="15"/>
      <c r="CM150" s="58"/>
      <c r="CN150" s="15"/>
      <c r="CO150" s="58"/>
      <c r="CP150" s="15"/>
      <c r="CQ150" s="58"/>
      <c r="CR150" s="15"/>
      <c r="CS150" s="58"/>
      <c r="CT150" s="15"/>
      <c r="CU150" s="58"/>
      <c r="CV150" s="15"/>
      <c r="CW150" s="58"/>
      <c r="CX150" s="15"/>
      <c r="CY150" s="58"/>
      <c r="CZ150" s="15"/>
      <c r="DA150" s="58"/>
      <c r="DB150" s="15"/>
      <c r="DC150" s="58"/>
      <c r="DD150" s="15"/>
      <c r="DE150" s="58"/>
      <c r="DF150" s="15"/>
      <c r="DG150" s="58"/>
      <c r="DH150" s="15"/>
      <c r="DI150" s="58"/>
      <c r="DJ150" s="15"/>
      <c r="DK150" s="58"/>
      <c r="DL150" s="15"/>
      <c r="DM150" s="58"/>
      <c r="DN150" s="15"/>
      <c r="DO150" s="58"/>
      <c r="DP150" s="15"/>
      <c r="DQ150" s="58"/>
      <c r="DR150" s="15"/>
      <c r="DS150" s="58"/>
      <c r="DT150" s="15"/>
      <c r="DU150" s="58"/>
      <c r="DV150" s="15"/>
      <c r="DW150" s="58"/>
      <c r="DX150" s="15"/>
      <c r="DY150" s="58"/>
      <c r="DZ150" s="15"/>
      <c r="EA150" s="58"/>
      <c r="EB150" s="15"/>
      <c r="EC150" s="58"/>
      <c r="ED150" s="15"/>
      <c r="EE150" s="217"/>
      <c r="EF150" s="8">
        <v>3400</v>
      </c>
      <c r="EG150" s="313">
        <v>2500</v>
      </c>
      <c r="EH150" s="236">
        <v>3000</v>
      </c>
      <c r="EI150" s="224"/>
      <c r="EJ150" s="228"/>
      <c r="EK150" s="228"/>
      <c r="EL150" s="228"/>
      <c r="EM150" s="228"/>
      <c r="EN150" s="208" t="s">
        <v>209</v>
      </c>
      <c r="EO150" s="246" t="s">
        <v>209</v>
      </c>
      <c r="EP150" s="246" t="s">
        <v>209</v>
      </c>
      <c r="EQ150" s="246" t="s">
        <v>209</v>
      </c>
      <c r="ER150" s="246"/>
      <c r="ES150" s="246"/>
      <c r="ET150" s="246"/>
      <c r="EU150" s="246"/>
      <c r="EV150" s="246"/>
      <c r="EW150" s="246"/>
      <c r="EX150" s="246"/>
      <c r="EY150" s="246"/>
      <c r="EZ150" s="246"/>
      <c r="FA150" s="246"/>
      <c r="FB150" s="59">
        <f>MEDIAN(EF150,EG150,EH150)</f>
        <v>3000</v>
      </c>
      <c r="FC150" s="59">
        <f>AVERAGE(EF150,EG150,EH150)</f>
        <v>2966.6666666666665</v>
      </c>
      <c r="FD150" s="60">
        <f>STDEV(EF150,EG150,EH150)</f>
        <v>450.92497528229012</v>
      </c>
      <c r="FE150" s="65">
        <f t="shared" si="178"/>
        <v>0.15199718267942364</v>
      </c>
      <c r="FF150" s="88">
        <f t="shared" si="180"/>
        <v>2521.0084033613448</v>
      </c>
      <c r="FG150" s="88">
        <f t="shared" si="181"/>
        <v>478.99159663865549</v>
      </c>
      <c r="FH150" s="74">
        <f t="shared" si="187"/>
        <v>3000</v>
      </c>
      <c r="FI150" s="260">
        <f t="shared" si="172"/>
        <v>183000</v>
      </c>
      <c r="FJ150" s="60" t="s">
        <v>65</v>
      </c>
    </row>
    <row r="151" spans="1:167" s="40" customFormat="1" ht="69" customHeight="1" x14ac:dyDescent="0.35">
      <c r="A151" s="36">
        <v>145</v>
      </c>
      <c r="B151" s="210" t="s">
        <v>337</v>
      </c>
      <c r="C151" s="210" t="s">
        <v>1002</v>
      </c>
      <c r="D151" s="249" t="s">
        <v>64</v>
      </c>
      <c r="E151" s="220">
        <v>60</v>
      </c>
      <c r="F151" s="58"/>
      <c r="G151" s="58"/>
      <c r="H151" s="58"/>
      <c r="I151" s="58"/>
      <c r="J151" s="58"/>
      <c r="K151" s="58"/>
      <c r="L151" s="15"/>
      <c r="M151" s="58"/>
      <c r="N151" s="15"/>
      <c r="O151" s="58"/>
      <c r="P151" s="15"/>
      <c r="Q151" s="58"/>
      <c r="R151" s="15"/>
      <c r="S151" s="58"/>
      <c r="T151" s="15"/>
      <c r="U151" s="58"/>
      <c r="V151" s="15"/>
      <c r="W151" s="58"/>
      <c r="X151" s="15"/>
      <c r="Y151" s="58"/>
      <c r="Z151" s="15"/>
      <c r="AA151" s="58"/>
      <c r="AB151" s="15"/>
      <c r="AC151" s="58"/>
      <c r="AD151" s="58"/>
      <c r="AE151" s="58"/>
      <c r="AF151" s="15"/>
      <c r="AG151" s="58"/>
      <c r="AH151" s="15"/>
      <c r="AI151" s="58"/>
      <c r="AJ151" s="15"/>
      <c r="AK151" s="58"/>
      <c r="AL151" s="15"/>
      <c r="AM151" s="58"/>
      <c r="AN151" s="15"/>
      <c r="AO151" s="58"/>
      <c r="AP151" s="15"/>
      <c r="AQ151" s="58"/>
      <c r="AR151" s="15"/>
      <c r="AS151" s="58"/>
      <c r="AT151" s="15"/>
      <c r="AU151" s="58"/>
      <c r="AV151" s="15"/>
      <c r="AW151" s="58"/>
      <c r="AX151" s="15"/>
      <c r="AY151" s="58"/>
      <c r="AZ151" s="15"/>
      <c r="BA151" s="58"/>
      <c r="BB151" s="15"/>
      <c r="BC151" s="58"/>
      <c r="BD151" s="15"/>
      <c r="BE151" s="58"/>
      <c r="BF151" s="15"/>
      <c r="BG151" s="58"/>
      <c r="BH151" s="15"/>
      <c r="BI151" s="58"/>
      <c r="BJ151" s="15"/>
      <c r="BK151" s="58"/>
      <c r="BL151" s="15"/>
      <c r="BM151" s="58"/>
      <c r="BN151" s="15"/>
      <c r="BO151" s="58"/>
      <c r="BP151" s="15"/>
      <c r="BQ151" s="58"/>
      <c r="BR151" s="15"/>
      <c r="BS151" s="58"/>
      <c r="BT151" s="15"/>
      <c r="BU151" s="58"/>
      <c r="BV151" s="15"/>
      <c r="BW151" s="58"/>
      <c r="BX151" s="15"/>
      <c r="BY151" s="58"/>
      <c r="BZ151" s="15"/>
      <c r="CA151" s="58"/>
      <c r="CB151" s="15"/>
      <c r="CC151" s="58"/>
      <c r="CD151" s="15"/>
      <c r="CE151" s="58"/>
      <c r="CF151" s="15"/>
      <c r="CG151" s="58"/>
      <c r="CH151" s="15"/>
      <c r="CI151" s="58"/>
      <c r="CJ151" s="15"/>
      <c r="CK151" s="58"/>
      <c r="CL151" s="15"/>
      <c r="CM151" s="58"/>
      <c r="CN151" s="15"/>
      <c r="CO151" s="58"/>
      <c r="CP151" s="15"/>
      <c r="CQ151" s="58"/>
      <c r="CR151" s="15"/>
      <c r="CS151" s="58"/>
      <c r="CT151" s="15"/>
      <c r="CU151" s="58"/>
      <c r="CV151" s="15"/>
      <c r="CW151" s="58"/>
      <c r="CX151" s="15"/>
      <c r="CY151" s="58"/>
      <c r="CZ151" s="15"/>
      <c r="DA151" s="58"/>
      <c r="DB151" s="15"/>
      <c r="DC151" s="58"/>
      <c r="DD151" s="15"/>
      <c r="DE151" s="58"/>
      <c r="DF151" s="15"/>
      <c r="DG151" s="58"/>
      <c r="DH151" s="15"/>
      <c r="DI151" s="58"/>
      <c r="DJ151" s="15"/>
      <c r="DK151" s="58"/>
      <c r="DL151" s="15"/>
      <c r="DM151" s="58"/>
      <c r="DN151" s="15"/>
      <c r="DO151" s="58"/>
      <c r="DP151" s="15"/>
      <c r="DQ151" s="58"/>
      <c r="DR151" s="15"/>
      <c r="DS151" s="58"/>
      <c r="DT151" s="15"/>
      <c r="DU151" s="58"/>
      <c r="DV151" s="15"/>
      <c r="DW151" s="58"/>
      <c r="DX151" s="15"/>
      <c r="DY151" s="58"/>
      <c r="DZ151" s="15"/>
      <c r="EA151" s="58"/>
      <c r="EB151" s="15"/>
      <c r="EC151" s="58"/>
      <c r="ED151" s="15"/>
      <c r="EE151" s="217"/>
      <c r="EF151" s="8">
        <v>11000</v>
      </c>
      <c r="EG151" s="315">
        <v>8000</v>
      </c>
      <c r="EH151" s="236">
        <v>10000</v>
      </c>
      <c r="EI151" s="224"/>
      <c r="EJ151" s="228"/>
      <c r="EK151" s="228"/>
      <c r="EL151" s="228"/>
      <c r="EM151" s="228"/>
      <c r="EN151" s="208" t="s">
        <v>209</v>
      </c>
      <c r="EO151" s="246" t="s">
        <v>209</v>
      </c>
      <c r="EP151" s="246" t="s">
        <v>209</v>
      </c>
      <c r="EQ151" s="246" t="s">
        <v>209</v>
      </c>
      <c r="ER151" s="246"/>
      <c r="ES151" s="246"/>
      <c r="ET151" s="246"/>
      <c r="EU151" s="246"/>
      <c r="EV151" s="246"/>
      <c r="EW151" s="246"/>
      <c r="EX151" s="246"/>
      <c r="EY151" s="246"/>
      <c r="EZ151" s="246"/>
      <c r="FA151" s="246"/>
      <c r="FB151" s="59">
        <f>MEDIAN(EF151,EG151,EH151)</f>
        <v>10000</v>
      </c>
      <c r="FC151" s="59">
        <f>AVERAGE(EF151,EG151,EH151)</f>
        <v>9666.6666666666661</v>
      </c>
      <c r="FD151" s="60">
        <f>STDEV(EF151,EG151,EH151)</f>
        <v>1527.52523165195</v>
      </c>
      <c r="FE151" s="65">
        <f t="shared" si="178"/>
        <v>0.15801985155020173</v>
      </c>
      <c r="FF151" s="88">
        <f t="shared" si="180"/>
        <v>8403.361344537816</v>
      </c>
      <c r="FG151" s="88">
        <f t="shared" si="181"/>
        <v>1596.6386554621849</v>
      </c>
      <c r="FH151" s="74">
        <f t="shared" si="187"/>
        <v>10000</v>
      </c>
      <c r="FI151" s="260">
        <f t="shared" si="172"/>
        <v>600000</v>
      </c>
      <c r="FJ151" s="60" t="s">
        <v>66</v>
      </c>
    </row>
    <row r="152" spans="1:167" s="40" customFormat="1" ht="69" customHeight="1" x14ac:dyDescent="0.35">
      <c r="A152" s="37">
        <v>146</v>
      </c>
      <c r="B152" s="210" t="s">
        <v>338</v>
      </c>
      <c r="C152" s="210" t="s">
        <v>1003</v>
      </c>
      <c r="D152" s="249" t="s">
        <v>64</v>
      </c>
      <c r="E152" s="220">
        <v>60</v>
      </c>
      <c r="F152" s="58"/>
      <c r="G152" s="58"/>
      <c r="H152" s="58"/>
      <c r="I152" s="58"/>
      <c r="J152" s="58"/>
      <c r="K152" s="58"/>
      <c r="L152" s="15">
        <v>4500</v>
      </c>
      <c r="M152" s="58">
        <f t="shared" si="193"/>
        <v>4729.5</v>
      </c>
      <c r="N152" s="15"/>
      <c r="O152" s="58"/>
      <c r="P152" s="15"/>
      <c r="Q152" s="58"/>
      <c r="R152" s="15"/>
      <c r="S152" s="58"/>
      <c r="T152" s="15"/>
      <c r="U152" s="58"/>
      <c r="V152" s="15"/>
      <c r="W152" s="58"/>
      <c r="X152" s="15"/>
      <c r="Y152" s="58"/>
      <c r="Z152" s="15"/>
      <c r="AA152" s="58"/>
      <c r="AB152" s="15"/>
      <c r="AC152" s="58"/>
      <c r="AD152" s="58">
        <v>6318.9</v>
      </c>
      <c r="AE152" s="58">
        <f t="shared" ref="AE152" si="196">+(AD152*5.1%)+AD152</f>
        <v>6641.1638999999996</v>
      </c>
      <c r="AF152" s="15"/>
      <c r="AG152" s="58"/>
      <c r="AH152" s="15"/>
      <c r="AI152" s="58"/>
      <c r="AJ152" s="15"/>
      <c r="AK152" s="58"/>
      <c r="AL152" s="15"/>
      <c r="AM152" s="58"/>
      <c r="AN152" s="15"/>
      <c r="AO152" s="58"/>
      <c r="AP152" s="15"/>
      <c r="AQ152" s="58"/>
      <c r="AR152" s="15"/>
      <c r="AS152" s="58"/>
      <c r="AT152" s="15"/>
      <c r="AU152" s="58"/>
      <c r="AV152" s="15"/>
      <c r="AW152" s="58"/>
      <c r="AX152" s="15"/>
      <c r="AY152" s="58"/>
      <c r="AZ152" s="15"/>
      <c r="BA152" s="58"/>
      <c r="BB152" s="15"/>
      <c r="BC152" s="58"/>
      <c r="BD152" s="15"/>
      <c r="BE152" s="58"/>
      <c r="BF152" s="15"/>
      <c r="BG152" s="58"/>
      <c r="BH152" s="15"/>
      <c r="BI152" s="58"/>
      <c r="BJ152" s="15"/>
      <c r="BK152" s="58"/>
      <c r="BL152" s="15"/>
      <c r="BM152" s="58"/>
      <c r="BN152" s="15"/>
      <c r="BO152" s="58"/>
      <c r="BP152" s="15"/>
      <c r="BQ152" s="58"/>
      <c r="BR152" s="15"/>
      <c r="BS152" s="58"/>
      <c r="BT152" s="15"/>
      <c r="BU152" s="58"/>
      <c r="BV152" s="15"/>
      <c r="BW152" s="58"/>
      <c r="BX152" s="15"/>
      <c r="BY152" s="58"/>
      <c r="BZ152" s="15"/>
      <c r="CA152" s="58"/>
      <c r="CB152" s="15"/>
      <c r="CC152" s="58"/>
      <c r="CD152" s="15"/>
      <c r="CE152" s="58"/>
      <c r="CF152" s="15"/>
      <c r="CG152" s="58"/>
      <c r="CH152" s="15"/>
      <c r="CI152" s="58"/>
      <c r="CJ152" s="15"/>
      <c r="CK152" s="58"/>
      <c r="CL152" s="15"/>
      <c r="CM152" s="58"/>
      <c r="CN152" s="15"/>
      <c r="CO152" s="58"/>
      <c r="CP152" s="15"/>
      <c r="CQ152" s="58"/>
      <c r="CR152" s="15"/>
      <c r="CS152" s="58"/>
      <c r="CT152" s="15"/>
      <c r="CU152" s="58"/>
      <c r="CV152" s="15"/>
      <c r="CW152" s="58"/>
      <c r="CX152" s="15"/>
      <c r="CY152" s="58"/>
      <c r="CZ152" s="15"/>
      <c r="DA152" s="58"/>
      <c r="DB152" s="15"/>
      <c r="DC152" s="58"/>
      <c r="DD152" s="15"/>
      <c r="DE152" s="58"/>
      <c r="DF152" s="15"/>
      <c r="DG152" s="58"/>
      <c r="DH152" s="15"/>
      <c r="DI152" s="58"/>
      <c r="DJ152" s="15"/>
      <c r="DK152" s="58"/>
      <c r="DL152" s="15"/>
      <c r="DM152" s="58"/>
      <c r="DN152" s="15"/>
      <c r="DO152" s="58"/>
      <c r="DP152" s="15"/>
      <c r="DQ152" s="58"/>
      <c r="DR152" s="15"/>
      <c r="DS152" s="58"/>
      <c r="DT152" s="15"/>
      <c r="DU152" s="58"/>
      <c r="DV152" s="15"/>
      <c r="DW152" s="58"/>
      <c r="DX152" s="15"/>
      <c r="DY152" s="58"/>
      <c r="DZ152" s="15"/>
      <c r="EA152" s="58"/>
      <c r="EB152" s="15"/>
      <c r="EC152" s="58"/>
      <c r="ED152" s="15"/>
      <c r="EE152" s="217"/>
      <c r="EF152" s="222"/>
      <c r="EG152" s="56"/>
      <c r="EH152" s="339"/>
      <c r="EI152" s="224"/>
      <c r="EJ152" s="58"/>
      <c r="EK152" s="58"/>
      <c r="EL152" s="58"/>
      <c r="EM152" s="58"/>
      <c r="EN152" s="208" t="s">
        <v>209</v>
      </c>
      <c r="EO152" s="246" t="s">
        <v>209</v>
      </c>
      <c r="EP152" s="246" t="s">
        <v>209</v>
      </c>
      <c r="EQ152" s="246" t="s">
        <v>209</v>
      </c>
      <c r="ER152" s="246"/>
      <c r="ES152" s="246"/>
      <c r="ET152" s="246"/>
      <c r="EU152" s="246"/>
      <c r="EV152" s="246"/>
      <c r="EW152" s="246"/>
      <c r="EX152" s="246"/>
      <c r="EY152" s="246"/>
      <c r="EZ152" s="246"/>
      <c r="FA152" s="246"/>
      <c r="FB152" s="63">
        <f>MEDIAN(M152,AE152)</f>
        <v>5685.3319499999998</v>
      </c>
      <c r="FC152" s="63">
        <f>AVERAGE(M152,AE152)</f>
        <v>5685.3319499999998</v>
      </c>
      <c r="FD152" s="64">
        <f>STDEV(M152,AE152)</f>
        <v>1351.7505070395205</v>
      </c>
      <c r="FE152" s="65">
        <f t="shared" si="178"/>
        <v>0.23776105228816419</v>
      </c>
      <c r="FF152" s="88">
        <f t="shared" si="180"/>
        <v>4778.1512605042017</v>
      </c>
      <c r="FG152" s="88">
        <f t="shared" si="181"/>
        <v>907.84873949579833</v>
      </c>
      <c r="FH152" s="74">
        <f t="shared" si="187"/>
        <v>5686</v>
      </c>
      <c r="FI152" s="260">
        <f t="shared" si="172"/>
        <v>341160</v>
      </c>
      <c r="FJ152" s="60" t="s">
        <v>66</v>
      </c>
    </row>
    <row r="153" spans="1:167" s="40" customFormat="1" ht="69" customHeight="1" x14ac:dyDescent="0.35">
      <c r="A153" s="37">
        <v>147</v>
      </c>
      <c r="B153" s="210" t="s">
        <v>339</v>
      </c>
      <c r="C153" s="210" t="s">
        <v>1004</v>
      </c>
      <c r="D153" s="249" t="s">
        <v>64</v>
      </c>
      <c r="E153" s="220">
        <v>20</v>
      </c>
      <c r="F153" s="58"/>
      <c r="G153" s="58"/>
      <c r="H153" s="58"/>
      <c r="I153" s="58"/>
      <c r="J153" s="58"/>
      <c r="K153" s="58"/>
      <c r="L153" s="15"/>
      <c r="M153" s="58"/>
      <c r="N153" s="15"/>
      <c r="O153" s="58"/>
      <c r="P153" s="15"/>
      <c r="Q153" s="58"/>
      <c r="R153" s="15"/>
      <c r="S153" s="58"/>
      <c r="T153" s="15"/>
      <c r="U153" s="58"/>
      <c r="V153" s="15"/>
      <c r="W153" s="58"/>
      <c r="X153" s="15"/>
      <c r="Y153" s="58"/>
      <c r="Z153" s="15"/>
      <c r="AA153" s="58"/>
      <c r="AB153" s="15"/>
      <c r="AC153" s="58"/>
      <c r="AD153" s="58">
        <v>22467.200000000001</v>
      </c>
      <c r="AE153" s="58">
        <f t="shared" ref="AE153" si="197">+(AD153*5.1%)+AD153</f>
        <v>23613.0272</v>
      </c>
      <c r="AF153" s="15"/>
      <c r="AG153" s="58"/>
      <c r="AH153" s="15"/>
      <c r="AI153" s="58"/>
      <c r="AJ153" s="15"/>
      <c r="AK153" s="58"/>
      <c r="AL153" s="15"/>
      <c r="AM153" s="58"/>
      <c r="AN153" s="15"/>
      <c r="AO153" s="58"/>
      <c r="AP153" s="15"/>
      <c r="AQ153" s="58"/>
      <c r="AR153" s="15"/>
      <c r="AS153" s="58"/>
      <c r="AT153" s="15"/>
      <c r="AU153" s="58"/>
      <c r="AV153" s="15"/>
      <c r="AW153" s="58"/>
      <c r="AX153" s="15"/>
      <c r="AY153" s="58"/>
      <c r="AZ153" s="15"/>
      <c r="BA153" s="58"/>
      <c r="BB153" s="15"/>
      <c r="BC153" s="58"/>
      <c r="BD153" s="15"/>
      <c r="BE153" s="58"/>
      <c r="BF153" s="15"/>
      <c r="BG153" s="58"/>
      <c r="BH153" s="15"/>
      <c r="BI153" s="58"/>
      <c r="BJ153" s="15"/>
      <c r="BK153" s="58"/>
      <c r="BL153" s="15"/>
      <c r="BM153" s="58"/>
      <c r="BN153" s="15"/>
      <c r="BO153" s="58"/>
      <c r="BP153" s="15"/>
      <c r="BQ153" s="58"/>
      <c r="BR153" s="15"/>
      <c r="BS153" s="58"/>
      <c r="BT153" s="15"/>
      <c r="BU153" s="58"/>
      <c r="BV153" s="15"/>
      <c r="BW153" s="58"/>
      <c r="BX153" s="15"/>
      <c r="BY153" s="58"/>
      <c r="BZ153" s="15"/>
      <c r="CA153" s="58"/>
      <c r="CB153" s="15"/>
      <c r="CC153" s="58"/>
      <c r="CD153" s="15"/>
      <c r="CE153" s="58"/>
      <c r="CF153" s="15"/>
      <c r="CG153" s="58"/>
      <c r="CH153" s="15"/>
      <c r="CI153" s="58"/>
      <c r="CJ153" s="15">
        <v>20000</v>
      </c>
      <c r="CK153" s="58">
        <f t="shared" ref="CK153" si="198">+(CJ153*5.1%)+CJ153</f>
        <v>21020</v>
      </c>
      <c r="CL153" s="15"/>
      <c r="CM153" s="58"/>
      <c r="CN153" s="15"/>
      <c r="CO153" s="58"/>
      <c r="CP153" s="15"/>
      <c r="CQ153" s="58"/>
      <c r="CR153" s="15"/>
      <c r="CS153" s="58"/>
      <c r="CT153" s="15"/>
      <c r="CU153" s="58"/>
      <c r="CV153" s="15"/>
      <c r="CW153" s="58"/>
      <c r="CX153" s="15"/>
      <c r="CY153" s="58"/>
      <c r="CZ153" s="15"/>
      <c r="DA153" s="58"/>
      <c r="DB153" s="15"/>
      <c r="DC153" s="58"/>
      <c r="DD153" s="15"/>
      <c r="DE153" s="58"/>
      <c r="DF153" s="15"/>
      <c r="DG153" s="58"/>
      <c r="DH153" s="15"/>
      <c r="DI153" s="58"/>
      <c r="DJ153" s="15"/>
      <c r="DK153" s="58"/>
      <c r="DL153" s="15"/>
      <c r="DM153" s="58"/>
      <c r="DN153" s="15"/>
      <c r="DO153" s="58"/>
      <c r="DP153" s="15"/>
      <c r="DQ153" s="58"/>
      <c r="DR153" s="15"/>
      <c r="DS153" s="58"/>
      <c r="DT153" s="15"/>
      <c r="DU153" s="58"/>
      <c r="DV153" s="15"/>
      <c r="DW153" s="58"/>
      <c r="DX153" s="15"/>
      <c r="DY153" s="58"/>
      <c r="DZ153" s="15"/>
      <c r="EA153" s="58"/>
      <c r="EB153" s="15"/>
      <c r="EC153" s="58"/>
      <c r="ED153" s="45"/>
      <c r="EE153" s="231"/>
      <c r="EF153" s="238"/>
      <c r="EG153" s="56"/>
      <c r="EH153" s="340"/>
      <c r="EI153" s="225"/>
      <c r="EJ153" s="58"/>
      <c r="EK153" s="58"/>
      <c r="EL153" s="58"/>
      <c r="EM153" s="58"/>
      <c r="EN153" s="208" t="s">
        <v>209</v>
      </c>
      <c r="EO153" s="246" t="s">
        <v>209</v>
      </c>
      <c r="EP153" s="246" t="s">
        <v>209</v>
      </c>
      <c r="EQ153" s="246" t="s">
        <v>209</v>
      </c>
      <c r="ER153" s="246"/>
      <c r="ES153" s="246"/>
      <c r="ET153" s="246"/>
      <c r="EU153" s="246"/>
      <c r="EV153" s="246"/>
      <c r="EW153" s="246"/>
      <c r="EX153" s="246"/>
      <c r="EY153" s="246"/>
      <c r="EZ153" s="246"/>
      <c r="FA153" s="246"/>
      <c r="FB153" s="63">
        <f>MEDIAN(AE153,CK153)</f>
        <v>22316.513599999998</v>
      </c>
      <c r="FC153" s="63">
        <f>AVERAGE(AE153,CK153)</f>
        <v>22316.513599999998</v>
      </c>
      <c r="FD153" s="64">
        <f>STDEV(AE153,CK153)</f>
        <v>1833.5471169211664</v>
      </c>
      <c r="FE153" s="65">
        <f t="shared" si="178"/>
        <v>8.2161001928238761E-2</v>
      </c>
      <c r="FF153" s="88">
        <f t="shared" si="180"/>
        <v>18753.781512605045</v>
      </c>
      <c r="FG153" s="88">
        <f t="shared" si="181"/>
        <v>3563.2184873949586</v>
      </c>
      <c r="FH153" s="74">
        <f t="shared" si="187"/>
        <v>22317</v>
      </c>
      <c r="FI153" s="260">
        <f t="shared" si="172"/>
        <v>446340</v>
      </c>
      <c r="FJ153" s="60" t="s">
        <v>65</v>
      </c>
    </row>
    <row r="154" spans="1:167" s="40" customFormat="1" ht="69" customHeight="1" x14ac:dyDescent="0.35">
      <c r="A154" s="37">
        <v>148</v>
      </c>
      <c r="B154" s="210" t="s">
        <v>340</v>
      </c>
      <c r="C154" s="210" t="s">
        <v>1005</v>
      </c>
      <c r="D154" s="249" t="s">
        <v>64</v>
      </c>
      <c r="E154" s="220">
        <v>50</v>
      </c>
      <c r="F154" s="58"/>
      <c r="G154" s="58"/>
      <c r="H154" s="58"/>
      <c r="I154" s="58"/>
      <c r="J154" s="58"/>
      <c r="K154" s="58"/>
      <c r="L154" s="15"/>
      <c r="M154" s="58"/>
      <c r="N154" s="15"/>
      <c r="O154" s="58"/>
      <c r="P154" s="15"/>
      <c r="Q154" s="58"/>
      <c r="R154" s="15"/>
      <c r="S154" s="58"/>
      <c r="T154" s="15"/>
      <c r="U154" s="58"/>
      <c r="V154" s="15"/>
      <c r="W154" s="58"/>
      <c r="X154" s="15"/>
      <c r="Y154" s="58"/>
      <c r="Z154" s="15"/>
      <c r="AA154" s="58"/>
      <c r="AB154" s="15"/>
      <c r="AC154" s="58"/>
      <c r="AD154" s="58"/>
      <c r="AE154" s="58"/>
      <c r="AF154" s="15"/>
      <c r="AG154" s="58"/>
      <c r="AH154" s="15"/>
      <c r="AI154" s="58"/>
      <c r="AJ154" s="15"/>
      <c r="AK154" s="58"/>
      <c r="AL154" s="15"/>
      <c r="AM154" s="58"/>
      <c r="AN154" s="15"/>
      <c r="AO154" s="58"/>
      <c r="AP154" s="15"/>
      <c r="AQ154" s="58"/>
      <c r="AR154" s="15"/>
      <c r="AS154" s="58"/>
      <c r="AT154" s="15"/>
      <c r="AU154" s="58"/>
      <c r="AV154" s="15"/>
      <c r="AW154" s="58"/>
      <c r="AX154" s="15"/>
      <c r="AY154" s="58"/>
      <c r="AZ154" s="15"/>
      <c r="BA154" s="58"/>
      <c r="BB154" s="15"/>
      <c r="BC154" s="58"/>
      <c r="BD154" s="15"/>
      <c r="BE154" s="58"/>
      <c r="BF154" s="15"/>
      <c r="BG154" s="58"/>
      <c r="BH154" s="15"/>
      <c r="BI154" s="58"/>
      <c r="BJ154" s="15"/>
      <c r="BK154" s="58"/>
      <c r="BL154" s="15"/>
      <c r="BM154" s="58"/>
      <c r="BN154" s="15"/>
      <c r="BO154" s="58"/>
      <c r="BP154" s="15"/>
      <c r="BQ154" s="58"/>
      <c r="BR154" s="15"/>
      <c r="BS154" s="58"/>
      <c r="BT154" s="15"/>
      <c r="BU154" s="58"/>
      <c r="BV154" s="15"/>
      <c r="BW154" s="58"/>
      <c r="BX154" s="15"/>
      <c r="BY154" s="58"/>
      <c r="BZ154" s="15"/>
      <c r="CA154" s="58"/>
      <c r="CB154" s="15"/>
      <c r="CC154" s="58"/>
      <c r="CD154" s="15"/>
      <c r="CE154" s="58"/>
      <c r="CF154" s="15"/>
      <c r="CG154" s="58"/>
      <c r="CH154" s="15"/>
      <c r="CI154" s="58"/>
      <c r="CJ154" s="15"/>
      <c r="CK154" s="58"/>
      <c r="CL154" s="15"/>
      <c r="CM154" s="58"/>
      <c r="CN154" s="15"/>
      <c r="CO154" s="58"/>
      <c r="CP154" s="15"/>
      <c r="CQ154" s="58"/>
      <c r="CR154" s="15"/>
      <c r="CS154" s="58"/>
      <c r="CT154" s="15"/>
      <c r="CU154" s="58"/>
      <c r="CV154" s="15"/>
      <c r="CW154" s="58"/>
      <c r="CX154" s="15"/>
      <c r="CY154" s="58"/>
      <c r="CZ154" s="15"/>
      <c r="DA154" s="58"/>
      <c r="DB154" s="15"/>
      <c r="DC154" s="58"/>
      <c r="DD154" s="15"/>
      <c r="DE154" s="58"/>
      <c r="DF154" s="15"/>
      <c r="DG154" s="58"/>
      <c r="DH154" s="15"/>
      <c r="DI154" s="58"/>
      <c r="DJ154" s="15"/>
      <c r="DK154" s="58"/>
      <c r="DL154" s="15"/>
      <c r="DM154" s="58"/>
      <c r="DN154" s="15"/>
      <c r="DO154" s="58"/>
      <c r="DP154" s="15"/>
      <c r="DQ154" s="58"/>
      <c r="DR154" s="15"/>
      <c r="DS154" s="58"/>
      <c r="DT154" s="15"/>
      <c r="DU154" s="58"/>
      <c r="DV154" s="15"/>
      <c r="DW154" s="58"/>
      <c r="DX154" s="15"/>
      <c r="DY154" s="58"/>
      <c r="DZ154" s="15"/>
      <c r="EA154" s="58"/>
      <c r="EB154" s="15"/>
      <c r="EC154" s="58"/>
      <c r="ED154" s="15"/>
      <c r="EE154" s="58"/>
      <c r="EF154" s="8">
        <v>6000</v>
      </c>
      <c r="EG154" s="324">
        <v>4000</v>
      </c>
      <c r="EH154" s="8">
        <v>5000</v>
      </c>
      <c r="EI154" s="58"/>
      <c r="EJ154" s="58"/>
      <c r="EK154" s="58"/>
      <c r="EL154" s="58"/>
      <c r="EM154" s="58"/>
      <c r="EN154" s="208" t="s">
        <v>209</v>
      </c>
      <c r="EO154" s="246" t="s">
        <v>209</v>
      </c>
      <c r="EP154" s="246" t="s">
        <v>209</v>
      </c>
      <c r="EQ154" s="246" t="s">
        <v>209</v>
      </c>
      <c r="ER154" s="246"/>
      <c r="ES154" s="246"/>
      <c r="ET154" s="246"/>
      <c r="EU154" s="246"/>
      <c r="EV154" s="246"/>
      <c r="EW154" s="246"/>
      <c r="EX154" s="246"/>
      <c r="EY154" s="246"/>
      <c r="EZ154" s="246"/>
      <c r="FA154" s="246"/>
      <c r="FB154" s="63">
        <f>MEDIAN(EF154,EG154,EH154)</f>
        <v>5000</v>
      </c>
      <c r="FC154" s="63">
        <f>AVERAGE(EF154,EG154,EH154)</f>
        <v>5000</v>
      </c>
      <c r="FD154" s="64">
        <f>STDEV(EF154,EG154,EH154)</f>
        <v>1000</v>
      </c>
      <c r="FE154" s="65">
        <f t="shared" si="178"/>
        <v>0.2</v>
      </c>
      <c r="FF154" s="88">
        <f t="shared" si="180"/>
        <v>4201.680672268908</v>
      </c>
      <c r="FG154" s="88">
        <f t="shared" si="181"/>
        <v>798.31932773109247</v>
      </c>
      <c r="FH154" s="74">
        <f t="shared" si="187"/>
        <v>5000</v>
      </c>
      <c r="FI154" s="260">
        <f t="shared" si="172"/>
        <v>250000</v>
      </c>
      <c r="FJ154" s="60" t="s">
        <v>65</v>
      </c>
    </row>
    <row r="155" spans="1:167" s="40" customFormat="1" ht="69" customHeight="1" x14ac:dyDescent="0.35">
      <c r="A155" s="36">
        <v>149</v>
      </c>
      <c r="B155" s="219" t="s">
        <v>341</v>
      </c>
      <c r="C155" s="210" t="s">
        <v>1006</v>
      </c>
      <c r="D155" s="249" t="s">
        <v>64</v>
      </c>
      <c r="E155" s="220">
        <v>51</v>
      </c>
      <c r="F155" s="58"/>
      <c r="G155" s="58"/>
      <c r="H155" s="58"/>
      <c r="I155" s="58"/>
      <c r="J155" s="58"/>
      <c r="K155" s="58"/>
      <c r="L155" s="15"/>
      <c r="M155" s="58"/>
      <c r="N155" s="15"/>
      <c r="O155" s="58"/>
      <c r="P155" s="15"/>
      <c r="Q155" s="58"/>
      <c r="R155" s="15"/>
      <c r="S155" s="58"/>
      <c r="T155" s="15"/>
      <c r="U155" s="58"/>
      <c r="V155" s="15"/>
      <c r="W155" s="58"/>
      <c r="X155" s="15"/>
      <c r="Y155" s="58"/>
      <c r="Z155" s="15"/>
      <c r="AA155" s="58"/>
      <c r="AB155" s="15"/>
      <c r="AC155" s="58"/>
      <c r="AD155" s="58"/>
      <c r="AE155" s="58"/>
      <c r="AF155" s="15"/>
      <c r="AG155" s="58"/>
      <c r="AH155" s="15"/>
      <c r="AI155" s="58"/>
      <c r="AJ155" s="15"/>
      <c r="AK155" s="58"/>
      <c r="AL155" s="15"/>
      <c r="AM155" s="58"/>
      <c r="AN155" s="15"/>
      <c r="AO155" s="58"/>
      <c r="AP155" s="15"/>
      <c r="AQ155" s="58"/>
      <c r="AR155" s="15"/>
      <c r="AS155" s="58"/>
      <c r="AT155" s="15"/>
      <c r="AU155" s="58"/>
      <c r="AV155" s="15"/>
      <c r="AW155" s="58"/>
      <c r="AX155" s="15"/>
      <c r="AY155" s="58"/>
      <c r="AZ155" s="15"/>
      <c r="BA155" s="58"/>
      <c r="BB155" s="15"/>
      <c r="BC155" s="58"/>
      <c r="BD155" s="15"/>
      <c r="BE155" s="58"/>
      <c r="BF155" s="15"/>
      <c r="BG155" s="58"/>
      <c r="BH155" s="15"/>
      <c r="BI155" s="58"/>
      <c r="BJ155" s="15"/>
      <c r="BK155" s="58"/>
      <c r="BL155" s="15"/>
      <c r="BM155" s="58"/>
      <c r="BN155" s="15"/>
      <c r="BO155" s="58"/>
      <c r="BP155" s="15"/>
      <c r="BQ155" s="58"/>
      <c r="BR155" s="15"/>
      <c r="BS155" s="58"/>
      <c r="BT155" s="15"/>
      <c r="BU155" s="58"/>
      <c r="BV155" s="15"/>
      <c r="BW155" s="58"/>
      <c r="BX155" s="15"/>
      <c r="BY155" s="58"/>
      <c r="BZ155" s="15"/>
      <c r="CA155" s="58"/>
      <c r="CB155" s="15"/>
      <c r="CC155" s="58"/>
      <c r="CD155" s="15"/>
      <c r="CE155" s="58"/>
      <c r="CF155" s="15"/>
      <c r="CG155" s="58"/>
      <c r="CH155" s="15"/>
      <c r="CI155" s="58"/>
      <c r="CJ155" s="15"/>
      <c r="CK155" s="58"/>
      <c r="CL155" s="15">
        <v>4202</v>
      </c>
      <c r="CM155" s="58">
        <f t="shared" ref="CM155" si="199">+(CL155*5.1%)+CL155</f>
        <v>4416.3019999999997</v>
      </c>
      <c r="CN155" s="15"/>
      <c r="CO155" s="58"/>
      <c r="CP155" s="15"/>
      <c r="CQ155" s="58"/>
      <c r="CR155" s="15"/>
      <c r="CS155" s="58"/>
      <c r="CT155" s="15"/>
      <c r="CU155" s="58"/>
      <c r="CV155" s="15"/>
      <c r="CW155" s="58"/>
      <c r="CX155" s="15"/>
      <c r="CY155" s="58"/>
      <c r="CZ155" s="15"/>
      <c r="DA155" s="58"/>
      <c r="DB155" s="15"/>
      <c r="DC155" s="58"/>
      <c r="DD155" s="15"/>
      <c r="DE155" s="58"/>
      <c r="DF155" s="15"/>
      <c r="DG155" s="58"/>
      <c r="DH155" s="15"/>
      <c r="DI155" s="58"/>
      <c r="DJ155" s="15"/>
      <c r="DK155" s="58"/>
      <c r="DL155" s="15"/>
      <c r="DM155" s="58"/>
      <c r="DN155" s="15"/>
      <c r="DO155" s="58"/>
      <c r="DP155" s="15"/>
      <c r="DQ155" s="58"/>
      <c r="DR155" s="15"/>
      <c r="DS155" s="58"/>
      <c r="DT155" s="15"/>
      <c r="DU155" s="58"/>
      <c r="DV155" s="15"/>
      <c r="DW155" s="58"/>
      <c r="DX155" s="15"/>
      <c r="DY155" s="58"/>
      <c r="DZ155" s="15"/>
      <c r="EA155" s="58"/>
      <c r="EB155" s="15"/>
      <c r="EC155" s="58"/>
      <c r="ED155" s="15"/>
      <c r="EE155" s="58"/>
      <c r="EF155" s="222"/>
      <c r="EG155" s="56"/>
      <c r="EH155" s="222"/>
      <c r="EI155" s="58"/>
      <c r="EJ155" s="58"/>
      <c r="EK155" s="58"/>
      <c r="EL155" s="58"/>
      <c r="EM155" s="58"/>
      <c r="EN155" s="208" t="s">
        <v>209</v>
      </c>
      <c r="EO155" s="246" t="s">
        <v>209</v>
      </c>
      <c r="EP155" s="246" t="s">
        <v>209</v>
      </c>
      <c r="EQ155" s="246" t="s">
        <v>209</v>
      </c>
      <c r="ER155" s="246"/>
      <c r="ES155" s="246"/>
      <c r="ET155" s="246"/>
      <c r="EU155" s="246"/>
      <c r="EV155" s="246"/>
      <c r="EW155" s="246"/>
      <c r="EX155" s="246"/>
      <c r="EY155" s="246"/>
      <c r="EZ155" s="246"/>
      <c r="FA155" s="246"/>
      <c r="FB155" s="63">
        <f>MEDIAN(CL155,CM155,CN155)</f>
        <v>4309.1509999999998</v>
      </c>
      <c r="FC155" s="63">
        <f>AVERAGE(CL155,CM155,CN155)</f>
        <v>4309.1509999999998</v>
      </c>
      <c r="FD155" s="64">
        <f>STDEV(CL155,CM155,CN155)</f>
        <v>151.53439742183929</v>
      </c>
      <c r="FE155" s="65">
        <f t="shared" si="178"/>
        <v>3.5165719980998413E-2</v>
      </c>
      <c r="FF155" s="88">
        <f t="shared" si="180"/>
        <v>3621.8487394957983</v>
      </c>
      <c r="FG155" s="88">
        <f t="shared" si="181"/>
        <v>688.15126050420167</v>
      </c>
      <c r="FH155" s="74">
        <f t="shared" si="187"/>
        <v>4310</v>
      </c>
      <c r="FI155" s="260">
        <f t="shared" si="172"/>
        <v>219810</v>
      </c>
      <c r="FJ155" s="60" t="s">
        <v>1032</v>
      </c>
    </row>
    <row r="156" spans="1:167" s="40" customFormat="1" ht="69" customHeight="1" x14ac:dyDescent="0.35">
      <c r="A156" s="37">
        <v>150</v>
      </c>
      <c r="B156" s="210" t="s">
        <v>342</v>
      </c>
      <c r="C156" s="210" t="s">
        <v>1007</v>
      </c>
      <c r="D156" s="249" t="s">
        <v>212</v>
      </c>
      <c r="E156" s="220">
        <v>50</v>
      </c>
      <c r="F156" s="58"/>
      <c r="G156" s="58"/>
      <c r="H156" s="58"/>
      <c r="I156" s="58"/>
      <c r="J156" s="58"/>
      <c r="K156" s="58"/>
      <c r="L156" s="15">
        <v>7500</v>
      </c>
      <c r="M156" s="58">
        <f t="shared" si="193"/>
        <v>7882.5</v>
      </c>
      <c r="N156" s="15"/>
      <c r="O156" s="58"/>
      <c r="P156" s="15"/>
      <c r="Q156" s="58"/>
      <c r="R156" s="15"/>
      <c r="S156" s="58"/>
      <c r="T156" s="15"/>
      <c r="U156" s="58"/>
      <c r="V156" s="15"/>
      <c r="W156" s="58"/>
      <c r="X156" s="15"/>
      <c r="Y156" s="58"/>
      <c r="Z156" s="15"/>
      <c r="AA156" s="58"/>
      <c r="AB156" s="15"/>
      <c r="AC156" s="58"/>
      <c r="AD156" s="58">
        <v>9688.98</v>
      </c>
      <c r="AE156" s="58">
        <f t="shared" ref="AE156" si="200">+(AD156*5.1%)+AD156</f>
        <v>10183.117979999999</v>
      </c>
      <c r="AF156" s="15"/>
      <c r="AG156" s="58"/>
      <c r="AH156" s="15"/>
      <c r="AI156" s="58"/>
      <c r="AJ156" s="15"/>
      <c r="AK156" s="58"/>
      <c r="AL156" s="15"/>
      <c r="AM156" s="58"/>
      <c r="AN156" s="15"/>
      <c r="AO156" s="58"/>
      <c r="AP156" s="15"/>
      <c r="AQ156" s="58"/>
      <c r="AR156" s="15"/>
      <c r="AS156" s="58"/>
      <c r="AT156" s="15"/>
      <c r="AU156" s="58"/>
      <c r="AV156" s="15"/>
      <c r="AW156" s="58"/>
      <c r="AX156" s="15"/>
      <c r="AY156" s="58"/>
      <c r="AZ156" s="15"/>
      <c r="BA156" s="58"/>
      <c r="BB156" s="15"/>
      <c r="BC156" s="58"/>
      <c r="BD156" s="15"/>
      <c r="BE156" s="58"/>
      <c r="BF156" s="15"/>
      <c r="BG156" s="58"/>
      <c r="BH156" s="15"/>
      <c r="BI156" s="58"/>
      <c r="BJ156" s="15"/>
      <c r="BK156" s="58"/>
      <c r="BL156" s="15"/>
      <c r="BM156" s="58"/>
      <c r="BN156" s="15"/>
      <c r="BO156" s="58"/>
      <c r="BP156" s="15"/>
      <c r="BQ156" s="58"/>
      <c r="BR156" s="15"/>
      <c r="BS156" s="58"/>
      <c r="BT156" s="15"/>
      <c r="BU156" s="58"/>
      <c r="BV156" s="15"/>
      <c r="BW156" s="58"/>
      <c r="BX156" s="15"/>
      <c r="BY156" s="58"/>
      <c r="BZ156" s="15"/>
      <c r="CA156" s="58"/>
      <c r="CB156" s="15"/>
      <c r="CC156" s="58"/>
      <c r="CD156" s="15"/>
      <c r="CE156" s="58"/>
      <c r="CF156" s="15"/>
      <c r="CG156" s="58"/>
      <c r="CH156" s="15"/>
      <c r="CI156" s="58"/>
      <c r="CJ156" s="15"/>
      <c r="CK156" s="58"/>
      <c r="CL156" s="15"/>
      <c r="CM156" s="58"/>
      <c r="CN156" s="15"/>
      <c r="CO156" s="58"/>
      <c r="CP156" s="15"/>
      <c r="CQ156" s="58"/>
      <c r="CR156" s="15"/>
      <c r="CS156" s="58"/>
      <c r="CT156" s="15"/>
      <c r="CU156" s="58"/>
      <c r="CV156" s="15"/>
      <c r="CW156" s="58"/>
      <c r="CX156" s="15"/>
      <c r="CY156" s="58"/>
      <c r="CZ156" s="15"/>
      <c r="DA156" s="58"/>
      <c r="DB156" s="15"/>
      <c r="DC156" s="58"/>
      <c r="DD156" s="15"/>
      <c r="DE156" s="58"/>
      <c r="DF156" s="15"/>
      <c r="DG156" s="58"/>
      <c r="DH156" s="15"/>
      <c r="DI156" s="58"/>
      <c r="DJ156" s="15"/>
      <c r="DK156" s="58"/>
      <c r="DL156" s="15"/>
      <c r="DM156" s="58"/>
      <c r="DN156" s="15"/>
      <c r="DO156" s="58"/>
      <c r="DP156" s="15"/>
      <c r="DQ156" s="58"/>
      <c r="DR156" s="15"/>
      <c r="DS156" s="58"/>
      <c r="DT156" s="15"/>
      <c r="DU156" s="58"/>
      <c r="DV156" s="15"/>
      <c r="DW156" s="58"/>
      <c r="DX156" s="15"/>
      <c r="DY156" s="58"/>
      <c r="DZ156" s="15"/>
      <c r="EA156" s="58"/>
      <c r="EB156" s="15"/>
      <c r="EC156" s="58"/>
      <c r="ED156" s="15"/>
      <c r="EE156" s="58"/>
      <c r="EF156" s="222"/>
      <c r="EG156" s="56"/>
      <c r="EH156" s="222"/>
      <c r="EI156" s="58"/>
      <c r="EJ156" s="58"/>
      <c r="EK156" s="58"/>
      <c r="EL156" s="58"/>
      <c r="EM156" s="58"/>
      <c r="EN156" s="208" t="s">
        <v>209</v>
      </c>
      <c r="EO156" s="246" t="s">
        <v>209</v>
      </c>
      <c r="EP156" s="246" t="s">
        <v>209</v>
      </c>
      <c r="EQ156" s="246" t="s">
        <v>209</v>
      </c>
      <c r="ER156" s="246"/>
      <c r="ES156" s="246"/>
      <c r="ET156" s="246"/>
      <c r="EU156" s="246"/>
      <c r="EV156" s="246"/>
      <c r="EW156" s="246"/>
      <c r="EX156" s="246"/>
      <c r="EY156" s="246"/>
      <c r="EZ156" s="246"/>
      <c r="FA156" s="246"/>
      <c r="FB156" s="63">
        <f>MEDIAN(M156,AE156)</f>
        <v>9032.8089899999995</v>
      </c>
      <c r="FC156" s="63">
        <f>AVERAGE(M156,AE156)</f>
        <v>9032.8089899999995</v>
      </c>
      <c r="FD156" s="64">
        <f>STDEV(M156,AE156)</f>
        <v>1626.7825745777002</v>
      </c>
      <c r="FE156" s="65">
        <f t="shared" si="178"/>
        <v>0.18009708567718757</v>
      </c>
      <c r="FF156" s="88">
        <f t="shared" si="180"/>
        <v>7590.7563025210084</v>
      </c>
      <c r="FG156" s="88">
        <f t="shared" si="181"/>
        <v>1442.2436974789916</v>
      </c>
      <c r="FH156" s="74">
        <f t="shared" si="187"/>
        <v>9033</v>
      </c>
      <c r="FI156" s="260">
        <f t="shared" si="172"/>
        <v>451650</v>
      </c>
      <c r="FJ156" s="60" t="s">
        <v>1034</v>
      </c>
    </row>
    <row r="157" spans="1:167" s="40" customFormat="1" ht="69" customHeight="1" x14ac:dyDescent="0.35">
      <c r="A157" s="37">
        <v>151</v>
      </c>
      <c r="B157" s="210" t="s">
        <v>343</v>
      </c>
      <c r="C157" s="210" t="s">
        <v>1008</v>
      </c>
      <c r="D157" s="249" t="s">
        <v>212</v>
      </c>
      <c r="E157" s="220">
        <v>30</v>
      </c>
      <c r="F157" s="58"/>
      <c r="G157" s="58"/>
      <c r="H157" s="58"/>
      <c r="I157" s="58"/>
      <c r="J157" s="58"/>
      <c r="K157" s="58"/>
      <c r="L157" s="15"/>
      <c r="M157" s="58">
        <f t="shared" si="193"/>
        <v>0</v>
      </c>
      <c r="N157" s="15"/>
      <c r="O157" s="58"/>
      <c r="P157" s="15"/>
      <c r="Q157" s="58"/>
      <c r="R157" s="15"/>
      <c r="S157" s="58"/>
      <c r="T157" s="15"/>
      <c r="U157" s="58"/>
      <c r="V157" s="15"/>
      <c r="W157" s="58"/>
      <c r="X157" s="15"/>
      <c r="Y157" s="58"/>
      <c r="Z157" s="15"/>
      <c r="AA157" s="58"/>
      <c r="AB157" s="15"/>
      <c r="AC157" s="58"/>
      <c r="AD157" s="58">
        <v>14298.968599999998</v>
      </c>
      <c r="AE157" s="58">
        <f t="shared" ref="AE157" si="201">+(AD157*5.1%)+AD157</f>
        <v>15028.215998599999</v>
      </c>
      <c r="AF157" s="15"/>
      <c r="AG157" s="58"/>
      <c r="AH157" s="15"/>
      <c r="AI157" s="58"/>
      <c r="AJ157" s="15"/>
      <c r="AK157" s="58"/>
      <c r="AL157" s="15"/>
      <c r="AM157" s="58"/>
      <c r="AN157" s="15"/>
      <c r="AO157" s="58"/>
      <c r="AP157" s="15"/>
      <c r="AQ157" s="58"/>
      <c r="AR157" s="15"/>
      <c r="AS157" s="58"/>
      <c r="AT157" s="15"/>
      <c r="AU157" s="58"/>
      <c r="AV157" s="15"/>
      <c r="AW157" s="58"/>
      <c r="AX157" s="15"/>
      <c r="AY157" s="58"/>
      <c r="AZ157" s="15"/>
      <c r="BA157" s="58"/>
      <c r="BB157" s="15"/>
      <c r="BC157" s="58"/>
      <c r="BD157" s="15"/>
      <c r="BE157" s="58"/>
      <c r="BF157" s="15"/>
      <c r="BG157" s="58"/>
      <c r="BH157" s="15"/>
      <c r="BI157" s="58"/>
      <c r="BJ157" s="15"/>
      <c r="BK157" s="58"/>
      <c r="BL157" s="15"/>
      <c r="BM157" s="58"/>
      <c r="BN157" s="15"/>
      <c r="BO157" s="58"/>
      <c r="BP157" s="15"/>
      <c r="BQ157" s="58"/>
      <c r="BR157" s="15"/>
      <c r="BS157" s="58"/>
      <c r="BT157" s="15"/>
      <c r="BU157" s="58"/>
      <c r="BV157" s="15"/>
      <c r="BW157" s="58"/>
      <c r="BX157" s="15"/>
      <c r="BY157" s="58"/>
      <c r="BZ157" s="15"/>
      <c r="CA157" s="58"/>
      <c r="CB157" s="15"/>
      <c r="CC157" s="58"/>
      <c r="CD157" s="15"/>
      <c r="CE157" s="58"/>
      <c r="CF157" s="15"/>
      <c r="CG157" s="58"/>
      <c r="CH157" s="15"/>
      <c r="CI157" s="58"/>
      <c r="CJ157" s="15">
        <v>19278</v>
      </c>
      <c r="CK157" s="58">
        <f t="shared" ref="CK157" si="202">+(CJ157*5.1%)+CJ157</f>
        <v>20261.178</v>
      </c>
      <c r="CL157" s="15"/>
      <c r="CM157" s="58"/>
      <c r="CN157" s="15"/>
      <c r="CO157" s="58"/>
      <c r="CP157" s="15"/>
      <c r="CQ157" s="58"/>
      <c r="CR157" s="15"/>
      <c r="CS157" s="58"/>
      <c r="CT157" s="15"/>
      <c r="CU157" s="58"/>
      <c r="CV157" s="15"/>
      <c r="CW157" s="58"/>
      <c r="CX157" s="15"/>
      <c r="CY157" s="58"/>
      <c r="CZ157" s="15"/>
      <c r="DA157" s="58"/>
      <c r="DB157" s="15"/>
      <c r="DC157" s="58"/>
      <c r="DD157" s="15"/>
      <c r="DE157" s="58"/>
      <c r="DF157" s="15"/>
      <c r="DG157" s="58"/>
      <c r="DH157" s="15"/>
      <c r="DI157" s="58"/>
      <c r="DJ157" s="15"/>
      <c r="DK157" s="58"/>
      <c r="DL157" s="15"/>
      <c r="DM157" s="58"/>
      <c r="DN157" s="15"/>
      <c r="DO157" s="58"/>
      <c r="DP157" s="15"/>
      <c r="DQ157" s="58"/>
      <c r="DR157" s="15"/>
      <c r="DS157" s="58"/>
      <c r="DT157" s="15"/>
      <c r="DU157" s="58"/>
      <c r="DV157" s="15"/>
      <c r="DW157" s="58"/>
      <c r="DX157" s="15"/>
      <c r="DY157" s="58"/>
      <c r="DZ157" s="15"/>
      <c r="EA157" s="58"/>
      <c r="EB157" s="15"/>
      <c r="EC157" s="58"/>
      <c r="ED157" s="15"/>
      <c r="EE157" s="58"/>
      <c r="EF157" s="222"/>
      <c r="EG157" s="56"/>
      <c r="EH157" s="222"/>
      <c r="EI157" s="58"/>
      <c r="EJ157" s="58"/>
      <c r="EK157" s="58"/>
      <c r="EL157" s="58"/>
      <c r="EM157" s="58"/>
      <c r="EN157" s="208" t="s">
        <v>209</v>
      </c>
      <c r="EO157" s="246" t="s">
        <v>209</v>
      </c>
      <c r="EP157" s="246" t="s">
        <v>209</v>
      </c>
      <c r="EQ157" s="246" t="s">
        <v>209</v>
      </c>
      <c r="ER157" s="246"/>
      <c r="ES157" s="246"/>
      <c r="ET157" s="246"/>
      <c r="EU157" s="246"/>
      <c r="EV157" s="246"/>
      <c r="EW157" s="246"/>
      <c r="EX157" s="246"/>
      <c r="EY157" s="246"/>
      <c r="EZ157" s="246"/>
      <c r="FA157" s="246"/>
      <c r="FB157" s="63">
        <f>MEDIAN(AE157,CK157)</f>
        <v>17644.696999299998</v>
      </c>
      <c r="FC157" s="63">
        <f>AVERAGE(AE157,CK157)</f>
        <v>17644.696999299998</v>
      </c>
      <c r="FD157" s="64">
        <f>STDEV(AE157,CK157)</f>
        <v>3700.2629168814756</v>
      </c>
      <c r="FE157" s="65">
        <f t="shared" si="178"/>
        <v>0.20970963213640181</v>
      </c>
      <c r="FF157" s="88">
        <f t="shared" si="180"/>
        <v>14827.731092436976</v>
      </c>
      <c r="FG157" s="88">
        <f t="shared" si="181"/>
        <v>2817.2689075630256</v>
      </c>
      <c r="FH157" s="74">
        <f t="shared" si="187"/>
        <v>17645</v>
      </c>
      <c r="FI157" s="260">
        <f t="shared" si="172"/>
        <v>529350</v>
      </c>
      <c r="FJ157" s="60" t="s">
        <v>1034</v>
      </c>
    </row>
    <row r="158" spans="1:167" s="40" customFormat="1" ht="69" customHeight="1" x14ac:dyDescent="0.35">
      <c r="A158" s="36">
        <v>152</v>
      </c>
      <c r="B158" s="210" t="s">
        <v>344</v>
      </c>
      <c r="C158" s="210" t="s">
        <v>1009</v>
      </c>
      <c r="D158" s="249" t="s">
        <v>313</v>
      </c>
      <c r="E158" s="220">
        <v>30</v>
      </c>
      <c r="F158" s="58"/>
      <c r="G158" s="58"/>
      <c r="H158" s="58"/>
      <c r="I158" s="58"/>
      <c r="J158" s="58"/>
      <c r="K158" s="58"/>
      <c r="L158" s="15">
        <v>45000</v>
      </c>
      <c r="M158" s="58">
        <f t="shared" si="193"/>
        <v>47295</v>
      </c>
      <c r="N158" s="15"/>
      <c r="O158" s="58"/>
      <c r="P158" s="15"/>
      <c r="Q158" s="58"/>
      <c r="R158" s="15"/>
      <c r="S158" s="58"/>
      <c r="T158" s="15"/>
      <c r="U158" s="58"/>
      <c r="V158" s="15"/>
      <c r="W158" s="58"/>
      <c r="X158" s="15"/>
      <c r="Y158" s="58"/>
      <c r="Z158" s="15"/>
      <c r="AA158" s="58"/>
      <c r="AB158" s="15"/>
      <c r="AC158" s="58"/>
      <c r="AD158" s="58">
        <v>41985.58</v>
      </c>
      <c r="AE158" s="58">
        <f t="shared" ref="AE158" si="203">+(AD158*5.1%)+AD158</f>
        <v>44126.844580000004</v>
      </c>
      <c r="AF158" s="15"/>
      <c r="AG158" s="58"/>
      <c r="AH158" s="15"/>
      <c r="AI158" s="58"/>
      <c r="AJ158" s="15"/>
      <c r="AK158" s="58"/>
      <c r="AL158" s="15"/>
      <c r="AM158" s="58"/>
      <c r="AN158" s="15"/>
      <c r="AO158" s="58"/>
      <c r="AP158" s="15"/>
      <c r="AQ158" s="58"/>
      <c r="AR158" s="15"/>
      <c r="AS158" s="58"/>
      <c r="AT158" s="15"/>
      <c r="AU158" s="58"/>
      <c r="AV158" s="15"/>
      <c r="AW158" s="58"/>
      <c r="AX158" s="15"/>
      <c r="AY158" s="58"/>
      <c r="AZ158" s="15"/>
      <c r="BA158" s="58"/>
      <c r="BB158" s="15"/>
      <c r="BC158" s="58"/>
      <c r="BD158" s="15"/>
      <c r="BE158" s="58"/>
      <c r="BF158" s="15"/>
      <c r="BG158" s="58"/>
      <c r="BH158" s="15"/>
      <c r="BI158" s="58"/>
      <c r="BJ158" s="15"/>
      <c r="BK158" s="58"/>
      <c r="BL158" s="15"/>
      <c r="BM158" s="58"/>
      <c r="BN158" s="15"/>
      <c r="BO158" s="58"/>
      <c r="BP158" s="15"/>
      <c r="BQ158" s="58"/>
      <c r="BR158" s="15"/>
      <c r="BS158" s="58"/>
      <c r="BT158" s="15"/>
      <c r="BU158" s="58"/>
      <c r="BV158" s="15"/>
      <c r="BW158" s="58"/>
      <c r="BX158" s="15"/>
      <c r="BY158" s="58"/>
      <c r="BZ158" s="15"/>
      <c r="CA158" s="58"/>
      <c r="CB158" s="15"/>
      <c r="CC158" s="58"/>
      <c r="CD158" s="15"/>
      <c r="CE158" s="58"/>
      <c r="CF158" s="15"/>
      <c r="CG158" s="58"/>
      <c r="CH158" s="15"/>
      <c r="CI158" s="58"/>
      <c r="CJ158" s="15"/>
      <c r="CK158" s="58"/>
      <c r="CL158" s="15"/>
      <c r="CM158" s="58"/>
      <c r="CN158" s="15"/>
      <c r="CO158" s="58"/>
      <c r="CP158" s="15"/>
      <c r="CQ158" s="58"/>
      <c r="CR158" s="15"/>
      <c r="CS158" s="58"/>
      <c r="CT158" s="15"/>
      <c r="CU158" s="58"/>
      <c r="CV158" s="15"/>
      <c r="CW158" s="58"/>
      <c r="CX158" s="15"/>
      <c r="CY158" s="58"/>
      <c r="CZ158" s="15"/>
      <c r="DA158" s="58"/>
      <c r="DB158" s="15"/>
      <c r="DC158" s="58"/>
      <c r="DD158" s="15"/>
      <c r="DE158" s="58"/>
      <c r="DF158" s="15"/>
      <c r="DG158" s="58"/>
      <c r="DH158" s="15"/>
      <c r="DI158" s="58"/>
      <c r="DJ158" s="15"/>
      <c r="DK158" s="58"/>
      <c r="DL158" s="15"/>
      <c r="DM158" s="58"/>
      <c r="DN158" s="15"/>
      <c r="DO158" s="58"/>
      <c r="DP158" s="15"/>
      <c r="DQ158" s="58"/>
      <c r="DR158" s="15"/>
      <c r="DS158" s="58"/>
      <c r="DT158" s="15"/>
      <c r="DU158" s="58"/>
      <c r="DV158" s="15"/>
      <c r="DW158" s="58"/>
      <c r="DX158" s="15"/>
      <c r="DY158" s="58"/>
      <c r="DZ158" s="15"/>
      <c r="EA158" s="58"/>
      <c r="EB158" s="15"/>
      <c r="EC158" s="58"/>
      <c r="ED158" s="15"/>
      <c r="EE158" s="58"/>
      <c r="EF158" s="222"/>
      <c r="EG158" s="56"/>
      <c r="EH158" s="222"/>
      <c r="EI158" s="58"/>
      <c r="EJ158" s="58"/>
      <c r="EK158" s="58"/>
      <c r="EL158" s="58"/>
      <c r="EM158" s="58"/>
      <c r="EN158" s="208" t="s">
        <v>209</v>
      </c>
      <c r="EO158" s="246" t="s">
        <v>209</v>
      </c>
      <c r="EP158" s="246" t="s">
        <v>209</v>
      </c>
      <c r="EQ158" s="246" t="s">
        <v>209</v>
      </c>
      <c r="ER158" s="246"/>
      <c r="ES158" s="246"/>
      <c r="ET158" s="246"/>
      <c r="EU158" s="246"/>
      <c r="EV158" s="246"/>
      <c r="EW158" s="246"/>
      <c r="EX158" s="246"/>
      <c r="EY158" s="246"/>
      <c r="EZ158" s="246"/>
      <c r="FA158" s="246"/>
      <c r="FB158" s="63">
        <f>MEDIAN(M158,AE158)</f>
        <v>45710.922290000002</v>
      </c>
      <c r="FC158" s="63">
        <f>AVERAGE(M158,AE158)</f>
        <v>45710.922290000002</v>
      </c>
      <c r="FD158" s="64">
        <f>STDEV(M158,AE158)</f>
        <v>2240.2241813349115</v>
      </c>
      <c r="FE158" s="65">
        <f t="shared" si="178"/>
        <v>4.9008509763212464E-2</v>
      </c>
      <c r="FF158" s="88">
        <f t="shared" si="180"/>
        <v>38412.60504201681</v>
      </c>
      <c r="FG158" s="88">
        <f t="shared" si="181"/>
        <v>7298.3949579831942</v>
      </c>
      <c r="FH158" s="74">
        <f t="shared" si="187"/>
        <v>45711</v>
      </c>
      <c r="FI158" s="260">
        <f t="shared" si="172"/>
        <v>1371330</v>
      </c>
      <c r="FJ158" s="60" t="s">
        <v>1032</v>
      </c>
    </row>
    <row r="159" spans="1:167" s="40" customFormat="1" ht="69" customHeight="1" x14ac:dyDescent="0.35">
      <c r="A159" s="36">
        <v>153</v>
      </c>
      <c r="B159" s="210" t="s">
        <v>345</v>
      </c>
      <c r="C159" s="210" t="s">
        <v>1010</v>
      </c>
      <c r="D159" s="249" t="s">
        <v>64</v>
      </c>
      <c r="E159" s="220">
        <v>5</v>
      </c>
      <c r="F159" s="58"/>
      <c r="G159" s="58"/>
      <c r="H159" s="58"/>
      <c r="I159" s="58"/>
      <c r="J159" s="58"/>
      <c r="K159" s="58"/>
      <c r="L159" s="15"/>
      <c r="M159" s="58">
        <f t="shared" si="193"/>
        <v>0</v>
      </c>
      <c r="N159" s="15"/>
      <c r="O159" s="58"/>
      <c r="P159" s="15"/>
      <c r="Q159" s="58"/>
      <c r="R159" s="15"/>
      <c r="S159" s="58"/>
      <c r="T159" s="15"/>
      <c r="U159" s="58"/>
      <c r="V159" s="15"/>
      <c r="W159" s="58"/>
      <c r="X159" s="15"/>
      <c r="Y159" s="58"/>
      <c r="Z159" s="15"/>
      <c r="AA159" s="58"/>
      <c r="AB159" s="15"/>
      <c r="AC159" s="58"/>
      <c r="AD159" s="58"/>
      <c r="AE159" s="58"/>
      <c r="AF159" s="15"/>
      <c r="AG159" s="58"/>
      <c r="AH159" s="15"/>
      <c r="AI159" s="58"/>
      <c r="AJ159" s="15"/>
      <c r="AK159" s="58"/>
      <c r="AL159" s="15"/>
      <c r="AM159" s="58"/>
      <c r="AN159" s="15"/>
      <c r="AO159" s="58"/>
      <c r="AP159" s="15"/>
      <c r="AQ159" s="58"/>
      <c r="AR159" s="15"/>
      <c r="AS159" s="58"/>
      <c r="AT159" s="15"/>
      <c r="AU159" s="58"/>
      <c r="AV159" s="15"/>
      <c r="AW159" s="58"/>
      <c r="AX159" s="15"/>
      <c r="AY159" s="58"/>
      <c r="AZ159" s="15"/>
      <c r="BA159" s="58"/>
      <c r="BB159" s="15"/>
      <c r="BC159" s="58"/>
      <c r="BD159" s="15"/>
      <c r="BE159" s="58"/>
      <c r="BF159" s="15"/>
      <c r="BG159" s="58"/>
      <c r="BH159" s="15"/>
      <c r="BI159" s="58"/>
      <c r="BJ159" s="15"/>
      <c r="BK159" s="58"/>
      <c r="BL159" s="15"/>
      <c r="BM159" s="58"/>
      <c r="BN159" s="15"/>
      <c r="BO159" s="58"/>
      <c r="BP159" s="15"/>
      <c r="BQ159" s="58"/>
      <c r="BR159" s="15"/>
      <c r="BS159" s="58"/>
      <c r="BT159" s="15"/>
      <c r="BU159" s="58"/>
      <c r="BV159" s="15"/>
      <c r="BW159" s="58"/>
      <c r="BX159" s="15"/>
      <c r="BY159" s="58"/>
      <c r="BZ159" s="15"/>
      <c r="CA159" s="58"/>
      <c r="CB159" s="15"/>
      <c r="CC159" s="58"/>
      <c r="CD159" s="15"/>
      <c r="CE159" s="58"/>
      <c r="CF159" s="15"/>
      <c r="CG159" s="58"/>
      <c r="CH159" s="15"/>
      <c r="CI159" s="58"/>
      <c r="CJ159" s="15"/>
      <c r="CK159" s="58"/>
      <c r="CL159" s="15">
        <v>62987</v>
      </c>
      <c r="CM159" s="58">
        <f t="shared" ref="CM159" si="204">+(CL159*5.1%)+CL159</f>
        <v>66199.337</v>
      </c>
      <c r="CN159" s="15"/>
      <c r="CO159" s="58"/>
      <c r="CP159" s="15"/>
      <c r="CQ159" s="58"/>
      <c r="CR159" s="15">
        <v>89000</v>
      </c>
      <c r="CS159" s="58">
        <f t="shared" ref="CS159" si="205">+(CR159*5.1%)+CR159</f>
        <v>93539</v>
      </c>
      <c r="CT159" s="15"/>
      <c r="CU159" s="58"/>
      <c r="CV159" s="15"/>
      <c r="CW159" s="58"/>
      <c r="CX159" s="15"/>
      <c r="CY159" s="58"/>
      <c r="CZ159" s="15"/>
      <c r="DA159" s="58"/>
      <c r="DB159" s="15"/>
      <c r="DC159" s="58"/>
      <c r="DD159" s="15"/>
      <c r="DE159" s="58"/>
      <c r="DF159" s="15"/>
      <c r="DG159" s="58"/>
      <c r="DH159" s="15"/>
      <c r="DI159" s="58"/>
      <c r="DJ159" s="15"/>
      <c r="DK159" s="58"/>
      <c r="DL159" s="15"/>
      <c r="DM159" s="58"/>
      <c r="DN159" s="15"/>
      <c r="DO159" s="58"/>
      <c r="DP159" s="15"/>
      <c r="DQ159" s="58"/>
      <c r="DR159" s="15"/>
      <c r="DS159" s="58"/>
      <c r="DT159" s="15"/>
      <c r="DU159" s="58"/>
      <c r="DV159" s="15"/>
      <c r="DW159" s="58"/>
      <c r="DX159" s="15"/>
      <c r="DY159" s="58"/>
      <c r="DZ159" s="15"/>
      <c r="EA159" s="58"/>
      <c r="EB159" s="15"/>
      <c r="EC159" s="58"/>
      <c r="ED159" s="15"/>
      <c r="EE159" s="58"/>
      <c r="EF159" s="222"/>
      <c r="EG159" s="56"/>
      <c r="EH159" s="222"/>
      <c r="EI159" s="58"/>
      <c r="EJ159" s="58"/>
      <c r="EK159" s="58"/>
      <c r="EL159" s="58"/>
      <c r="EM159" s="58"/>
      <c r="EN159" s="208" t="s">
        <v>209</v>
      </c>
      <c r="EO159" s="246" t="s">
        <v>209</v>
      </c>
      <c r="EP159" s="246" t="s">
        <v>209</v>
      </c>
      <c r="EQ159" s="246" t="s">
        <v>209</v>
      </c>
      <c r="ER159" s="246"/>
      <c r="ES159" s="246"/>
      <c r="ET159" s="246"/>
      <c r="EU159" s="246"/>
      <c r="EV159" s="246"/>
      <c r="EW159" s="246"/>
      <c r="EX159" s="246"/>
      <c r="EY159" s="246"/>
      <c r="EZ159" s="246"/>
      <c r="FA159" s="246"/>
      <c r="FB159" s="63">
        <f>MEDIAN(CM159,CS159)</f>
        <v>79869.1685</v>
      </c>
      <c r="FC159" s="63">
        <f>AVERAGE(CM159,CS159)</f>
        <v>79869.1685</v>
      </c>
      <c r="FD159" s="64">
        <f>STDEV(CM159,CS159)</f>
        <v>19332.06110265493</v>
      </c>
      <c r="FE159" s="65">
        <f t="shared" si="178"/>
        <v>0.24204660528868446</v>
      </c>
      <c r="FF159" s="88">
        <f t="shared" si="180"/>
        <v>67117.647058823539</v>
      </c>
      <c r="FG159" s="88">
        <f t="shared" si="181"/>
        <v>12752.352941176472</v>
      </c>
      <c r="FH159" s="74">
        <f t="shared" si="187"/>
        <v>79870</v>
      </c>
      <c r="FI159" s="260">
        <f t="shared" si="172"/>
        <v>399350</v>
      </c>
      <c r="FJ159" s="60" t="s">
        <v>1034</v>
      </c>
    </row>
    <row r="160" spans="1:167" s="40" customFormat="1" ht="69" customHeight="1" x14ac:dyDescent="0.35">
      <c r="A160" s="37">
        <v>154</v>
      </c>
      <c r="B160" s="210" t="s">
        <v>346</v>
      </c>
      <c r="C160" s="210" t="s">
        <v>1011</v>
      </c>
      <c r="D160" s="249" t="s">
        <v>64</v>
      </c>
      <c r="E160" s="220">
        <v>5</v>
      </c>
      <c r="F160" s="58"/>
      <c r="G160" s="58"/>
      <c r="H160" s="58"/>
      <c r="I160" s="58"/>
      <c r="J160" s="58"/>
      <c r="K160" s="58"/>
      <c r="L160" s="15"/>
      <c r="M160" s="58">
        <f t="shared" si="193"/>
        <v>0</v>
      </c>
      <c r="N160" s="15"/>
      <c r="O160" s="58"/>
      <c r="P160" s="15"/>
      <c r="Q160" s="58"/>
      <c r="R160" s="15"/>
      <c r="S160" s="58"/>
      <c r="T160" s="15"/>
      <c r="U160" s="58"/>
      <c r="V160" s="15"/>
      <c r="W160" s="58"/>
      <c r="X160" s="15"/>
      <c r="Y160" s="58"/>
      <c r="Z160" s="15"/>
      <c r="AA160" s="58"/>
      <c r="AB160" s="15"/>
      <c r="AC160" s="58"/>
      <c r="AD160" s="58"/>
      <c r="AE160" s="58"/>
      <c r="AF160" s="15"/>
      <c r="AG160" s="58"/>
      <c r="AH160" s="15"/>
      <c r="AI160" s="58"/>
      <c r="AJ160" s="15"/>
      <c r="AK160" s="58"/>
      <c r="AL160" s="15"/>
      <c r="AM160" s="58"/>
      <c r="AN160" s="15"/>
      <c r="AO160" s="58"/>
      <c r="AP160" s="15"/>
      <c r="AQ160" s="58"/>
      <c r="AR160" s="15"/>
      <c r="AS160" s="58"/>
      <c r="AT160" s="15"/>
      <c r="AU160" s="58"/>
      <c r="AV160" s="15"/>
      <c r="AW160" s="58"/>
      <c r="AX160" s="15"/>
      <c r="AY160" s="58"/>
      <c r="AZ160" s="15"/>
      <c r="BA160" s="58"/>
      <c r="BB160" s="15"/>
      <c r="BC160" s="58"/>
      <c r="BD160" s="15"/>
      <c r="BE160" s="58"/>
      <c r="BF160" s="15"/>
      <c r="BG160" s="58"/>
      <c r="BH160" s="15"/>
      <c r="BI160" s="58"/>
      <c r="BJ160" s="15"/>
      <c r="BK160" s="58"/>
      <c r="BL160" s="15"/>
      <c r="BM160" s="58"/>
      <c r="BN160" s="15"/>
      <c r="BO160" s="58"/>
      <c r="BP160" s="15"/>
      <c r="BQ160" s="58"/>
      <c r="BR160" s="15"/>
      <c r="BS160" s="58"/>
      <c r="BT160" s="15"/>
      <c r="BU160" s="58"/>
      <c r="BV160" s="15"/>
      <c r="BW160" s="58"/>
      <c r="BX160" s="15"/>
      <c r="BY160" s="58"/>
      <c r="BZ160" s="15"/>
      <c r="CA160" s="58"/>
      <c r="CB160" s="15"/>
      <c r="CC160" s="58"/>
      <c r="CD160" s="15"/>
      <c r="CE160" s="58"/>
      <c r="CF160" s="15"/>
      <c r="CG160" s="58"/>
      <c r="CH160" s="15"/>
      <c r="CI160" s="58"/>
      <c r="CJ160" s="15"/>
      <c r="CK160" s="58"/>
      <c r="CL160" s="15">
        <v>77994</v>
      </c>
      <c r="CM160" s="58">
        <f t="shared" ref="CM160" si="206">+(CL160*5.1%)+CL160</f>
        <v>81971.694000000003</v>
      </c>
      <c r="CN160" s="15"/>
      <c r="CO160" s="58"/>
      <c r="CP160" s="15"/>
      <c r="CQ160" s="58"/>
      <c r="CR160" s="15">
        <v>89900</v>
      </c>
      <c r="CS160" s="58">
        <f t="shared" ref="CS160" si="207">+(CR160*5.1%)+CR160</f>
        <v>94484.9</v>
      </c>
      <c r="CT160" s="15"/>
      <c r="CU160" s="58"/>
      <c r="CV160" s="15"/>
      <c r="CW160" s="58"/>
      <c r="CX160" s="15">
        <v>100000</v>
      </c>
      <c r="CY160" s="58">
        <f t="shared" ref="CY160" si="208">+(CX160*5.1%)+CX160</f>
        <v>105100</v>
      </c>
      <c r="CZ160" s="15"/>
      <c r="DA160" s="58"/>
      <c r="DB160" s="15"/>
      <c r="DC160" s="58"/>
      <c r="DD160" s="15"/>
      <c r="DE160" s="58"/>
      <c r="DF160" s="15"/>
      <c r="DG160" s="58"/>
      <c r="DH160" s="15"/>
      <c r="DI160" s="58"/>
      <c r="DJ160" s="15"/>
      <c r="DK160" s="58"/>
      <c r="DL160" s="15"/>
      <c r="DM160" s="58"/>
      <c r="DN160" s="15"/>
      <c r="DO160" s="58"/>
      <c r="DP160" s="15"/>
      <c r="DQ160" s="58"/>
      <c r="DR160" s="15"/>
      <c r="DS160" s="58"/>
      <c r="DT160" s="15"/>
      <c r="DU160" s="58"/>
      <c r="DV160" s="15"/>
      <c r="DW160" s="58"/>
      <c r="DX160" s="15"/>
      <c r="DY160" s="58"/>
      <c r="DZ160" s="15"/>
      <c r="EA160" s="58"/>
      <c r="EB160" s="15"/>
      <c r="EC160" s="58"/>
      <c r="ED160" s="15"/>
      <c r="EE160" s="58"/>
      <c r="EF160" s="222"/>
      <c r="EG160" s="56"/>
      <c r="EH160" s="222"/>
      <c r="EI160" s="58"/>
      <c r="EJ160" s="58"/>
      <c r="EK160" s="58"/>
      <c r="EL160" s="58"/>
      <c r="EM160" s="58"/>
      <c r="EN160" s="208" t="s">
        <v>209</v>
      </c>
      <c r="EO160" s="246" t="s">
        <v>209</v>
      </c>
      <c r="EP160" s="246" t="s">
        <v>209</v>
      </c>
      <c r="EQ160" s="246" t="s">
        <v>209</v>
      </c>
      <c r="ER160" s="246"/>
      <c r="ES160" s="246"/>
      <c r="ET160" s="246"/>
      <c r="EU160" s="246"/>
      <c r="EV160" s="246"/>
      <c r="EW160" s="246"/>
      <c r="EX160" s="246"/>
      <c r="EY160" s="246"/>
      <c r="EZ160" s="246"/>
      <c r="FA160" s="246"/>
      <c r="FB160" s="63">
        <f>MEDIAN(CM160,CS160)</f>
        <v>88228.296999999991</v>
      </c>
      <c r="FC160" s="63">
        <f>AVERAGE(CM160,CS160)</f>
        <v>88228.296999999991</v>
      </c>
      <c r="FD160" s="64">
        <f>STDEV(CM160,CS160)</f>
        <v>8848.1728169841863</v>
      </c>
      <c r="FE160" s="65">
        <f t="shared" si="178"/>
        <v>0.1002872447711893</v>
      </c>
      <c r="FF160" s="88">
        <f t="shared" si="180"/>
        <v>74142.016806722691</v>
      </c>
      <c r="FG160" s="88">
        <f t="shared" si="181"/>
        <v>14086.983193277312</v>
      </c>
      <c r="FH160" s="74">
        <f t="shared" si="187"/>
        <v>88229</v>
      </c>
      <c r="FI160" s="260">
        <f t="shared" ref="FI160:FI191" si="209">+FH160*E160</f>
        <v>441145</v>
      </c>
      <c r="FJ160" s="60" t="s">
        <v>1032</v>
      </c>
    </row>
    <row r="161" spans="1:167" s="40" customFormat="1" ht="69" customHeight="1" x14ac:dyDescent="0.35">
      <c r="A161" s="37">
        <v>155</v>
      </c>
      <c r="B161" s="210" t="s">
        <v>347</v>
      </c>
      <c r="C161" s="210" t="s">
        <v>1012</v>
      </c>
      <c r="D161" s="249" t="s">
        <v>64</v>
      </c>
      <c r="E161" s="220">
        <v>5</v>
      </c>
      <c r="F161" s="58"/>
      <c r="G161" s="58"/>
      <c r="H161" s="58"/>
      <c r="I161" s="58"/>
      <c r="J161" s="58"/>
      <c r="K161" s="58"/>
      <c r="L161" s="15"/>
      <c r="M161" s="58">
        <f t="shared" si="193"/>
        <v>0</v>
      </c>
      <c r="N161" s="15"/>
      <c r="O161" s="58"/>
      <c r="P161" s="15"/>
      <c r="Q161" s="58"/>
      <c r="R161" s="15"/>
      <c r="S161" s="58"/>
      <c r="T161" s="15"/>
      <c r="U161" s="58"/>
      <c r="V161" s="15"/>
      <c r="W161" s="58"/>
      <c r="X161" s="15"/>
      <c r="Y161" s="58"/>
      <c r="Z161" s="15"/>
      <c r="AA161" s="58"/>
      <c r="AB161" s="15"/>
      <c r="AC161" s="58"/>
      <c r="AD161" s="58"/>
      <c r="AE161" s="58"/>
      <c r="AF161" s="15"/>
      <c r="AG161" s="58"/>
      <c r="AH161" s="15"/>
      <c r="AI161" s="58"/>
      <c r="AJ161" s="15"/>
      <c r="AK161" s="58"/>
      <c r="AL161" s="15"/>
      <c r="AM161" s="58"/>
      <c r="AN161" s="15"/>
      <c r="AO161" s="58"/>
      <c r="AP161" s="15"/>
      <c r="AQ161" s="58"/>
      <c r="AR161" s="15"/>
      <c r="AS161" s="58"/>
      <c r="AT161" s="15"/>
      <c r="AU161" s="58"/>
      <c r="AV161" s="15"/>
      <c r="AW161" s="58"/>
      <c r="AX161" s="15"/>
      <c r="AY161" s="58"/>
      <c r="AZ161" s="15"/>
      <c r="BA161" s="58"/>
      <c r="BB161" s="15"/>
      <c r="BC161" s="58"/>
      <c r="BD161" s="15"/>
      <c r="BE161" s="58"/>
      <c r="BF161" s="15"/>
      <c r="BG161" s="58"/>
      <c r="BH161" s="15"/>
      <c r="BI161" s="58"/>
      <c r="BJ161" s="15"/>
      <c r="BK161" s="58"/>
      <c r="BL161" s="15"/>
      <c r="BM161" s="58"/>
      <c r="BN161" s="15"/>
      <c r="BO161" s="58"/>
      <c r="BP161" s="15"/>
      <c r="BQ161" s="58"/>
      <c r="BR161" s="15"/>
      <c r="BS161" s="58"/>
      <c r="BT161" s="15"/>
      <c r="BU161" s="58"/>
      <c r="BV161" s="15"/>
      <c r="BW161" s="58"/>
      <c r="BX161" s="15"/>
      <c r="BY161" s="58"/>
      <c r="BZ161" s="15"/>
      <c r="CA161" s="58"/>
      <c r="CB161" s="15"/>
      <c r="CC161" s="58"/>
      <c r="CD161" s="15"/>
      <c r="CE161" s="58"/>
      <c r="CF161" s="15"/>
      <c r="CG161" s="58"/>
      <c r="CH161" s="15"/>
      <c r="CI161" s="58"/>
      <c r="CJ161" s="15"/>
      <c r="CK161" s="58"/>
      <c r="CL161" s="15"/>
      <c r="CM161" s="58"/>
      <c r="CN161" s="15"/>
      <c r="CO161" s="58"/>
      <c r="CP161" s="15"/>
      <c r="CQ161" s="58"/>
      <c r="CR161" s="15">
        <v>89900</v>
      </c>
      <c r="CS161" s="58">
        <f t="shared" ref="CS161" si="210">+(CR161*5.1%)+CR161</f>
        <v>94484.9</v>
      </c>
      <c r="CT161" s="15"/>
      <c r="CU161" s="58"/>
      <c r="CV161" s="15"/>
      <c r="CW161" s="58"/>
      <c r="CX161" s="15">
        <v>100000</v>
      </c>
      <c r="CY161" s="58">
        <f t="shared" ref="CY161" si="211">+(CX161*5.1%)+CX161</f>
        <v>105100</v>
      </c>
      <c r="CZ161" s="15"/>
      <c r="DA161" s="58"/>
      <c r="DB161" s="15"/>
      <c r="DC161" s="58"/>
      <c r="DD161" s="15"/>
      <c r="DE161" s="58"/>
      <c r="DF161" s="15"/>
      <c r="DG161" s="58"/>
      <c r="DH161" s="15"/>
      <c r="DI161" s="58"/>
      <c r="DJ161" s="15"/>
      <c r="DK161" s="58"/>
      <c r="DL161" s="15"/>
      <c r="DM161" s="58"/>
      <c r="DN161" s="15"/>
      <c r="DO161" s="58"/>
      <c r="DP161" s="15"/>
      <c r="DQ161" s="58"/>
      <c r="DR161" s="15"/>
      <c r="DS161" s="58"/>
      <c r="DT161" s="15"/>
      <c r="DU161" s="58"/>
      <c r="DV161" s="15"/>
      <c r="DW161" s="58"/>
      <c r="DX161" s="15"/>
      <c r="DY161" s="58"/>
      <c r="DZ161" s="15"/>
      <c r="EA161" s="58"/>
      <c r="EB161" s="15"/>
      <c r="EC161" s="58"/>
      <c r="ED161" s="15"/>
      <c r="EE161" s="58"/>
      <c r="EF161" s="222"/>
      <c r="EG161" s="56"/>
      <c r="EH161" s="222"/>
      <c r="EI161" s="58"/>
      <c r="EJ161" s="58"/>
      <c r="EK161" s="58"/>
      <c r="EL161" s="58"/>
      <c r="EM161" s="58"/>
      <c r="EN161" s="208" t="s">
        <v>209</v>
      </c>
      <c r="EO161" s="246" t="s">
        <v>209</v>
      </c>
      <c r="EP161" s="246" t="s">
        <v>209</v>
      </c>
      <c r="EQ161" s="246" t="s">
        <v>209</v>
      </c>
      <c r="ER161" s="246"/>
      <c r="ES161" s="246"/>
      <c r="ET161" s="246"/>
      <c r="EU161" s="246"/>
      <c r="EV161" s="246"/>
      <c r="EW161" s="246"/>
      <c r="EX161" s="246"/>
      <c r="EY161" s="246"/>
      <c r="EZ161" s="246"/>
      <c r="FA161" s="246"/>
      <c r="FB161" s="63">
        <f>MEDIAN(CS161,CY161)</f>
        <v>99792.45</v>
      </c>
      <c r="FC161" s="63">
        <f>AVERAGE(CS161,CY161)</f>
        <v>99792.45</v>
      </c>
      <c r="FD161" s="64">
        <f>STDEV(CS161,CY161)</f>
        <v>7506.0091929733244</v>
      </c>
      <c r="FE161" s="65">
        <f t="shared" si="178"/>
        <v>7.5216203159390566E-2</v>
      </c>
      <c r="FF161" s="88">
        <f t="shared" si="180"/>
        <v>83859.663865546216</v>
      </c>
      <c r="FG161" s="88">
        <f t="shared" si="181"/>
        <v>15933.336134453781</v>
      </c>
      <c r="FH161" s="74">
        <f t="shared" si="187"/>
        <v>99793</v>
      </c>
      <c r="FI161" s="260">
        <f t="shared" si="209"/>
        <v>498965</v>
      </c>
      <c r="FJ161" s="60" t="s">
        <v>1032</v>
      </c>
    </row>
    <row r="162" spans="1:167" s="40" customFormat="1" ht="69" customHeight="1" x14ac:dyDescent="0.35">
      <c r="A162" s="37">
        <v>156</v>
      </c>
      <c r="B162" s="210" t="s">
        <v>348</v>
      </c>
      <c r="C162" s="210" t="s">
        <v>1013</v>
      </c>
      <c r="D162" s="249" t="s">
        <v>212</v>
      </c>
      <c r="E162" s="220">
        <v>60</v>
      </c>
      <c r="F162" s="58"/>
      <c r="G162" s="58"/>
      <c r="H162" s="58"/>
      <c r="I162" s="58"/>
      <c r="J162" s="58"/>
      <c r="K162" s="58"/>
      <c r="L162" s="15">
        <v>10000</v>
      </c>
      <c r="M162" s="58">
        <f t="shared" si="193"/>
        <v>10510</v>
      </c>
      <c r="N162" s="15"/>
      <c r="O162" s="58"/>
      <c r="P162" s="15"/>
      <c r="Q162" s="58"/>
      <c r="R162" s="15"/>
      <c r="S162" s="58"/>
      <c r="T162" s="15"/>
      <c r="U162" s="58"/>
      <c r="V162" s="15"/>
      <c r="W162" s="58"/>
      <c r="X162" s="15"/>
      <c r="Y162" s="58"/>
      <c r="Z162" s="15"/>
      <c r="AA162" s="58"/>
      <c r="AB162" s="15"/>
      <c r="AC162" s="58"/>
      <c r="AD162" s="58">
        <v>11233.6</v>
      </c>
      <c r="AE162" s="58">
        <f t="shared" ref="AE162" si="212">+(AD162*5.1%)+AD162</f>
        <v>11806.5136</v>
      </c>
      <c r="AF162" s="15"/>
      <c r="AG162" s="58"/>
      <c r="AH162" s="15"/>
      <c r="AI162" s="58"/>
      <c r="AJ162" s="15"/>
      <c r="AK162" s="58"/>
      <c r="AL162" s="15"/>
      <c r="AM162" s="58"/>
      <c r="AN162" s="15"/>
      <c r="AO162" s="58"/>
      <c r="AP162" s="15"/>
      <c r="AQ162" s="58"/>
      <c r="AR162" s="15"/>
      <c r="AS162" s="58"/>
      <c r="AT162" s="15"/>
      <c r="AU162" s="58"/>
      <c r="AV162" s="15"/>
      <c r="AW162" s="58"/>
      <c r="AX162" s="15"/>
      <c r="AY162" s="58"/>
      <c r="AZ162" s="15"/>
      <c r="BA162" s="58"/>
      <c r="BB162" s="15"/>
      <c r="BC162" s="58"/>
      <c r="BD162" s="15"/>
      <c r="BE162" s="58"/>
      <c r="BF162" s="15"/>
      <c r="BG162" s="58"/>
      <c r="BH162" s="15"/>
      <c r="BI162" s="58"/>
      <c r="BJ162" s="15"/>
      <c r="BK162" s="58"/>
      <c r="BL162" s="15"/>
      <c r="BM162" s="58"/>
      <c r="BN162" s="15"/>
      <c r="BO162" s="58"/>
      <c r="BP162" s="15"/>
      <c r="BQ162" s="58"/>
      <c r="BR162" s="15"/>
      <c r="BS162" s="58"/>
      <c r="BT162" s="15"/>
      <c r="BU162" s="58"/>
      <c r="BV162" s="15"/>
      <c r="BW162" s="58"/>
      <c r="BX162" s="15"/>
      <c r="BY162" s="58"/>
      <c r="BZ162" s="15"/>
      <c r="CA162" s="58"/>
      <c r="CB162" s="15"/>
      <c r="CC162" s="58"/>
      <c r="CD162" s="15"/>
      <c r="CE162" s="58"/>
      <c r="CF162" s="15"/>
      <c r="CG162" s="58"/>
      <c r="CH162" s="15"/>
      <c r="CI162" s="58"/>
      <c r="CJ162" s="15"/>
      <c r="CK162" s="58"/>
      <c r="CL162" s="15"/>
      <c r="CM162" s="58"/>
      <c r="CN162" s="15"/>
      <c r="CO162" s="58"/>
      <c r="CP162" s="15"/>
      <c r="CQ162" s="58"/>
      <c r="CR162" s="15"/>
      <c r="CS162" s="58"/>
      <c r="CT162" s="15"/>
      <c r="CU162" s="58"/>
      <c r="CV162" s="15"/>
      <c r="CW162" s="58"/>
      <c r="CX162" s="15"/>
      <c r="CY162" s="58"/>
      <c r="CZ162" s="15"/>
      <c r="DA162" s="58"/>
      <c r="DB162" s="15"/>
      <c r="DC162" s="58"/>
      <c r="DD162" s="15"/>
      <c r="DE162" s="58"/>
      <c r="DF162" s="15"/>
      <c r="DG162" s="58"/>
      <c r="DH162" s="15"/>
      <c r="DI162" s="58"/>
      <c r="DJ162" s="15"/>
      <c r="DK162" s="58"/>
      <c r="DL162" s="15"/>
      <c r="DM162" s="58"/>
      <c r="DN162" s="15"/>
      <c r="DO162" s="58"/>
      <c r="DP162" s="15"/>
      <c r="DQ162" s="58"/>
      <c r="DR162" s="15"/>
      <c r="DS162" s="58"/>
      <c r="DT162" s="15"/>
      <c r="DU162" s="58"/>
      <c r="DV162" s="15"/>
      <c r="DW162" s="58"/>
      <c r="DX162" s="15"/>
      <c r="DY162" s="58"/>
      <c r="DZ162" s="15"/>
      <c r="EA162" s="58"/>
      <c r="EB162" s="15"/>
      <c r="EC162" s="58"/>
      <c r="ED162" s="15"/>
      <c r="EE162" s="58"/>
      <c r="EF162" s="222"/>
      <c r="EG162" s="56"/>
      <c r="EH162" s="222"/>
      <c r="EI162" s="58"/>
      <c r="EJ162" s="58"/>
      <c r="EK162" s="58"/>
      <c r="EL162" s="58"/>
      <c r="EM162" s="58"/>
      <c r="EN162" s="208"/>
      <c r="EO162" s="246"/>
      <c r="EP162" s="246"/>
      <c r="EQ162" s="246"/>
      <c r="ER162" s="246"/>
      <c r="ES162" s="246"/>
      <c r="ET162" s="246"/>
      <c r="EU162" s="246"/>
      <c r="EV162" s="246"/>
      <c r="EW162" s="246"/>
      <c r="EX162" s="246"/>
      <c r="EY162" s="246"/>
      <c r="EZ162" s="246"/>
      <c r="FA162" s="246"/>
      <c r="FB162" s="63">
        <f>MEDIAN(M162,AE162)</f>
        <v>11158.256799999999</v>
      </c>
      <c r="FC162" s="63">
        <f>AVERAGE(M162,AE162)</f>
        <v>11158.256799999999</v>
      </c>
      <c r="FD162" s="64">
        <f>STDEV(M162,AE162)</f>
        <v>916.77355846058322</v>
      </c>
      <c r="FE162" s="65">
        <f t="shared" si="178"/>
        <v>8.2161001928238761E-2</v>
      </c>
      <c r="FF162" s="88">
        <f t="shared" si="180"/>
        <v>9377.310924369749</v>
      </c>
      <c r="FG162" s="88">
        <f t="shared" si="181"/>
        <v>1781.6890756302523</v>
      </c>
      <c r="FH162" s="74">
        <f t="shared" si="187"/>
        <v>11159</v>
      </c>
      <c r="FI162" s="260">
        <f t="shared" si="209"/>
        <v>669540</v>
      </c>
      <c r="FJ162" s="60" t="s">
        <v>1032</v>
      </c>
    </row>
    <row r="163" spans="1:167" s="40" customFormat="1" ht="92.25" customHeight="1" x14ac:dyDescent="0.35">
      <c r="A163" s="36">
        <v>157</v>
      </c>
      <c r="B163" s="210" t="s">
        <v>349</v>
      </c>
      <c r="C163" s="210" t="s">
        <v>1014</v>
      </c>
      <c r="D163" s="249" t="s">
        <v>350</v>
      </c>
      <c r="E163" s="220">
        <v>80</v>
      </c>
      <c r="F163" s="58"/>
      <c r="G163" s="58"/>
      <c r="H163" s="58"/>
      <c r="I163" s="58"/>
      <c r="J163" s="58"/>
      <c r="K163" s="58"/>
      <c r="L163" s="15">
        <v>14500</v>
      </c>
      <c r="M163" s="58">
        <f t="shared" si="193"/>
        <v>15239.5</v>
      </c>
      <c r="N163" s="15"/>
      <c r="O163" s="58"/>
      <c r="P163" s="15"/>
      <c r="Q163" s="58"/>
      <c r="R163" s="15"/>
      <c r="S163" s="58"/>
      <c r="T163" s="15"/>
      <c r="U163" s="58"/>
      <c r="V163" s="15"/>
      <c r="W163" s="58"/>
      <c r="X163" s="15"/>
      <c r="Y163" s="58"/>
      <c r="Z163" s="15"/>
      <c r="AA163" s="58"/>
      <c r="AB163" s="15"/>
      <c r="AC163" s="58"/>
      <c r="AD163" s="58"/>
      <c r="AE163" s="58"/>
      <c r="AF163" s="15"/>
      <c r="AG163" s="58"/>
      <c r="AH163" s="15"/>
      <c r="AI163" s="58"/>
      <c r="AJ163" s="15"/>
      <c r="AK163" s="58"/>
      <c r="AL163" s="15"/>
      <c r="AM163" s="58"/>
      <c r="AN163" s="15"/>
      <c r="AO163" s="58"/>
      <c r="AP163" s="15"/>
      <c r="AQ163" s="58"/>
      <c r="AR163" s="15"/>
      <c r="AS163" s="58"/>
      <c r="AT163" s="15"/>
      <c r="AU163" s="58"/>
      <c r="AV163" s="15"/>
      <c r="AW163" s="58"/>
      <c r="AX163" s="15"/>
      <c r="AY163" s="58"/>
      <c r="AZ163" s="15"/>
      <c r="BA163" s="58"/>
      <c r="BB163" s="15"/>
      <c r="BC163" s="58"/>
      <c r="BD163" s="15"/>
      <c r="BE163" s="58"/>
      <c r="BF163" s="15"/>
      <c r="BG163" s="58"/>
      <c r="BH163" s="15"/>
      <c r="BI163" s="58"/>
      <c r="BJ163" s="15"/>
      <c r="BK163" s="58"/>
      <c r="BL163" s="15"/>
      <c r="BM163" s="58"/>
      <c r="BN163" s="15"/>
      <c r="BO163" s="58"/>
      <c r="BP163" s="15"/>
      <c r="BQ163" s="58"/>
      <c r="BR163" s="15"/>
      <c r="BS163" s="58"/>
      <c r="BT163" s="15"/>
      <c r="BU163" s="58"/>
      <c r="BV163" s="15"/>
      <c r="BW163" s="58"/>
      <c r="BX163" s="15"/>
      <c r="BY163" s="58"/>
      <c r="BZ163" s="15"/>
      <c r="CA163" s="58"/>
      <c r="CB163" s="15"/>
      <c r="CC163" s="58"/>
      <c r="CD163" s="15"/>
      <c r="CE163" s="58"/>
      <c r="CF163" s="15"/>
      <c r="CG163" s="58"/>
      <c r="CH163" s="15"/>
      <c r="CI163" s="58"/>
      <c r="CJ163" s="15">
        <v>12537</v>
      </c>
      <c r="CK163" s="58">
        <f t="shared" ref="CK163" si="213">+(CJ163*5.1%)+CJ163</f>
        <v>13176.387000000001</v>
      </c>
      <c r="CL163" s="15"/>
      <c r="CM163" s="58"/>
      <c r="CN163" s="15"/>
      <c r="CO163" s="58"/>
      <c r="CP163" s="15"/>
      <c r="CQ163" s="58"/>
      <c r="CR163" s="15"/>
      <c r="CS163" s="58"/>
      <c r="CT163" s="15"/>
      <c r="CU163" s="58"/>
      <c r="CV163" s="15"/>
      <c r="CW163" s="58"/>
      <c r="CX163" s="15"/>
      <c r="CY163" s="58"/>
      <c r="CZ163" s="15"/>
      <c r="DA163" s="58"/>
      <c r="DB163" s="15"/>
      <c r="DC163" s="58"/>
      <c r="DD163" s="15"/>
      <c r="DE163" s="58"/>
      <c r="DF163" s="15"/>
      <c r="DG163" s="58"/>
      <c r="DH163" s="15"/>
      <c r="DI163" s="58"/>
      <c r="DJ163" s="15"/>
      <c r="DK163" s="58"/>
      <c r="DL163" s="15"/>
      <c r="DM163" s="58"/>
      <c r="DN163" s="15"/>
      <c r="DO163" s="58"/>
      <c r="DP163" s="15"/>
      <c r="DQ163" s="58"/>
      <c r="DR163" s="15"/>
      <c r="DS163" s="58"/>
      <c r="DT163" s="15"/>
      <c r="DU163" s="58"/>
      <c r="DV163" s="15"/>
      <c r="DW163" s="58"/>
      <c r="DX163" s="15"/>
      <c r="DY163" s="58"/>
      <c r="DZ163" s="15"/>
      <c r="EA163" s="58"/>
      <c r="EB163" s="15"/>
      <c r="EC163" s="58"/>
      <c r="ED163" s="15"/>
      <c r="EE163" s="58"/>
      <c r="EF163" s="222"/>
      <c r="EG163" s="56"/>
      <c r="EH163" s="222"/>
      <c r="EI163" s="58"/>
      <c r="EJ163" s="58"/>
      <c r="EK163" s="58"/>
      <c r="EL163" s="58"/>
      <c r="EM163" s="58"/>
      <c r="EN163" s="208" t="s">
        <v>209</v>
      </c>
      <c r="EO163" s="246" t="s">
        <v>209</v>
      </c>
      <c r="EP163" s="246" t="s">
        <v>209</v>
      </c>
      <c r="EQ163" s="246" t="s">
        <v>209</v>
      </c>
      <c r="ER163" s="246"/>
      <c r="ES163" s="246"/>
      <c r="ET163" s="246"/>
      <c r="EU163" s="246"/>
      <c r="EV163" s="246"/>
      <c r="EW163" s="246"/>
      <c r="EX163" s="246"/>
      <c r="EY163" s="246"/>
      <c r="EZ163" s="246"/>
      <c r="FA163" s="246"/>
      <c r="FB163" s="63">
        <f>MEDIAN(M163,CK163)</f>
        <v>14207.943500000001</v>
      </c>
      <c r="FC163" s="63">
        <f>AVERAGE(M163,CK163)</f>
        <v>14207.943500000001</v>
      </c>
      <c r="FD163" s="64">
        <f>STDEV(M163,CK163)</f>
        <v>1458.8411926541212</v>
      </c>
      <c r="FE163" s="65">
        <f t="shared" si="178"/>
        <v>0.10267785711944315</v>
      </c>
      <c r="FF163" s="88">
        <f t="shared" si="180"/>
        <v>11939.495798319329</v>
      </c>
      <c r="FG163" s="88">
        <f t="shared" si="181"/>
        <v>2268.5042016806724</v>
      </c>
      <c r="FH163" s="74">
        <f t="shared" si="187"/>
        <v>14208</v>
      </c>
      <c r="FI163" s="260">
        <f t="shared" si="209"/>
        <v>1136640</v>
      </c>
      <c r="FJ163" s="60" t="s">
        <v>1032</v>
      </c>
    </row>
    <row r="164" spans="1:167" s="40" customFormat="1" ht="92.25" customHeight="1" x14ac:dyDescent="0.35">
      <c r="A164" s="37">
        <v>158</v>
      </c>
      <c r="B164" s="210" t="s">
        <v>351</v>
      </c>
      <c r="C164" s="210" t="s">
        <v>1015</v>
      </c>
      <c r="D164" s="249" t="s">
        <v>64</v>
      </c>
      <c r="E164" s="220">
        <v>50</v>
      </c>
      <c r="F164" s="58"/>
      <c r="G164" s="58"/>
      <c r="H164" s="58"/>
      <c r="I164" s="58"/>
      <c r="J164" s="58"/>
      <c r="K164" s="58"/>
      <c r="L164" s="15">
        <v>5500</v>
      </c>
      <c r="M164" s="58">
        <f t="shared" si="193"/>
        <v>5780.5</v>
      </c>
      <c r="N164" s="15"/>
      <c r="O164" s="58"/>
      <c r="P164" s="15"/>
      <c r="Q164" s="58"/>
      <c r="R164" s="15"/>
      <c r="S164" s="58"/>
      <c r="T164" s="15"/>
      <c r="U164" s="58"/>
      <c r="V164" s="15"/>
      <c r="W164" s="58"/>
      <c r="X164" s="15"/>
      <c r="Y164" s="58"/>
      <c r="Z164" s="15"/>
      <c r="AA164" s="58"/>
      <c r="AB164" s="15"/>
      <c r="AC164" s="58"/>
      <c r="AD164" s="58">
        <v>7050.4881999999998</v>
      </c>
      <c r="AE164" s="58">
        <f t="shared" ref="AE164" si="214">+(AD164*5.1%)+AD164</f>
        <v>7410.0630981999993</v>
      </c>
      <c r="AF164" s="15"/>
      <c r="AG164" s="58"/>
      <c r="AH164" s="15"/>
      <c r="AI164" s="58"/>
      <c r="AJ164" s="15"/>
      <c r="AK164" s="58"/>
      <c r="AL164" s="15"/>
      <c r="AM164" s="58"/>
      <c r="AN164" s="15"/>
      <c r="AO164" s="58"/>
      <c r="AP164" s="15"/>
      <c r="AQ164" s="58"/>
      <c r="AR164" s="15"/>
      <c r="AS164" s="58"/>
      <c r="AT164" s="15"/>
      <c r="AU164" s="58"/>
      <c r="AV164" s="15"/>
      <c r="AW164" s="58"/>
      <c r="AX164" s="15"/>
      <c r="AY164" s="58"/>
      <c r="AZ164" s="15"/>
      <c r="BA164" s="58"/>
      <c r="BB164" s="15"/>
      <c r="BC164" s="58"/>
      <c r="BD164" s="15"/>
      <c r="BE164" s="58"/>
      <c r="BF164" s="15"/>
      <c r="BG164" s="58"/>
      <c r="BH164" s="15"/>
      <c r="BI164" s="58"/>
      <c r="BJ164" s="15"/>
      <c r="BK164" s="58"/>
      <c r="BL164" s="15"/>
      <c r="BM164" s="58"/>
      <c r="BN164" s="15"/>
      <c r="BO164" s="58"/>
      <c r="BP164" s="15"/>
      <c r="BQ164" s="58"/>
      <c r="BR164" s="15"/>
      <c r="BS164" s="58"/>
      <c r="BT164" s="15"/>
      <c r="BU164" s="58"/>
      <c r="BV164" s="15"/>
      <c r="BW164" s="58"/>
      <c r="BX164" s="15"/>
      <c r="BY164" s="58"/>
      <c r="BZ164" s="15"/>
      <c r="CA164" s="58"/>
      <c r="CB164" s="15"/>
      <c r="CC164" s="58"/>
      <c r="CD164" s="15"/>
      <c r="CE164" s="58"/>
      <c r="CF164" s="15"/>
      <c r="CG164" s="58"/>
      <c r="CH164" s="15"/>
      <c r="CI164" s="58"/>
      <c r="CJ164" s="15"/>
      <c r="CK164" s="58"/>
      <c r="CL164" s="15"/>
      <c r="CM164" s="58"/>
      <c r="CN164" s="15"/>
      <c r="CO164" s="58"/>
      <c r="CP164" s="15"/>
      <c r="CQ164" s="58"/>
      <c r="CR164" s="15"/>
      <c r="CS164" s="58"/>
      <c r="CT164" s="15"/>
      <c r="CU164" s="58"/>
      <c r="CV164" s="15"/>
      <c r="CW164" s="58"/>
      <c r="CX164" s="15"/>
      <c r="CY164" s="58"/>
      <c r="CZ164" s="15"/>
      <c r="DA164" s="58"/>
      <c r="DB164" s="15"/>
      <c r="DC164" s="58"/>
      <c r="DD164" s="15"/>
      <c r="DE164" s="58"/>
      <c r="DF164" s="15"/>
      <c r="DG164" s="58"/>
      <c r="DH164" s="15"/>
      <c r="DI164" s="58"/>
      <c r="DJ164" s="15"/>
      <c r="DK164" s="58"/>
      <c r="DL164" s="15"/>
      <c r="DM164" s="58"/>
      <c r="DN164" s="15"/>
      <c r="DO164" s="58"/>
      <c r="DP164" s="15"/>
      <c r="DQ164" s="58"/>
      <c r="DR164" s="15"/>
      <c r="DS164" s="58"/>
      <c r="DT164" s="15"/>
      <c r="DU164" s="58"/>
      <c r="DV164" s="15"/>
      <c r="DW164" s="58"/>
      <c r="DX164" s="15"/>
      <c r="DY164" s="58"/>
      <c r="DZ164" s="15"/>
      <c r="EA164" s="58"/>
      <c r="EB164" s="15"/>
      <c r="EC164" s="58"/>
      <c r="ED164" s="15"/>
      <c r="EE164" s="58"/>
      <c r="EF164" s="8"/>
      <c r="EG164" s="324"/>
      <c r="EH164" s="8"/>
      <c r="EI164" s="58"/>
      <c r="EJ164" s="58"/>
      <c r="EK164" s="58"/>
      <c r="EL164" s="58"/>
      <c r="EM164" s="58"/>
      <c r="EN164" s="208"/>
      <c r="EO164" s="246"/>
      <c r="EP164" s="246"/>
      <c r="EQ164" s="246"/>
      <c r="ER164" s="246"/>
      <c r="ES164" s="246"/>
      <c r="ET164" s="246"/>
      <c r="EU164" s="246"/>
      <c r="EV164" s="246"/>
      <c r="EW164" s="246"/>
      <c r="EX164" s="246"/>
      <c r="EY164" s="246"/>
      <c r="EZ164" s="246"/>
      <c r="FA164" s="246"/>
      <c r="FB164" s="63">
        <f>MEDIAN(M164,AE164)</f>
        <v>6595.2815491000001</v>
      </c>
      <c r="FC164" s="63">
        <f>AVERAGE(M164,AE164)</f>
        <v>6595.2815491000001</v>
      </c>
      <c r="FD164" s="64">
        <f>STDEV(M164,AE164)</f>
        <v>1152.2751171085711</v>
      </c>
      <c r="FE164" s="65">
        <f t="shared" si="178"/>
        <v>0.1747120435314565</v>
      </c>
      <c r="FF164" s="88">
        <f t="shared" si="180"/>
        <v>5542.8571428571431</v>
      </c>
      <c r="FG164" s="88">
        <f t="shared" si="181"/>
        <v>1053.1428571428571</v>
      </c>
      <c r="FH164" s="74">
        <f t="shared" si="187"/>
        <v>6596</v>
      </c>
      <c r="FI164" s="260">
        <f t="shared" si="209"/>
        <v>329800</v>
      </c>
      <c r="FJ164" s="60" t="s">
        <v>1034</v>
      </c>
    </row>
    <row r="165" spans="1:167" s="40" customFormat="1" ht="92.25" customHeight="1" x14ac:dyDescent="0.35">
      <c r="A165" s="37">
        <v>159</v>
      </c>
      <c r="B165" s="210" t="s">
        <v>352</v>
      </c>
      <c r="C165" s="210" t="s">
        <v>1015</v>
      </c>
      <c r="D165" s="249" t="s">
        <v>64</v>
      </c>
      <c r="E165" s="220">
        <v>90</v>
      </c>
      <c r="F165" s="58"/>
      <c r="G165" s="58"/>
      <c r="H165" s="58"/>
      <c r="I165" s="58"/>
      <c r="J165" s="58"/>
      <c r="K165" s="58"/>
      <c r="L165" s="15">
        <v>6500</v>
      </c>
      <c r="M165" s="58">
        <f t="shared" si="193"/>
        <v>6831.5</v>
      </c>
      <c r="N165" s="15"/>
      <c r="O165" s="58"/>
      <c r="P165" s="15"/>
      <c r="Q165" s="58"/>
      <c r="R165" s="15"/>
      <c r="S165" s="58"/>
      <c r="T165" s="15"/>
      <c r="U165" s="58"/>
      <c r="V165" s="15"/>
      <c r="W165" s="58"/>
      <c r="X165" s="15"/>
      <c r="Y165" s="58"/>
      <c r="Z165" s="15"/>
      <c r="AA165" s="58"/>
      <c r="AB165" s="15"/>
      <c r="AC165" s="58"/>
      <c r="AD165" s="58">
        <v>7723.0999999999995</v>
      </c>
      <c r="AE165" s="58">
        <f t="shared" ref="AE165" si="215">+(AD165*5.1%)+AD165</f>
        <v>8116.9780999999994</v>
      </c>
      <c r="AF165" s="15"/>
      <c r="AG165" s="58"/>
      <c r="AH165" s="15"/>
      <c r="AI165" s="58"/>
      <c r="AJ165" s="15"/>
      <c r="AK165" s="58"/>
      <c r="AL165" s="15"/>
      <c r="AM165" s="58"/>
      <c r="AN165" s="15"/>
      <c r="AO165" s="58"/>
      <c r="AP165" s="15"/>
      <c r="AQ165" s="58"/>
      <c r="AR165" s="15"/>
      <c r="AS165" s="58"/>
      <c r="AT165" s="15"/>
      <c r="AU165" s="58"/>
      <c r="AV165" s="15"/>
      <c r="AW165" s="58"/>
      <c r="AX165" s="15"/>
      <c r="AY165" s="58"/>
      <c r="AZ165" s="15"/>
      <c r="BA165" s="58"/>
      <c r="BB165" s="15"/>
      <c r="BC165" s="58"/>
      <c r="BD165" s="15"/>
      <c r="BE165" s="58"/>
      <c r="BF165" s="15"/>
      <c r="BG165" s="58"/>
      <c r="BH165" s="15"/>
      <c r="BI165" s="58"/>
      <c r="BJ165" s="15"/>
      <c r="BK165" s="58"/>
      <c r="BL165" s="15"/>
      <c r="BM165" s="58"/>
      <c r="BN165" s="15"/>
      <c r="BO165" s="58"/>
      <c r="BP165" s="15"/>
      <c r="BQ165" s="58"/>
      <c r="BR165" s="15"/>
      <c r="BS165" s="58"/>
      <c r="BT165" s="15"/>
      <c r="BU165" s="58"/>
      <c r="BV165" s="15"/>
      <c r="BW165" s="58"/>
      <c r="BX165" s="15"/>
      <c r="BY165" s="58"/>
      <c r="BZ165" s="15"/>
      <c r="CA165" s="58"/>
      <c r="CB165" s="15"/>
      <c r="CC165" s="58"/>
      <c r="CD165" s="15"/>
      <c r="CE165" s="58"/>
      <c r="CF165" s="15"/>
      <c r="CG165" s="58"/>
      <c r="CH165" s="15"/>
      <c r="CI165" s="58"/>
      <c r="CJ165" s="15"/>
      <c r="CK165" s="58"/>
      <c r="CL165" s="15"/>
      <c r="CM165" s="58"/>
      <c r="CN165" s="15"/>
      <c r="CO165" s="58"/>
      <c r="CP165" s="15"/>
      <c r="CQ165" s="58"/>
      <c r="CR165" s="15"/>
      <c r="CS165" s="58"/>
      <c r="CT165" s="15"/>
      <c r="CU165" s="58"/>
      <c r="CV165" s="15"/>
      <c r="CW165" s="58"/>
      <c r="CX165" s="15"/>
      <c r="CY165" s="58"/>
      <c r="CZ165" s="15"/>
      <c r="DA165" s="58"/>
      <c r="DB165" s="15"/>
      <c r="DC165" s="58"/>
      <c r="DD165" s="15"/>
      <c r="DE165" s="58"/>
      <c r="DF165" s="15"/>
      <c r="DG165" s="58"/>
      <c r="DH165" s="15"/>
      <c r="DI165" s="58"/>
      <c r="DJ165" s="15"/>
      <c r="DK165" s="58"/>
      <c r="DL165" s="15"/>
      <c r="DM165" s="58"/>
      <c r="DN165" s="15"/>
      <c r="DO165" s="58"/>
      <c r="DP165" s="15"/>
      <c r="DQ165" s="58"/>
      <c r="DR165" s="15"/>
      <c r="DS165" s="58"/>
      <c r="DT165" s="15"/>
      <c r="DU165" s="58"/>
      <c r="DV165" s="15"/>
      <c r="DW165" s="58"/>
      <c r="DX165" s="15"/>
      <c r="DY165" s="58"/>
      <c r="DZ165" s="15"/>
      <c r="EA165" s="58"/>
      <c r="EB165" s="15"/>
      <c r="EC165" s="58"/>
      <c r="ED165" s="32"/>
      <c r="EE165" s="241"/>
      <c r="EF165" s="12"/>
      <c r="EG165" s="325"/>
      <c r="EH165" s="318"/>
      <c r="EI165" s="218"/>
      <c r="EJ165" s="58"/>
      <c r="EK165" s="58"/>
      <c r="EL165" s="58"/>
      <c r="EM165" s="58"/>
      <c r="EN165" s="208"/>
      <c r="EO165" s="246"/>
      <c r="EP165" s="246"/>
      <c r="EQ165" s="246"/>
      <c r="ER165" s="246"/>
      <c r="ES165" s="246"/>
      <c r="ET165" s="246"/>
      <c r="EU165" s="246"/>
      <c r="EV165" s="246"/>
      <c r="EW165" s="246"/>
      <c r="EX165" s="246"/>
      <c r="EY165" s="246"/>
      <c r="EZ165" s="246"/>
      <c r="FA165" s="246"/>
      <c r="FB165" s="63">
        <f>MEDIAN(M165,AE165)</f>
        <v>7474.2390500000001</v>
      </c>
      <c r="FC165" s="63">
        <f>AVERAGE(M165,AE165)</f>
        <v>7474.2390500000001</v>
      </c>
      <c r="FD165" s="64">
        <f>STDEV(M165,AE165)</f>
        <v>908.97028157679847</v>
      </c>
      <c r="FE165" s="65">
        <f t="shared" si="178"/>
        <v>0.12161375566075833</v>
      </c>
      <c r="FF165" s="88">
        <f t="shared" si="180"/>
        <v>6281.5126050420167</v>
      </c>
      <c r="FG165" s="88">
        <f t="shared" si="181"/>
        <v>1193.4873949579833</v>
      </c>
      <c r="FH165" s="74">
        <f t="shared" si="187"/>
        <v>7475</v>
      </c>
      <c r="FI165" s="260">
        <f t="shared" si="209"/>
        <v>672750</v>
      </c>
      <c r="FJ165" s="60" t="s">
        <v>65</v>
      </c>
    </row>
    <row r="166" spans="1:167" s="40" customFormat="1" ht="29" x14ac:dyDescent="0.35">
      <c r="A166" s="36">
        <v>160</v>
      </c>
      <c r="B166" s="210" t="s">
        <v>353</v>
      </c>
      <c r="C166" s="210" t="s">
        <v>354</v>
      </c>
      <c r="D166" s="249" t="s">
        <v>64</v>
      </c>
      <c r="E166" s="220">
        <v>70</v>
      </c>
      <c r="F166" s="68"/>
      <c r="G166" s="58"/>
      <c r="H166" s="68"/>
      <c r="I166" s="58"/>
      <c r="J166" s="68"/>
      <c r="K166" s="58"/>
      <c r="L166" s="15">
        <v>7500</v>
      </c>
      <c r="M166" s="58">
        <f t="shared" si="193"/>
        <v>7882.5</v>
      </c>
      <c r="N166" s="15"/>
      <c r="O166" s="58"/>
      <c r="P166" s="15"/>
      <c r="Q166" s="58"/>
      <c r="R166" s="15"/>
      <c r="S166" s="58"/>
      <c r="T166" s="15"/>
      <c r="U166" s="58"/>
      <c r="V166" s="15"/>
      <c r="W166" s="58"/>
      <c r="X166" s="15"/>
      <c r="Y166" s="58"/>
      <c r="Z166" s="15"/>
      <c r="AA166" s="58"/>
      <c r="AB166" s="15"/>
      <c r="AC166" s="58"/>
      <c r="AD166" s="58">
        <v>4914.7</v>
      </c>
      <c r="AE166" s="58">
        <f t="shared" ref="AE166" si="216">+(AD166*5.1%)+AD166</f>
        <v>5165.3496999999998</v>
      </c>
      <c r="AF166" s="15"/>
      <c r="AG166" s="58"/>
      <c r="AH166" s="15"/>
      <c r="AI166" s="58"/>
      <c r="AJ166" s="15"/>
      <c r="AK166" s="58"/>
      <c r="AL166" s="15"/>
      <c r="AM166" s="58"/>
      <c r="AN166" s="15"/>
      <c r="AO166" s="58"/>
      <c r="AP166" s="15"/>
      <c r="AQ166" s="58"/>
      <c r="AR166" s="15"/>
      <c r="AS166" s="58"/>
      <c r="AT166" s="15"/>
      <c r="AU166" s="58"/>
      <c r="AV166" s="15"/>
      <c r="AW166" s="58"/>
      <c r="AX166" s="15"/>
      <c r="AY166" s="58"/>
      <c r="AZ166" s="15"/>
      <c r="BA166" s="58"/>
      <c r="BB166" s="15"/>
      <c r="BC166" s="58"/>
      <c r="BD166" s="15"/>
      <c r="BE166" s="58"/>
      <c r="BF166" s="15"/>
      <c r="BG166" s="58"/>
      <c r="BH166" s="15"/>
      <c r="BI166" s="58"/>
      <c r="BJ166" s="15"/>
      <c r="BK166" s="58"/>
      <c r="BL166" s="15"/>
      <c r="BM166" s="58"/>
      <c r="BN166" s="15"/>
      <c r="BO166" s="58"/>
      <c r="BP166" s="15"/>
      <c r="BQ166" s="58"/>
      <c r="BR166" s="15"/>
      <c r="BS166" s="58"/>
      <c r="BT166" s="15"/>
      <c r="BU166" s="58"/>
      <c r="BV166" s="15"/>
      <c r="BW166" s="58"/>
      <c r="BX166" s="15"/>
      <c r="BY166" s="58"/>
      <c r="BZ166" s="15"/>
      <c r="CA166" s="58"/>
      <c r="CB166" s="15"/>
      <c r="CC166" s="58"/>
      <c r="CD166" s="15"/>
      <c r="CE166" s="58"/>
      <c r="CF166" s="15"/>
      <c r="CG166" s="58"/>
      <c r="CH166" s="15"/>
      <c r="CI166" s="58"/>
      <c r="CJ166" s="15"/>
      <c r="CK166" s="58"/>
      <c r="CL166" s="15"/>
      <c r="CM166" s="58"/>
      <c r="CN166" s="15"/>
      <c r="CO166" s="58"/>
      <c r="CP166" s="15"/>
      <c r="CQ166" s="58"/>
      <c r="CR166" s="15"/>
      <c r="CS166" s="58"/>
      <c r="CT166" s="15"/>
      <c r="CU166" s="58"/>
      <c r="CV166" s="15"/>
      <c r="CW166" s="58"/>
      <c r="CX166" s="15"/>
      <c r="CY166" s="58"/>
      <c r="CZ166" s="15"/>
      <c r="DA166" s="58"/>
      <c r="DB166" s="15"/>
      <c r="DC166" s="58"/>
      <c r="DD166" s="15"/>
      <c r="DE166" s="58"/>
      <c r="DF166" s="15"/>
      <c r="DG166" s="58"/>
      <c r="DH166" s="15"/>
      <c r="DI166" s="58"/>
      <c r="DJ166" s="15"/>
      <c r="DK166" s="58"/>
      <c r="DL166" s="15"/>
      <c r="DM166" s="58"/>
      <c r="DN166" s="15"/>
      <c r="DO166" s="58"/>
      <c r="DP166" s="15"/>
      <c r="DQ166" s="58"/>
      <c r="DR166" s="15"/>
      <c r="DS166" s="58"/>
      <c r="DT166" s="15"/>
      <c r="DU166" s="58"/>
      <c r="DV166" s="15"/>
      <c r="DW166" s="58"/>
      <c r="DX166" s="15"/>
      <c r="DY166" s="58"/>
      <c r="DZ166" s="15"/>
      <c r="EA166" s="58"/>
      <c r="EB166" s="15"/>
      <c r="EC166" s="58"/>
      <c r="ED166" s="15"/>
      <c r="EE166" s="217"/>
      <c r="EF166" s="222"/>
      <c r="EG166" s="235"/>
      <c r="EH166" s="223"/>
      <c r="EI166" s="224"/>
      <c r="EJ166" s="58"/>
      <c r="EK166" s="58"/>
      <c r="EL166" s="58"/>
      <c r="EM166" s="58"/>
      <c r="EN166" s="208" t="s">
        <v>209</v>
      </c>
      <c r="EO166" s="246" t="s">
        <v>209</v>
      </c>
      <c r="EP166" s="246" t="s">
        <v>209</v>
      </c>
      <c r="EQ166" s="246" t="s">
        <v>209</v>
      </c>
      <c r="ER166" s="246"/>
      <c r="ES166" s="246"/>
      <c r="ET166" s="246"/>
      <c r="EU166" s="246">
        <v>5850</v>
      </c>
      <c r="EV166" s="34">
        <f>+EU166/1.19</f>
        <v>4915.9663865546217</v>
      </c>
      <c r="EW166" s="34">
        <f>+(EV166*36%)+EV166</f>
        <v>6685.7142857142853</v>
      </c>
      <c r="EX166" s="246"/>
      <c r="EY166" s="246"/>
      <c r="EZ166" s="246"/>
      <c r="FA166" s="246"/>
      <c r="FB166" s="63">
        <f>MEDIAN(EW166,AE166,M166)</f>
        <v>6685.7142857142853</v>
      </c>
      <c r="FC166" s="63">
        <f>AVERAGE(EW166,AE166,M166)</f>
        <v>6577.854661904762</v>
      </c>
      <c r="FD166" s="64">
        <f>STDEV(EW166,AE166,M166)</f>
        <v>1361.7825494673409</v>
      </c>
      <c r="FE166" s="65">
        <f t="shared" si="178"/>
        <v>0.20702533264439851</v>
      </c>
      <c r="FF166" s="88">
        <f t="shared" si="180"/>
        <v>5618.4873949579833</v>
      </c>
      <c r="FG166" s="88">
        <f t="shared" si="181"/>
        <v>1067.5126050420167</v>
      </c>
      <c r="FH166" s="74">
        <f t="shared" si="187"/>
        <v>6686</v>
      </c>
      <c r="FI166" s="260">
        <f t="shared" si="209"/>
        <v>468020</v>
      </c>
      <c r="FJ166" s="60" t="s">
        <v>66</v>
      </c>
    </row>
    <row r="167" spans="1:167" s="40" customFormat="1" ht="116" x14ac:dyDescent="0.35">
      <c r="A167" s="36">
        <v>161</v>
      </c>
      <c r="B167" s="210" t="s">
        <v>355</v>
      </c>
      <c r="C167" s="210" t="s">
        <v>356</v>
      </c>
      <c r="D167" s="249" t="s">
        <v>64</v>
      </c>
      <c r="E167" s="220">
        <v>20</v>
      </c>
      <c r="F167" s="58"/>
      <c r="G167" s="58"/>
      <c r="H167" s="58"/>
      <c r="I167" s="58"/>
      <c r="J167" s="58">
        <v>55450</v>
      </c>
      <c r="K167" s="58">
        <f t="shared" si="193"/>
        <v>58277.95</v>
      </c>
      <c r="L167" s="15"/>
      <c r="M167" s="58"/>
      <c r="N167" s="15"/>
      <c r="O167" s="58"/>
      <c r="P167" s="15"/>
      <c r="Q167" s="58"/>
      <c r="R167" s="15"/>
      <c r="S167" s="58"/>
      <c r="T167" s="15"/>
      <c r="U167" s="58"/>
      <c r="V167" s="15"/>
      <c r="W167" s="58"/>
      <c r="X167" s="15"/>
      <c r="Y167" s="58"/>
      <c r="Z167" s="15"/>
      <c r="AA167" s="58"/>
      <c r="AB167" s="15"/>
      <c r="AC167" s="58"/>
      <c r="AD167" s="58">
        <v>41985.58</v>
      </c>
      <c r="AE167" s="58">
        <f t="shared" ref="AE167" si="217">+(AD167*5.1%)+AD167</f>
        <v>44126.844580000004</v>
      </c>
      <c r="AF167" s="15"/>
      <c r="AG167" s="58"/>
      <c r="AH167" s="15"/>
      <c r="AI167" s="58"/>
      <c r="AJ167" s="15"/>
      <c r="AK167" s="58"/>
      <c r="AL167" s="15"/>
      <c r="AM167" s="58"/>
      <c r="AN167" s="15"/>
      <c r="AO167" s="58"/>
      <c r="AP167" s="15"/>
      <c r="AQ167" s="58"/>
      <c r="AR167" s="15"/>
      <c r="AS167" s="58"/>
      <c r="AT167" s="15"/>
      <c r="AU167" s="58"/>
      <c r="AV167" s="15"/>
      <c r="AW167" s="58"/>
      <c r="AX167" s="15"/>
      <c r="AY167" s="58"/>
      <c r="AZ167" s="15"/>
      <c r="BA167" s="58"/>
      <c r="BB167" s="15"/>
      <c r="BC167" s="58"/>
      <c r="BD167" s="15"/>
      <c r="BE167" s="58"/>
      <c r="BF167" s="15"/>
      <c r="BG167" s="58"/>
      <c r="BH167" s="15"/>
      <c r="BI167" s="58"/>
      <c r="BJ167" s="15"/>
      <c r="BK167" s="58"/>
      <c r="BL167" s="15"/>
      <c r="BM167" s="58"/>
      <c r="BN167" s="15"/>
      <c r="BO167" s="58"/>
      <c r="BP167" s="15"/>
      <c r="BQ167" s="58"/>
      <c r="BR167" s="15"/>
      <c r="BS167" s="58"/>
      <c r="BT167" s="15"/>
      <c r="BU167" s="58"/>
      <c r="BV167" s="15"/>
      <c r="BW167" s="58"/>
      <c r="BX167" s="15"/>
      <c r="BY167" s="58"/>
      <c r="BZ167" s="15"/>
      <c r="CA167" s="58"/>
      <c r="CB167" s="15"/>
      <c r="CC167" s="58"/>
      <c r="CD167" s="15"/>
      <c r="CE167" s="58"/>
      <c r="CF167" s="15"/>
      <c r="CG167" s="58"/>
      <c r="CH167" s="15"/>
      <c r="CI167" s="58"/>
      <c r="CJ167" s="15"/>
      <c r="CK167" s="58"/>
      <c r="CL167" s="15"/>
      <c r="CM167" s="58"/>
      <c r="CN167" s="15"/>
      <c r="CO167" s="58"/>
      <c r="CP167" s="15"/>
      <c r="CQ167" s="58"/>
      <c r="CR167" s="15"/>
      <c r="CS167" s="58"/>
      <c r="CT167" s="15"/>
      <c r="CU167" s="58"/>
      <c r="CV167" s="15"/>
      <c r="CW167" s="58"/>
      <c r="CX167" s="15"/>
      <c r="CY167" s="58"/>
      <c r="CZ167" s="15"/>
      <c r="DA167" s="58"/>
      <c r="DB167" s="15"/>
      <c r="DC167" s="58"/>
      <c r="DD167" s="15"/>
      <c r="DE167" s="58"/>
      <c r="DF167" s="15"/>
      <c r="DG167" s="58"/>
      <c r="DH167" s="15"/>
      <c r="DI167" s="58"/>
      <c r="DJ167" s="15"/>
      <c r="DK167" s="58"/>
      <c r="DL167" s="15"/>
      <c r="DM167" s="58"/>
      <c r="DN167" s="15"/>
      <c r="DO167" s="58"/>
      <c r="DP167" s="15"/>
      <c r="DQ167" s="58"/>
      <c r="DR167" s="15"/>
      <c r="DS167" s="58"/>
      <c r="DT167" s="15"/>
      <c r="DU167" s="58"/>
      <c r="DV167" s="15"/>
      <c r="DW167" s="58"/>
      <c r="DX167" s="15"/>
      <c r="DY167" s="58"/>
      <c r="DZ167" s="15"/>
      <c r="EA167" s="58"/>
      <c r="EB167" s="15"/>
      <c r="EC167" s="58"/>
      <c r="ED167" s="15"/>
      <c r="EE167" s="231"/>
      <c r="EF167" s="53"/>
      <c r="EG167" s="315"/>
      <c r="EH167" s="323"/>
      <c r="EI167" s="224"/>
      <c r="EJ167" s="58"/>
      <c r="EK167" s="58"/>
      <c r="EL167" s="58"/>
      <c r="EM167" s="58"/>
      <c r="EN167" s="208"/>
      <c r="EO167" s="246"/>
      <c r="EP167" s="246"/>
      <c r="EQ167" s="246"/>
      <c r="ER167" s="246"/>
      <c r="ES167" s="246"/>
      <c r="ET167" s="246"/>
      <c r="EU167" s="246"/>
      <c r="EV167" s="246"/>
      <c r="EW167" s="246"/>
      <c r="EX167" s="246"/>
      <c r="EY167" s="246"/>
      <c r="EZ167" s="246"/>
      <c r="FA167" s="246"/>
      <c r="FB167" s="63">
        <f>MEDIAN(K167,AE167)</f>
        <v>51202.397290000001</v>
      </c>
      <c r="FC167" s="63">
        <f>AVERAGE(K167,AE167)</f>
        <v>51202.397290000001</v>
      </c>
      <c r="FD167" s="64">
        <f>STDEV(K167,AE167)</f>
        <v>10006.342603767724</v>
      </c>
      <c r="FE167" s="65">
        <f t="shared" si="178"/>
        <v>0.19542722867239648</v>
      </c>
      <c r="FF167" s="88">
        <f t="shared" si="180"/>
        <v>43027.731092436974</v>
      </c>
      <c r="FG167" s="88">
        <f t="shared" si="181"/>
        <v>8175.2689075630251</v>
      </c>
      <c r="FH167" s="74">
        <f t="shared" si="187"/>
        <v>51203</v>
      </c>
      <c r="FI167" s="260">
        <f t="shared" si="209"/>
        <v>1024060</v>
      </c>
      <c r="FJ167" s="60" t="s">
        <v>66</v>
      </c>
    </row>
    <row r="168" spans="1:167" s="40" customFormat="1" ht="159.5" x14ac:dyDescent="0.35">
      <c r="A168" s="37">
        <v>162</v>
      </c>
      <c r="B168" s="210" t="s">
        <v>357</v>
      </c>
      <c r="C168" s="210" t="s">
        <v>358</v>
      </c>
      <c r="D168" s="249" t="s">
        <v>64</v>
      </c>
      <c r="E168" s="220">
        <v>40</v>
      </c>
      <c r="F168" s="58"/>
      <c r="G168" s="58"/>
      <c r="H168" s="58"/>
      <c r="I168" s="58"/>
      <c r="J168" s="58"/>
      <c r="K168" s="58"/>
      <c r="L168" s="15"/>
      <c r="M168" s="58"/>
      <c r="N168" s="15"/>
      <c r="O168" s="58"/>
      <c r="P168" s="15"/>
      <c r="Q168" s="58"/>
      <c r="R168" s="15"/>
      <c r="S168" s="58"/>
      <c r="T168" s="15"/>
      <c r="U168" s="58"/>
      <c r="V168" s="15"/>
      <c r="W168" s="58"/>
      <c r="X168" s="15"/>
      <c r="Y168" s="58"/>
      <c r="Z168" s="15"/>
      <c r="AA168" s="58"/>
      <c r="AB168" s="15"/>
      <c r="AC168" s="58"/>
      <c r="AD168" s="58">
        <v>13761.16</v>
      </c>
      <c r="AE168" s="58">
        <f t="shared" ref="AE168" si="218">+(AD168*5.1%)+AD168</f>
        <v>14462.979159999999</v>
      </c>
      <c r="AF168" s="15"/>
      <c r="AG168" s="58"/>
      <c r="AH168" s="15"/>
      <c r="AI168" s="58"/>
      <c r="AJ168" s="15"/>
      <c r="AK168" s="58"/>
      <c r="AL168" s="15"/>
      <c r="AM168" s="58"/>
      <c r="AN168" s="15"/>
      <c r="AO168" s="58"/>
      <c r="AP168" s="15"/>
      <c r="AQ168" s="58"/>
      <c r="AR168" s="15"/>
      <c r="AS168" s="58"/>
      <c r="AT168" s="15"/>
      <c r="AU168" s="58"/>
      <c r="AV168" s="15"/>
      <c r="AW168" s="58"/>
      <c r="AX168" s="15"/>
      <c r="AY168" s="58"/>
      <c r="AZ168" s="15"/>
      <c r="BA168" s="58"/>
      <c r="BB168" s="15"/>
      <c r="BC168" s="58"/>
      <c r="BD168" s="15"/>
      <c r="BE168" s="58"/>
      <c r="BF168" s="15"/>
      <c r="BG168" s="58"/>
      <c r="BH168" s="15"/>
      <c r="BI168" s="58"/>
      <c r="BJ168" s="15"/>
      <c r="BK168" s="58"/>
      <c r="BL168" s="15"/>
      <c r="BM168" s="58"/>
      <c r="BN168" s="15"/>
      <c r="BO168" s="58"/>
      <c r="BP168" s="15"/>
      <c r="BQ168" s="58"/>
      <c r="BR168" s="15"/>
      <c r="BS168" s="58"/>
      <c r="BT168" s="15"/>
      <c r="BU168" s="58"/>
      <c r="BV168" s="15"/>
      <c r="BW168" s="58"/>
      <c r="BX168" s="15"/>
      <c r="BY168" s="58"/>
      <c r="BZ168" s="15"/>
      <c r="CA168" s="58"/>
      <c r="CB168" s="15"/>
      <c r="CC168" s="58"/>
      <c r="CD168" s="15"/>
      <c r="CE168" s="58"/>
      <c r="CF168" s="15"/>
      <c r="CG168" s="58"/>
      <c r="CH168" s="15"/>
      <c r="CI168" s="58"/>
      <c r="CJ168" s="15">
        <v>12906</v>
      </c>
      <c r="CK168" s="58">
        <f t="shared" ref="CK168" si="219">+(CJ168*5.1%)+CJ168</f>
        <v>13564.206</v>
      </c>
      <c r="CL168" s="15"/>
      <c r="CM168" s="58"/>
      <c r="CN168" s="15"/>
      <c r="CO168" s="58"/>
      <c r="CP168" s="15"/>
      <c r="CQ168" s="58"/>
      <c r="CR168" s="15"/>
      <c r="CS168" s="58"/>
      <c r="CT168" s="15"/>
      <c r="CU168" s="58"/>
      <c r="CV168" s="15"/>
      <c r="CW168" s="58"/>
      <c r="CX168" s="15"/>
      <c r="CY168" s="58"/>
      <c r="CZ168" s="15"/>
      <c r="DA168" s="58"/>
      <c r="DB168" s="15"/>
      <c r="DC168" s="58"/>
      <c r="DD168" s="15"/>
      <c r="DE168" s="58"/>
      <c r="DF168" s="15"/>
      <c r="DG168" s="58"/>
      <c r="DH168" s="15"/>
      <c r="DI168" s="58"/>
      <c r="DJ168" s="15"/>
      <c r="DK168" s="58"/>
      <c r="DL168" s="15"/>
      <c r="DM168" s="58"/>
      <c r="DN168" s="15"/>
      <c r="DO168" s="58"/>
      <c r="DP168" s="15"/>
      <c r="DQ168" s="58"/>
      <c r="DR168" s="15"/>
      <c r="DS168" s="58"/>
      <c r="DT168" s="15"/>
      <c r="DU168" s="58"/>
      <c r="DV168" s="15"/>
      <c r="DW168" s="58"/>
      <c r="DX168" s="15"/>
      <c r="DY168" s="58"/>
      <c r="DZ168" s="15"/>
      <c r="EA168" s="58"/>
      <c r="EB168" s="15"/>
      <c r="EC168" s="58"/>
      <c r="ED168" s="15"/>
      <c r="EE168" s="58"/>
      <c r="EF168" s="8"/>
      <c r="EG168" s="324"/>
      <c r="EH168" s="8"/>
      <c r="EI168" s="224"/>
      <c r="EJ168" s="58"/>
      <c r="EK168" s="58"/>
      <c r="EL168" s="58"/>
      <c r="EM168" s="58"/>
      <c r="EN168" s="208"/>
      <c r="EO168" s="246"/>
      <c r="EP168" s="246"/>
      <c r="EQ168" s="246"/>
      <c r="ER168" s="246"/>
      <c r="ES168" s="246"/>
      <c r="ET168" s="246"/>
      <c r="EU168" s="246"/>
      <c r="EV168" s="246"/>
      <c r="EW168" s="246"/>
      <c r="EX168" s="246"/>
      <c r="EY168" s="246"/>
      <c r="EZ168" s="246"/>
      <c r="FA168" s="246"/>
      <c r="FB168" s="63">
        <f>MEDIAN(AE168,CK168)</f>
        <v>14013.59258</v>
      </c>
      <c r="FC168" s="63">
        <f>AVERAGE(AE168,CK168)</f>
        <v>14013.59258</v>
      </c>
      <c r="FD168" s="64">
        <f>STDEV(AE168,CK168)</f>
        <v>635.52859618446109</v>
      </c>
      <c r="FE168" s="65">
        <f t="shared" si="178"/>
        <v>4.5350868633891817E-2</v>
      </c>
      <c r="FF168" s="88">
        <f t="shared" si="180"/>
        <v>11776.470588235296</v>
      </c>
      <c r="FG168" s="88">
        <f t="shared" si="181"/>
        <v>2237.5294117647063</v>
      </c>
      <c r="FH168" s="74">
        <f t="shared" si="187"/>
        <v>14014</v>
      </c>
      <c r="FI168" s="260">
        <f t="shared" si="209"/>
        <v>560560</v>
      </c>
      <c r="FJ168" s="60" t="s">
        <v>65</v>
      </c>
    </row>
    <row r="169" spans="1:167" s="40" customFormat="1" ht="29" x14ac:dyDescent="0.35">
      <c r="A169" s="37">
        <v>163</v>
      </c>
      <c r="B169" s="210" t="s">
        <v>359</v>
      </c>
      <c r="C169" s="210" t="s">
        <v>360</v>
      </c>
      <c r="D169" s="249" t="s">
        <v>64</v>
      </c>
      <c r="E169" s="220">
        <v>50</v>
      </c>
      <c r="F169" s="58"/>
      <c r="G169" s="58"/>
      <c r="H169" s="58"/>
      <c r="I169" s="58"/>
      <c r="J169" s="58">
        <v>38000</v>
      </c>
      <c r="K169" s="58">
        <f t="shared" si="193"/>
        <v>39938</v>
      </c>
      <c r="L169" s="15"/>
      <c r="M169" s="58"/>
      <c r="N169" s="15"/>
      <c r="O169" s="58"/>
      <c r="P169" s="15"/>
      <c r="Q169" s="58"/>
      <c r="R169" s="15"/>
      <c r="S169" s="58"/>
      <c r="T169" s="15"/>
      <c r="U169" s="58"/>
      <c r="V169" s="15"/>
      <c r="W169" s="58"/>
      <c r="X169" s="15"/>
      <c r="Y169" s="58"/>
      <c r="Z169" s="15"/>
      <c r="AA169" s="58"/>
      <c r="AB169" s="15"/>
      <c r="AC169" s="58"/>
      <c r="AD169" s="58"/>
      <c r="AE169" s="58"/>
      <c r="AF169" s="15"/>
      <c r="AG169" s="58"/>
      <c r="AH169" s="15"/>
      <c r="AI169" s="58"/>
      <c r="AJ169" s="15"/>
      <c r="AK169" s="58"/>
      <c r="AL169" s="15"/>
      <c r="AM169" s="58"/>
      <c r="AN169" s="15"/>
      <c r="AO169" s="58"/>
      <c r="AP169" s="15"/>
      <c r="AQ169" s="58"/>
      <c r="AR169" s="15"/>
      <c r="AS169" s="58"/>
      <c r="AT169" s="15"/>
      <c r="AU169" s="58"/>
      <c r="AV169" s="15"/>
      <c r="AW169" s="58"/>
      <c r="AX169" s="15"/>
      <c r="AY169" s="58"/>
      <c r="AZ169" s="15"/>
      <c r="BA169" s="58"/>
      <c r="BB169" s="15"/>
      <c r="BC169" s="58"/>
      <c r="BD169" s="15"/>
      <c r="BE169" s="58"/>
      <c r="BF169" s="15"/>
      <c r="BG169" s="58"/>
      <c r="BH169" s="15"/>
      <c r="BI169" s="58"/>
      <c r="BJ169" s="15"/>
      <c r="BK169" s="58"/>
      <c r="BL169" s="15"/>
      <c r="BM169" s="58"/>
      <c r="BN169" s="15"/>
      <c r="BO169" s="58"/>
      <c r="BP169" s="15"/>
      <c r="BQ169" s="58"/>
      <c r="BR169" s="15"/>
      <c r="BS169" s="58"/>
      <c r="BT169" s="15"/>
      <c r="BU169" s="58"/>
      <c r="BV169" s="15"/>
      <c r="BW169" s="58"/>
      <c r="BX169" s="15"/>
      <c r="BY169" s="58"/>
      <c r="BZ169" s="15"/>
      <c r="CA169" s="58"/>
      <c r="CB169" s="15"/>
      <c r="CC169" s="58"/>
      <c r="CD169" s="15"/>
      <c r="CE169" s="58"/>
      <c r="CF169" s="15"/>
      <c r="CG169" s="58"/>
      <c r="CH169" s="15"/>
      <c r="CI169" s="58"/>
      <c r="CJ169" s="15">
        <v>44100</v>
      </c>
      <c r="CK169" s="58">
        <f t="shared" ref="CK169" si="220">+(CJ169*5.1%)+CJ169</f>
        <v>46349.1</v>
      </c>
      <c r="CL169" s="15"/>
      <c r="CM169" s="58"/>
      <c r="CN169" s="15"/>
      <c r="CO169" s="58"/>
      <c r="CP169" s="15"/>
      <c r="CQ169" s="58"/>
      <c r="CR169" s="15"/>
      <c r="CS169" s="58"/>
      <c r="CT169" s="15"/>
      <c r="CU169" s="58"/>
      <c r="CV169" s="15"/>
      <c r="CW169" s="58"/>
      <c r="CX169" s="15"/>
      <c r="CY169" s="58"/>
      <c r="CZ169" s="15"/>
      <c r="DA169" s="58"/>
      <c r="DB169" s="15"/>
      <c r="DC169" s="58"/>
      <c r="DD169" s="15"/>
      <c r="DE169" s="58"/>
      <c r="DF169" s="15"/>
      <c r="DG169" s="58"/>
      <c r="DH169" s="15"/>
      <c r="DI169" s="58"/>
      <c r="DJ169" s="15"/>
      <c r="DK169" s="58"/>
      <c r="DL169" s="15"/>
      <c r="DM169" s="58"/>
      <c r="DN169" s="15"/>
      <c r="DO169" s="58"/>
      <c r="DP169" s="15"/>
      <c r="DQ169" s="58"/>
      <c r="DR169" s="15"/>
      <c r="DS169" s="58"/>
      <c r="DT169" s="15"/>
      <c r="DU169" s="58"/>
      <c r="DV169" s="15"/>
      <c r="DW169" s="58"/>
      <c r="DX169" s="15"/>
      <c r="DY169" s="58"/>
      <c r="DZ169" s="15"/>
      <c r="EA169" s="58"/>
      <c r="EB169" s="15"/>
      <c r="EC169" s="58"/>
      <c r="ED169" s="15"/>
      <c r="EE169" s="58"/>
      <c r="EF169" s="222"/>
      <c r="EG169" s="56"/>
      <c r="EH169" s="222"/>
      <c r="EI169" s="224"/>
      <c r="EJ169" s="58"/>
      <c r="EK169" s="58"/>
      <c r="EL169" s="58"/>
      <c r="EM169" s="58"/>
      <c r="EN169" s="208" t="s">
        <v>209</v>
      </c>
      <c r="EO169" s="246" t="s">
        <v>209</v>
      </c>
      <c r="EP169" s="246" t="s">
        <v>209</v>
      </c>
      <c r="EQ169" s="246" t="s">
        <v>209</v>
      </c>
      <c r="ER169" s="246"/>
      <c r="ES169" s="246"/>
      <c r="ET169" s="246"/>
      <c r="EU169" s="246"/>
      <c r="EV169" s="246"/>
      <c r="EW169" s="246"/>
      <c r="EX169" s="246"/>
      <c r="EY169" s="246"/>
      <c r="EZ169" s="246"/>
      <c r="FA169" s="246"/>
      <c r="FB169" s="63">
        <f>MEDIAN(K169,CK169)</f>
        <v>43143.55</v>
      </c>
      <c r="FC169" s="63">
        <f>AVERAGE(K169,CK169)</f>
        <v>43143.55</v>
      </c>
      <c r="FD169" s="64">
        <f>STDEV(K169,CK169)</f>
        <v>4533.3322848650732</v>
      </c>
      <c r="FE169" s="65">
        <f t="shared" si="178"/>
        <v>0.10507555091931639</v>
      </c>
      <c r="FF169" s="88">
        <f t="shared" si="180"/>
        <v>36255.462184873948</v>
      </c>
      <c r="FG169" s="88">
        <f t="shared" si="181"/>
        <v>6888.5378151260502</v>
      </c>
      <c r="FH169" s="74">
        <f t="shared" si="187"/>
        <v>43144</v>
      </c>
      <c r="FI169" s="260">
        <f t="shared" si="209"/>
        <v>2157200</v>
      </c>
      <c r="FJ169" s="60" t="s">
        <v>65</v>
      </c>
    </row>
    <row r="170" spans="1:167" s="40" customFormat="1" ht="29" x14ac:dyDescent="0.35">
      <c r="A170" s="37">
        <v>164</v>
      </c>
      <c r="B170" s="210" t="s">
        <v>1108</v>
      </c>
      <c r="C170" s="210" t="s">
        <v>361</v>
      </c>
      <c r="D170" s="249" t="s">
        <v>212</v>
      </c>
      <c r="E170" s="220">
        <v>50</v>
      </c>
      <c r="F170" s="58"/>
      <c r="G170" s="58"/>
      <c r="H170" s="58"/>
      <c r="I170" s="58"/>
      <c r="J170" s="58">
        <v>21000</v>
      </c>
      <c r="K170" s="58">
        <f t="shared" si="193"/>
        <v>22071</v>
      </c>
      <c r="L170" s="15"/>
      <c r="M170" s="58"/>
      <c r="N170" s="15"/>
      <c r="O170" s="58"/>
      <c r="P170" s="15"/>
      <c r="Q170" s="58"/>
      <c r="R170" s="15"/>
      <c r="S170" s="58"/>
      <c r="T170" s="15"/>
      <c r="U170" s="58"/>
      <c r="V170" s="15"/>
      <c r="W170" s="58"/>
      <c r="X170" s="15"/>
      <c r="Y170" s="58"/>
      <c r="Z170" s="15"/>
      <c r="AA170" s="58"/>
      <c r="AB170" s="15"/>
      <c r="AC170" s="58"/>
      <c r="AD170" s="58">
        <v>11093.18</v>
      </c>
      <c r="AE170" s="58">
        <f t="shared" ref="AE170" si="221">+(AD170*5.1%)+AD170</f>
        <v>11658.93218</v>
      </c>
      <c r="AF170" s="15"/>
      <c r="AG170" s="58"/>
      <c r="AH170" s="15"/>
      <c r="AI170" s="58"/>
      <c r="AJ170" s="15"/>
      <c r="AK170" s="58"/>
      <c r="AL170" s="15"/>
      <c r="AM170" s="58"/>
      <c r="AN170" s="15"/>
      <c r="AO170" s="58"/>
      <c r="AP170" s="15"/>
      <c r="AQ170" s="58"/>
      <c r="AR170" s="15"/>
      <c r="AS170" s="58"/>
      <c r="AT170" s="15"/>
      <c r="AU170" s="58"/>
      <c r="AV170" s="15"/>
      <c r="AW170" s="58"/>
      <c r="AX170" s="15"/>
      <c r="AY170" s="58"/>
      <c r="AZ170" s="15"/>
      <c r="BA170" s="58"/>
      <c r="BB170" s="15"/>
      <c r="BC170" s="58"/>
      <c r="BD170" s="15"/>
      <c r="BE170" s="58"/>
      <c r="BF170" s="15"/>
      <c r="BG170" s="58"/>
      <c r="BH170" s="15"/>
      <c r="BI170" s="58"/>
      <c r="BJ170" s="15"/>
      <c r="BK170" s="58"/>
      <c r="BL170" s="15"/>
      <c r="BM170" s="58"/>
      <c r="BN170" s="15"/>
      <c r="BO170" s="58"/>
      <c r="BP170" s="15"/>
      <c r="BQ170" s="58"/>
      <c r="BR170" s="15"/>
      <c r="BS170" s="58"/>
      <c r="BT170" s="15"/>
      <c r="BU170" s="58"/>
      <c r="BV170" s="15"/>
      <c r="BW170" s="58"/>
      <c r="BX170" s="15"/>
      <c r="BY170" s="58"/>
      <c r="BZ170" s="15"/>
      <c r="CA170" s="58"/>
      <c r="CB170" s="15"/>
      <c r="CC170" s="58"/>
      <c r="CD170" s="15"/>
      <c r="CE170" s="58"/>
      <c r="CF170" s="15"/>
      <c r="CG170" s="58"/>
      <c r="CH170" s="15"/>
      <c r="CI170" s="58"/>
      <c r="CJ170" s="15">
        <v>19656</v>
      </c>
      <c r="CK170" s="58">
        <f t="shared" ref="CK170" si="222">+(CJ170*5.1%)+CJ170</f>
        <v>20658.455999999998</v>
      </c>
      <c r="CL170" s="15"/>
      <c r="CM170" s="58"/>
      <c r="CN170" s="15"/>
      <c r="CO170" s="58"/>
      <c r="CP170" s="15"/>
      <c r="CQ170" s="58"/>
      <c r="CR170" s="15"/>
      <c r="CS170" s="58"/>
      <c r="CT170" s="15"/>
      <c r="CU170" s="58"/>
      <c r="CV170" s="15"/>
      <c r="CW170" s="58"/>
      <c r="CX170" s="15"/>
      <c r="CY170" s="58"/>
      <c r="CZ170" s="15"/>
      <c r="DA170" s="58"/>
      <c r="DB170" s="15"/>
      <c r="DC170" s="58"/>
      <c r="DD170" s="15"/>
      <c r="DE170" s="58"/>
      <c r="DF170" s="15"/>
      <c r="DG170" s="58"/>
      <c r="DH170" s="15"/>
      <c r="DI170" s="58"/>
      <c r="DJ170" s="15"/>
      <c r="DK170" s="58"/>
      <c r="DL170" s="15"/>
      <c r="DM170" s="58"/>
      <c r="DN170" s="15"/>
      <c r="DO170" s="58"/>
      <c r="DP170" s="15"/>
      <c r="DQ170" s="58"/>
      <c r="DR170" s="15"/>
      <c r="DS170" s="58"/>
      <c r="DT170" s="15"/>
      <c r="DU170" s="58"/>
      <c r="DV170" s="15"/>
      <c r="DW170" s="58"/>
      <c r="DX170" s="15"/>
      <c r="DY170" s="58"/>
      <c r="DZ170" s="15"/>
      <c r="EA170" s="58"/>
      <c r="EB170" s="15"/>
      <c r="EC170" s="58"/>
      <c r="ED170" s="15"/>
      <c r="EE170" s="58"/>
      <c r="EF170" s="222"/>
      <c r="EG170" s="56"/>
      <c r="EH170" s="222"/>
      <c r="EI170" s="224"/>
      <c r="EJ170" s="58"/>
      <c r="EK170" s="58"/>
      <c r="EL170" s="58"/>
      <c r="EM170" s="58"/>
      <c r="EN170" s="208" t="s">
        <v>209</v>
      </c>
      <c r="EO170" s="246" t="s">
        <v>209</v>
      </c>
      <c r="EP170" s="246" t="s">
        <v>209</v>
      </c>
      <c r="EQ170" s="246" t="s">
        <v>209</v>
      </c>
      <c r="ER170" s="246"/>
      <c r="ES170" s="246"/>
      <c r="ET170" s="246"/>
      <c r="EU170" s="246"/>
      <c r="EV170" s="246"/>
      <c r="EW170" s="246"/>
      <c r="EX170" s="246"/>
      <c r="EY170" s="246"/>
      <c r="EZ170" s="246"/>
      <c r="FA170" s="246"/>
      <c r="FB170" s="63">
        <f>MEDIAN(K170,CK170)</f>
        <v>21364.727999999999</v>
      </c>
      <c r="FC170" s="63">
        <f>AVERAGE(K170,CK170)</f>
        <v>21364.727999999999</v>
      </c>
      <c r="FD170" s="64">
        <f>STDEV(K170,CK170)</f>
        <v>998.81944112437179</v>
      </c>
      <c r="FE170" s="65">
        <f t="shared" si="178"/>
        <v>4.6750861566052786E-2</v>
      </c>
      <c r="FF170" s="88">
        <f t="shared" si="180"/>
        <v>17953.781512605045</v>
      </c>
      <c r="FG170" s="88">
        <f t="shared" si="181"/>
        <v>3411.2184873949586</v>
      </c>
      <c r="FH170" s="74">
        <f t="shared" si="187"/>
        <v>21365</v>
      </c>
      <c r="FI170" s="260">
        <f t="shared" si="209"/>
        <v>1068250</v>
      </c>
      <c r="FJ170" s="60" t="s">
        <v>65</v>
      </c>
    </row>
    <row r="171" spans="1:167" s="40" customFormat="1" ht="29" x14ac:dyDescent="0.35">
      <c r="A171" s="36">
        <v>165</v>
      </c>
      <c r="B171" s="210" t="s">
        <v>362</v>
      </c>
      <c r="C171" s="210" t="s">
        <v>363</v>
      </c>
      <c r="D171" s="249" t="s">
        <v>364</v>
      </c>
      <c r="E171" s="220">
        <v>50</v>
      </c>
      <c r="F171" s="58"/>
      <c r="G171" s="58"/>
      <c r="H171" s="58"/>
      <c r="I171" s="58"/>
      <c r="J171" s="58"/>
      <c r="K171" s="58"/>
      <c r="L171" s="15"/>
      <c r="M171" s="58"/>
      <c r="N171" s="15"/>
      <c r="O171" s="58"/>
      <c r="P171" s="15"/>
      <c r="Q171" s="58"/>
      <c r="R171" s="15"/>
      <c r="S171" s="58"/>
      <c r="T171" s="15"/>
      <c r="U171" s="58"/>
      <c r="V171" s="15"/>
      <c r="W171" s="58"/>
      <c r="X171" s="15"/>
      <c r="Y171" s="58"/>
      <c r="Z171" s="15"/>
      <c r="AA171" s="58"/>
      <c r="AB171" s="15"/>
      <c r="AC171" s="58"/>
      <c r="AD171" s="58"/>
      <c r="AE171" s="58"/>
      <c r="AF171" s="15"/>
      <c r="AG171" s="58"/>
      <c r="AH171" s="15"/>
      <c r="AI171" s="58"/>
      <c r="AJ171" s="15"/>
      <c r="AK171" s="58"/>
      <c r="AL171" s="15"/>
      <c r="AM171" s="58"/>
      <c r="AN171" s="15"/>
      <c r="AO171" s="58"/>
      <c r="AP171" s="15"/>
      <c r="AQ171" s="58"/>
      <c r="AR171" s="15"/>
      <c r="AS171" s="58"/>
      <c r="AT171" s="15"/>
      <c r="AU171" s="58"/>
      <c r="AV171" s="15"/>
      <c r="AW171" s="58"/>
      <c r="AX171" s="15"/>
      <c r="AY171" s="58"/>
      <c r="AZ171" s="15"/>
      <c r="BA171" s="58"/>
      <c r="BB171" s="15"/>
      <c r="BC171" s="58"/>
      <c r="BD171" s="15"/>
      <c r="BE171" s="58"/>
      <c r="BF171" s="15"/>
      <c r="BG171" s="58"/>
      <c r="BH171" s="15"/>
      <c r="BI171" s="58"/>
      <c r="BJ171" s="15"/>
      <c r="BK171" s="58"/>
      <c r="BL171" s="15"/>
      <c r="BM171" s="58"/>
      <c r="BN171" s="15"/>
      <c r="BO171" s="58"/>
      <c r="BP171" s="15"/>
      <c r="BQ171" s="58"/>
      <c r="BR171" s="15"/>
      <c r="BS171" s="58"/>
      <c r="BT171" s="15"/>
      <c r="BU171" s="58"/>
      <c r="BV171" s="15"/>
      <c r="BW171" s="58"/>
      <c r="BX171" s="15"/>
      <c r="BY171" s="58"/>
      <c r="BZ171" s="15"/>
      <c r="CA171" s="58"/>
      <c r="CB171" s="15"/>
      <c r="CC171" s="58"/>
      <c r="CD171" s="15"/>
      <c r="CE171" s="58"/>
      <c r="CF171" s="15"/>
      <c r="CG171" s="58"/>
      <c r="CH171" s="15"/>
      <c r="CI171" s="58"/>
      <c r="CJ171" s="15"/>
      <c r="CK171" s="58"/>
      <c r="CL171" s="15"/>
      <c r="CM171" s="58"/>
      <c r="CN171" s="15"/>
      <c r="CO171" s="58"/>
      <c r="CP171" s="15"/>
      <c r="CQ171" s="58"/>
      <c r="CR171" s="15"/>
      <c r="CS171" s="58"/>
      <c r="CT171" s="15"/>
      <c r="CU171" s="58"/>
      <c r="CV171" s="15"/>
      <c r="CW171" s="58"/>
      <c r="CX171" s="15"/>
      <c r="CY171" s="58"/>
      <c r="CZ171" s="15"/>
      <c r="DA171" s="58"/>
      <c r="DB171" s="15"/>
      <c r="DC171" s="58"/>
      <c r="DD171" s="15"/>
      <c r="DE171" s="58"/>
      <c r="DF171" s="15"/>
      <c r="DG171" s="58"/>
      <c r="DH171" s="15"/>
      <c r="DI171" s="58"/>
      <c r="DJ171" s="15"/>
      <c r="DK171" s="58"/>
      <c r="DL171" s="15"/>
      <c r="DM171" s="58"/>
      <c r="DN171" s="15"/>
      <c r="DO171" s="58"/>
      <c r="DP171" s="15"/>
      <c r="DQ171" s="58"/>
      <c r="DR171" s="15"/>
      <c r="DS171" s="58"/>
      <c r="DT171" s="15"/>
      <c r="DU171" s="58"/>
      <c r="DV171" s="15"/>
      <c r="DW171" s="58"/>
      <c r="DX171" s="15"/>
      <c r="DY171" s="58"/>
      <c r="DZ171" s="15"/>
      <c r="EA171" s="58"/>
      <c r="EB171" s="15"/>
      <c r="EC171" s="58"/>
      <c r="ED171" s="15"/>
      <c r="EE171" s="241"/>
      <c r="EF171" s="12">
        <v>7000</v>
      </c>
      <c r="EG171" s="325">
        <v>5300</v>
      </c>
      <c r="EH171" s="318">
        <v>6000</v>
      </c>
      <c r="EI171" s="224"/>
      <c r="EJ171" s="58"/>
      <c r="EK171" s="58"/>
      <c r="EL171" s="58"/>
      <c r="EM171" s="58"/>
      <c r="EN171" s="208" t="s">
        <v>209</v>
      </c>
      <c r="EO171" s="246" t="s">
        <v>209</v>
      </c>
      <c r="EP171" s="246" t="s">
        <v>209</v>
      </c>
      <c r="EQ171" s="246" t="s">
        <v>209</v>
      </c>
      <c r="ER171" s="246"/>
      <c r="ES171" s="246"/>
      <c r="ET171" s="246"/>
      <c r="EU171" s="246"/>
      <c r="EV171" s="246"/>
      <c r="EW171" s="246"/>
      <c r="EX171" s="246"/>
      <c r="EY171" s="246"/>
      <c r="EZ171" s="246"/>
      <c r="FA171" s="246"/>
      <c r="FB171" s="63">
        <f>MEDIAN(EF171,EG171,EH171)</f>
        <v>6000</v>
      </c>
      <c r="FC171" s="63">
        <f>AVERAGE(EF171,EG171,EH171)</f>
        <v>6100</v>
      </c>
      <c r="FD171" s="64">
        <f>STDEV(EF171,EG171,EH171)</f>
        <v>854.40037453175307</v>
      </c>
      <c r="FE171" s="65">
        <f t="shared" si="178"/>
        <v>0.14006563516913983</v>
      </c>
      <c r="FF171" s="88">
        <f t="shared" si="180"/>
        <v>5126.0504201680678</v>
      </c>
      <c r="FG171" s="88">
        <f t="shared" si="181"/>
        <v>973.94957983193285</v>
      </c>
      <c r="FH171" s="74">
        <f t="shared" si="187"/>
        <v>6100</v>
      </c>
      <c r="FI171" s="260">
        <f t="shared" si="209"/>
        <v>305000</v>
      </c>
      <c r="FJ171" s="60" t="s">
        <v>65</v>
      </c>
    </row>
    <row r="172" spans="1:167" s="40" customFormat="1" ht="174" x14ac:dyDescent="0.35">
      <c r="A172" s="37">
        <v>166</v>
      </c>
      <c r="B172" s="210" t="s">
        <v>365</v>
      </c>
      <c r="C172" s="210" t="s">
        <v>366</v>
      </c>
      <c r="D172" s="249" t="s">
        <v>64</v>
      </c>
      <c r="E172" s="220">
        <v>50</v>
      </c>
      <c r="F172" s="58"/>
      <c r="G172" s="58"/>
      <c r="H172" s="58"/>
      <c r="I172" s="58"/>
      <c r="J172" s="58"/>
      <c r="K172" s="58"/>
      <c r="L172" s="15"/>
      <c r="M172" s="58"/>
      <c r="N172" s="15"/>
      <c r="O172" s="58"/>
      <c r="P172" s="15"/>
      <c r="Q172" s="58"/>
      <c r="R172" s="15"/>
      <c r="S172" s="58"/>
      <c r="T172" s="15"/>
      <c r="U172" s="58"/>
      <c r="V172" s="15"/>
      <c r="W172" s="58"/>
      <c r="X172" s="15"/>
      <c r="Y172" s="58"/>
      <c r="Z172" s="15"/>
      <c r="AA172" s="58"/>
      <c r="AB172" s="15"/>
      <c r="AC172" s="58"/>
      <c r="AD172" s="58"/>
      <c r="AE172" s="58"/>
      <c r="AF172" s="15"/>
      <c r="AG172" s="58"/>
      <c r="AH172" s="15"/>
      <c r="AI172" s="58"/>
      <c r="AJ172" s="15"/>
      <c r="AK172" s="58"/>
      <c r="AL172" s="15"/>
      <c r="AM172" s="58"/>
      <c r="AN172" s="15"/>
      <c r="AO172" s="58"/>
      <c r="AP172" s="15"/>
      <c r="AQ172" s="58"/>
      <c r="AR172" s="15"/>
      <c r="AS172" s="58"/>
      <c r="AT172" s="15"/>
      <c r="AU172" s="58"/>
      <c r="AV172" s="15"/>
      <c r="AW172" s="58"/>
      <c r="AX172" s="15"/>
      <c r="AY172" s="58"/>
      <c r="AZ172" s="15"/>
      <c r="BA172" s="58"/>
      <c r="BB172" s="15"/>
      <c r="BC172" s="58"/>
      <c r="BD172" s="15"/>
      <c r="BE172" s="58"/>
      <c r="BF172" s="15"/>
      <c r="BG172" s="58"/>
      <c r="BH172" s="15"/>
      <c r="BI172" s="58"/>
      <c r="BJ172" s="15"/>
      <c r="BK172" s="58"/>
      <c r="BL172" s="15"/>
      <c r="BM172" s="58"/>
      <c r="BN172" s="15"/>
      <c r="BO172" s="58"/>
      <c r="BP172" s="15"/>
      <c r="BQ172" s="58"/>
      <c r="BR172" s="15"/>
      <c r="BS172" s="58"/>
      <c r="BT172" s="15"/>
      <c r="BU172" s="58"/>
      <c r="BV172" s="15"/>
      <c r="BW172" s="58"/>
      <c r="BX172" s="15"/>
      <c r="BY172" s="58"/>
      <c r="BZ172" s="15"/>
      <c r="CA172" s="58"/>
      <c r="CB172" s="15"/>
      <c r="CC172" s="58"/>
      <c r="CD172" s="15"/>
      <c r="CE172" s="58"/>
      <c r="CF172" s="15"/>
      <c r="CG172" s="58"/>
      <c r="CH172" s="15"/>
      <c r="CI172" s="58"/>
      <c r="CJ172" s="15"/>
      <c r="CK172" s="58"/>
      <c r="CL172" s="15"/>
      <c r="CM172" s="58"/>
      <c r="CN172" s="15"/>
      <c r="CO172" s="58"/>
      <c r="CP172" s="15"/>
      <c r="CQ172" s="58"/>
      <c r="CR172" s="15"/>
      <c r="CS172" s="58"/>
      <c r="CT172" s="15"/>
      <c r="CU172" s="58"/>
      <c r="CV172" s="15"/>
      <c r="CW172" s="58"/>
      <c r="CX172" s="15"/>
      <c r="CY172" s="58"/>
      <c r="CZ172" s="15"/>
      <c r="DA172" s="58"/>
      <c r="DB172" s="15"/>
      <c r="DC172" s="58"/>
      <c r="DD172" s="15"/>
      <c r="DE172" s="58"/>
      <c r="DF172" s="15"/>
      <c r="DG172" s="58"/>
      <c r="DH172" s="15"/>
      <c r="DI172" s="58"/>
      <c r="DJ172" s="15"/>
      <c r="DK172" s="58"/>
      <c r="DL172" s="15"/>
      <c r="DM172" s="58"/>
      <c r="DN172" s="15"/>
      <c r="DO172" s="58"/>
      <c r="DP172" s="15"/>
      <c r="DQ172" s="58"/>
      <c r="DR172" s="15"/>
      <c r="DS172" s="58"/>
      <c r="DT172" s="15"/>
      <c r="DU172" s="58"/>
      <c r="DV172" s="15"/>
      <c r="DW172" s="58"/>
      <c r="DX172" s="15"/>
      <c r="DY172" s="58"/>
      <c r="DZ172" s="15"/>
      <c r="EA172" s="58"/>
      <c r="EB172" s="15"/>
      <c r="EC172" s="58"/>
      <c r="ED172" s="15"/>
      <c r="EE172" s="217"/>
      <c r="EF172" s="8">
        <v>52000</v>
      </c>
      <c r="EG172" s="312">
        <v>49000</v>
      </c>
      <c r="EH172" s="236">
        <v>51000</v>
      </c>
      <c r="EI172" s="224"/>
      <c r="EJ172" s="58"/>
      <c r="EK172" s="58"/>
      <c r="EL172" s="58"/>
      <c r="EM172" s="58"/>
      <c r="EN172" s="208" t="s">
        <v>209</v>
      </c>
      <c r="EO172" s="246" t="s">
        <v>209</v>
      </c>
      <c r="EP172" s="246" t="s">
        <v>209</v>
      </c>
      <c r="EQ172" s="246" t="s">
        <v>209</v>
      </c>
      <c r="ER172" s="246"/>
      <c r="ES172" s="246"/>
      <c r="ET172" s="246"/>
      <c r="EU172" s="246"/>
      <c r="EV172" s="246"/>
      <c r="EW172" s="246"/>
      <c r="EX172" s="246"/>
      <c r="EY172" s="246"/>
      <c r="EZ172" s="246"/>
      <c r="FA172" s="246"/>
      <c r="FB172" s="63">
        <f>MEDIAN(EF172,EG172,EH172)</f>
        <v>51000</v>
      </c>
      <c r="FC172" s="63">
        <f>AVERAGE(EF172,EG172,EH172)</f>
        <v>50666.666666666664</v>
      </c>
      <c r="FD172" s="64">
        <f>STDEV(EF172,EG172,EH172)</f>
        <v>1527.5252316519468</v>
      </c>
      <c r="FE172" s="65">
        <f t="shared" si="178"/>
        <v>3.0148524308920004E-2</v>
      </c>
      <c r="FF172" s="88">
        <f t="shared" si="180"/>
        <v>42577.310924369747</v>
      </c>
      <c r="FG172" s="88">
        <f t="shared" si="181"/>
        <v>8089.6890756302519</v>
      </c>
      <c r="FH172" s="74">
        <f t="shared" si="187"/>
        <v>50667</v>
      </c>
      <c r="FI172" s="260">
        <f t="shared" si="209"/>
        <v>2533350</v>
      </c>
      <c r="FJ172" s="60" t="s">
        <v>65</v>
      </c>
    </row>
    <row r="173" spans="1:167" s="40" customFormat="1" ht="43.5" x14ac:dyDescent="0.35">
      <c r="A173" s="37">
        <v>167</v>
      </c>
      <c r="B173" s="210" t="s">
        <v>1119</v>
      </c>
      <c r="C173" s="210" t="s">
        <v>1118</v>
      </c>
      <c r="D173" s="249" t="s">
        <v>64</v>
      </c>
      <c r="E173" s="220">
        <v>70</v>
      </c>
      <c r="F173" s="58"/>
      <c r="G173" s="58"/>
      <c r="H173" s="58"/>
      <c r="I173" s="58"/>
      <c r="J173" s="58">
        <v>42300</v>
      </c>
      <c r="K173" s="58">
        <f t="shared" si="193"/>
        <v>44457.3</v>
      </c>
      <c r="L173" s="15"/>
      <c r="M173" s="58"/>
      <c r="N173" s="15"/>
      <c r="O173" s="58"/>
      <c r="P173" s="15"/>
      <c r="Q173" s="58"/>
      <c r="R173" s="15"/>
      <c r="S173" s="58"/>
      <c r="T173" s="15"/>
      <c r="U173" s="58"/>
      <c r="V173" s="15"/>
      <c r="W173" s="58"/>
      <c r="X173" s="15"/>
      <c r="Y173" s="58"/>
      <c r="Z173" s="15"/>
      <c r="AA173" s="58"/>
      <c r="AB173" s="15"/>
      <c r="AC173" s="58"/>
      <c r="AD173" s="58">
        <v>54763.799999999996</v>
      </c>
      <c r="AE173" s="58">
        <f t="shared" ref="AE173" si="223">+(AD173*5.1%)+AD173</f>
        <v>57556.753799999999</v>
      </c>
      <c r="AF173" s="15"/>
      <c r="AG173" s="58"/>
      <c r="AH173" s="15"/>
      <c r="AI173" s="58"/>
      <c r="AJ173" s="15"/>
      <c r="AK173" s="58"/>
      <c r="AL173" s="15"/>
      <c r="AM173" s="58"/>
      <c r="AN173" s="15"/>
      <c r="AO173" s="58"/>
      <c r="AP173" s="15"/>
      <c r="AQ173" s="58"/>
      <c r="AR173" s="15"/>
      <c r="AS173" s="58"/>
      <c r="AT173" s="15"/>
      <c r="AU173" s="58"/>
      <c r="AV173" s="15"/>
      <c r="AW173" s="58"/>
      <c r="AX173" s="15"/>
      <c r="AY173" s="58"/>
      <c r="AZ173" s="15"/>
      <c r="BA173" s="58"/>
      <c r="BB173" s="15"/>
      <c r="BC173" s="58"/>
      <c r="BD173" s="15"/>
      <c r="BE173" s="58"/>
      <c r="BF173" s="15"/>
      <c r="BG173" s="58"/>
      <c r="BH173" s="15"/>
      <c r="BI173" s="58"/>
      <c r="BJ173" s="15"/>
      <c r="BK173" s="58"/>
      <c r="BL173" s="15"/>
      <c r="BM173" s="58"/>
      <c r="BN173" s="15"/>
      <c r="BO173" s="58"/>
      <c r="BP173" s="15"/>
      <c r="BQ173" s="58"/>
      <c r="BR173" s="15"/>
      <c r="BS173" s="58"/>
      <c r="BT173" s="15"/>
      <c r="BU173" s="58"/>
      <c r="BV173" s="15"/>
      <c r="BW173" s="58"/>
      <c r="BX173" s="15"/>
      <c r="BY173" s="58"/>
      <c r="BZ173" s="15"/>
      <c r="CA173" s="58"/>
      <c r="CB173" s="15"/>
      <c r="CC173" s="58"/>
      <c r="CD173" s="15"/>
      <c r="CE173" s="58"/>
      <c r="CF173" s="15"/>
      <c r="CG173" s="58"/>
      <c r="CH173" s="15"/>
      <c r="CI173" s="58"/>
      <c r="CJ173" s="15"/>
      <c r="CK173" s="58"/>
      <c r="CL173" s="15"/>
      <c r="CM173" s="58"/>
      <c r="CN173" s="15"/>
      <c r="CO173" s="58"/>
      <c r="CP173" s="15"/>
      <c r="CQ173" s="58"/>
      <c r="CR173" s="15"/>
      <c r="CS173" s="58"/>
      <c r="CT173" s="15"/>
      <c r="CU173" s="58"/>
      <c r="CV173" s="15"/>
      <c r="CW173" s="58"/>
      <c r="CX173" s="15"/>
      <c r="CY173" s="58"/>
      <c r="CZ173" s="15"/>
      <c r="DA173" s="58"/>
      <c r="DB173" s="15"/>
      <c r="DC173" s="58"/>
      <c r="DD173" s="15"/>
      <c r="DE173" s="58"/>
      <c r="DF173" s="15"/>
      <c r="DG173" s="58"/>
      <c r="DH173" s="15"/>
      <c r="DI173" s="58"/>
      <c r="DJ173" s="15"/>
      <c r="DK173" s="58"/>
      <c r="DL173" s="15"/>
      <c r="DM173" s="58"/>
      <c r="DN173" s="15"/>
      <c r="DO173" s="58"/>
      <c r="DP173" s="15"/>
      <c r="DQ173" s="58"/>
      <c r="DR173" s="15"/>
      <c r="DS173" s="58"/>
      <c r="DT173" s="15"/>
      <c r="DU173" s="58"/>
      <c r="DV173" s="15"/>
      <c r="DW173" s="58"/>
      <c r="DX173" s="15"/>
      <c r="DY173" s="58"/>
      <c r="DZ173" s="15"/>
      <c r="EA173" s="58"/>
      <c r="EB173" s="15"/>
      <c r="EC173" s="58"/>
      <c r="ED173" s="15"/>
      <c r="EE173" s="217"/>
      <c r="EF173" s="53"/>
      <c r="EG173" s="315"/>
      <c r="EH173" s="323"/>
      <c r="EI173" s="224"/>
      <c r="EJ173" s="58"/>
      <c r="EK173" s="58"/>
      <c r="EL173" s="58"/>
      <c r="EM173" s="58"/>
      <c r="EN173" s="208"/>
      <c r="EO173" s="246"/>
      <c r="EP173" s="246"/>
      <c r="EQ173" s="246"/>
      <c r="ER173" s="246"/>
      <c r="ES173" s="246"/>
      <c r="ET173" s="246"/>
      <c r="EU173" s="246"/>
      <c r="EV173" s="246"/>
      <c r="EW173" s="246"/>
      <c r="EX173" s="246"/>
      <c r="EY173" s="246"/>
      <c r="EZ173" s="246"/>
      <c r="FA173" s="246"/>
      <c r="FB173" s="63">
        <f>MEDIAN(K173,AE173)</f>
        <v>51007.026899999997</v>
      </c>
      <c r="FC173" s="63">
        <f>AVERAGE(K173,AE173)</f>
        <v>51007.026899999997</v>
      </c>
      <c r="FD173" s="64">
        <f>STDEV(K173,AE173)</f>
        <v>9262.7126118199176</v>
      </c>
      <c r="FE173" s="65">
        <f t="shared" si="178"/>
        <v>0.1815967950843243</v>
      </c>
      <c r="FF173" s="88">
        <f t="shared" si="180"/>
        <v>42863.865546218491</v>
      </c>
      <c r="FG173" s="88">
        <f t="shared" si="181"/>
        <v>8144.134453781513</v>
      </c>
      <c r="FH173" s="74">
        <f t="shared" si="187"/>
        <v>51008</v>
      </c>
      <c r="FI173" s="260">
        <f t="shared" si="209"/>
        <v>3570560</v>
      </c>
      <c r="FJ173" s="60" t="s">
        <v>66</v>
      </c>
    </row>
    <row r="174" spans="1:167" s="40" customFormat="1" ht="159.5" x14ac:dyDescent="0.35">
      <c r="A174" s="36">
        <v>168</v>
      </c>
      <c r="B174" s="210" t="s">
        <v>367</v>
      </c>
      <c r="C174" s="210" t="s">
        <v>368</v>
      </c>
      <c r="D174" s="249" t="s">
        <v>64</v>
      </c>
      <c r="E174" s="220">
        <v>80</v>
      </c>
      <c r="F174" s="58"/>
      <c r="G174" s="58"/>
      <c r="H174" s="58">
        <v>15000</v>
      </c>
      <c r="I174" s="58">
        <f>+(H174*5.1%)+H174</f>
        <v>15765</v>
      </c>
      <c r="J174" s="58">
        <v>16000</v>
      </c>
      <c r="K174" s="58">
        <f t="shared" si="193"/>
        <v>16816</v>
      </c>
      <c r="L174" s="15"/>
      <c r="M174" s="58"/>
      <c r="N174" s="15"/>
      <c r="O174" s="58"/>
      <c r="P174" s="15"/>
      <c r="Q174" s="58"/>
      <c r="R174" s="15"/>
      <c r="S174" s="58"/>
      <c r="T174" s="15"/>
      <c r="U174" s="58"/>
      <c r="V174" s="15"/>
      <c r="W174" s="58"/>
      <c r="X174" s="15"/>
      <c r="Y174" s="58"/>
      <c r="Z174" s="15"/>
      <c r="AA174" s="58"/>
      <c r="AB174" s="15"/>
      <c r="AC174" s="58"/>
      <c r="AD174" s="58"/>
      <c r="AE174" s="58"/>
      <c r="AF174" s="15"/>
      <c r="AG174" s="58"/>
      <c r="AH174" s="15"/>
      <c r="AI174" s="58"/>
      <c r="AJ174" s="15"/>
      <c r="AK174" s="58"/>
      <c r="AL174" s="15"/>
      <c r="AM174" s="58"/>
      <c r="AN174" s="15"/>
      <c r="AO174" s="58"/>
      <c r="AP174" s="15"/>
      <c r="AQ174" s="58"/>
      <c r="AR174" s="15"/>
      <c r="AS174" s="58"/>
      <c r="AT174" s="15"/>
      <c r="AU174" s="58"/>
      <c r="AV174" s="15"/>
      <c r="AW174" s="58"/>
      <c r="AX174" s="15"/>
      <c r="AY174" s="58"/>
      <c r="AZ174" s="15"/>
      <c r="BA174" s="58"/>
      <c r="BB174" s="15"/>
      <c r="BC174" s="58"/>
      <c r="BD174" s="15"/>
      <c r="BE174" s="58"/>
      <c r="BF174" s="15"/>
      <c r="BG174" s="58"/>
      <c r="BH174" s="15"/>
      <c r="BI174" s="58"/>
      <c r="BJ174" s="15"/>
      <c r="BK174" s="58"/>
      <c r="BL174" s="15"/>
      <c r="BM174" s="58"/>
      <c r="BN174" s="15"/>
      <c r="BO174" s="58"/>
      <c r="BP174" s="15"/>
      <c r="BQ174" s="58"/>
      <c r="BR174" s="15"/>
      <c r="BS174" s="58"/>
      <c r="BT174" s="15"/>
      <c r="BU174" s="58"/>
      <c r="BV174" s="15"/>
      <c r="BW174" s="58"/>
      <c r="BX174" s="15"/>
      <c r="BY174" s="58"/>
      <c r="BZ174" s="15"/>
      <c r="CA174" s="58"/>
      <c r="CB174" s="15"/>
      <c r="CC174" s="58"/>
      <c r="CD174" s="15"/>
      <c r="CE174" s="58"/>
      <c r="CF174" s="15"/>
      <c r="CG174" s="58"/>
      <c r="CH174" s="15"/>
      <c r="CI174" s="58"/>
      <c r="CJ174" s="15"/>
      <c r="CK174" s="58"/>
      <c r="CL174" s="15"/>
      <c r="CM174" s="58"/>
      <c r="CN174" s="15"/>
      <c r="CO174" s="58"/>
      <c r="CP174" s="15"/>
      <c r="CQ174" s="58"/>
      <c r="CR174" s="15"/>
      <c r="CS174" s="58"/>
      <c r="CT174" s="15"/>
      <c r="CU174" s="58"/>
      <c r="CV174" s="15"/>
      <c r="CW174" s="58"/>
      <c r="CX174" s="15"/>
      <c r="CY174" s="58"/>
      <c r="CZ174" s="15"/>
      <c r="DA174" s="58"/>
      <c r="DB174" s="15"/>
      <c r="DC174" s="58"/>
      <c r="DD174" s="15"/>
      <c r="DE174" s="58"/>
      <c r="DF174" s="15"/>
      <c r="DG174" s="58"/>
      <c r="DH174" s="15"/>
      <c r="DI174" s="58"/>
      <c r="DJ174" s="15"/>
      <c r="DK174" s="58"/>
      <c r="DL174" s="15"/>
      <c r="DM174" s="58"/>
      <c r="DN174" s="15"/>
      <c r="DO174" s="58"/>
      <c r="DP174" s="15"/>
      <c r="DQ174" s="58"/>
      <c r="DR174" s="15"/>
      <c r="DS174" s="58"/>
      <c r="DT174" s="15"/>
      <c r="DU174" s="58"/>
      <c r="DV174" s="15"/>
      <c r="DW174" s="58"/>
      <c r="DX174" s="15"/>
      <c r="DY174" s="58"/>
      <c r="DZ174" s="15"/>
      <c r="EA174" s="58"/>
      <c r="EB174" s="15"/>
      <c r="EC174" s="58"/>
      <c r="ED174" s="15"/>
      <c r="EE174" s="217"/>
      <c r="EF174" s="8"/>
      <c r="EG174" s="324"/>
      <c r="EH174" s="8"/>
      <c r="EI174" s="224"/>
      <c r="EJ174" s="58"/>
      <c r="EK174" s="58"/>
      <c r="EL174" s="58"/>
      <c r="EM174" s="58"/>
      <c r="EN174" s="208"/>
      <c r="EO174" s="246"/>
      <c r="EP174" s="246"/>
      <c r="EQ174" s="246"/>
      <c r="ER174" s="246"/>
      <c r="ES174" s="246"/>
      <c r="ET174" s="246"/>
      <c r="EU174" s="246"/>
      <c r="EV174" s="246"/>
      <c r="EW174" s="246"/>
      <c r="EX174" s="246"/>
      <c r="EY174" s="246"/>
      <c r="EZ174" s="246"/>
      <c r="FA174" s="246"/>
      <c r="FB174" s="63">
        <f>MEDIAN(I174,K174)</f>
        <v>16290.5</v>
      </c>
      <c r="FC174" s="63">
        <f>AVERAGE(I174,K174)</f>
        <v>16290.5</v>
      </c>
      <c r="FD174" s="64">
        <f>STDEV(I174,K174)</f>
        <v>743.16922702706142</v>
      </c>
      <c r="FE174" s="65">
        <f t="shared" si="178"/>
        <v>4.5619792334615966E-2</v>
      </c>
      <c r="FF174" s="88">
        <f t="shared" si="180"/>
        <v>13689.915966386556</v>
      </c>
      <c r="FG174" s="88">
        <f t="shared" si="181"/>
        <v>2601.0840336134456</v>
      </c>
      <c r="FH174" s="74">
        <f t="shared" si="187"/>
        <v>16291</v>
      </c>
      <c r="FI174" s="260">
        <f t="shared" si="209"/>
        <v>1303280</v>
      </c>
      <c r="FJ174" s="60" t="s">
        <v>65</v>
      </c>
    </row>
    <row r="175" spans="1:167" s="40" customFormat="1" ht="29" x14ac:dyDescent="0.35">
      <c r="A175" s="36">
        <v>169</v>
      </c>
      <c r="B175" s="210" t="s">
        <v>369</v>
      </c>
      <c r="C175" s="210" t="s">
        <v>370</v>
      </c>
      <c r="D175" s="249" t="s">
        <v>64</v>
      </c>
      <c r="E175" s="220">
        <v>0</v>
      </c>
      <c r="F175" s="58"/>
      <c r="G175" s="58"/>
      <c r="H175" s="58"/>
      <c r="I175" s="58"/>
      <c r="J175" s="58"/>
      <c r="K175" s="58"/>
      <c r="L175" s="15"/>
      <c r="M175" s="58"/>
      <c r="N175" s="15"/>
      <c r="O175" s="58"/>
      <c r="P175" s="15"/>
      <c r="Q175" s="58"/>
      <c r="R175" s="15"/>
      <c r="S175" s="58"/>
      <c r="T175" s="15"/>
      <c r="U175" s="58"/>
      <c r="V175" s="15"/>
      <c r="W175" s="58"/>
      <c r="X175" s="15"/>
      <c r="Y175" s="58"/>
      <c r="Z175" s="15"/>
      <c r="AA175" s="58"/>
      <c r="AB175" s="15"/>
      <c r="AC175" s="58"/>
      <c r="AD175" s="58">
        <v>24994.76</v>
      </c>
      <c r="AE175" s="58">
        <f t="shared" ref="AE175" si="224">+(AD175*5.1%)+AD175</f>
        <v>26269.492759999997</v>
      </c>
      <c r="AF175" s="15"/>
      <c r="AG175" s="58"/>
      <c r="AH175" s="15"/>
      <c r="AI175" s="58"/>
      <c r="AJ175" s="15"/>
      <c r="AK175" s="58"/>
      <c r="AL175" s="15"/>
      <c r="AM175" s="58"/>
      <c r="AN175" s="15"/>
      <c r="AO175" s="58"/>
      <c r="AP175" s="15"/>
      <c r="AQ175" s="58"/>
      <c r="AR175" s="15"/>
      <c r="AS175" s="58"/>
      <c r="AT175" s="15"/>
      <c r="AU175" s="58"/>
      <c r="AV175" s="15"/>
      <c r="AW175" s="58"/>
      <c r="AX175" s="15"/>
      <c r="AY175" s="58"/>
      <c r="AZ175" s="15"/>
      <c r="BA175" s="58"/>
      <c r="BB175" s="15"/>
      <c r="BC175" s="58"/>
      <c r="BD175" s="15"/>
      <c r="BE175" s="58"/>
      <c r="BF175" s="15"/>
      <c r="BG175" s="58"/>
      <c r="BH175" s="15"/>
      <c r="BI175" s="58"/>
      <c r="BJ175" s="15"/>
      <c r="BK175" s="58"/>
      <c r="BL175" s="15"/>
      <c r="BM175" s="58"/>
      <c r="BN175" s="15"/>
      <c r="BO175" s="58"/>
      <c r="BP175" s="15"/>
      <c r="BQ175" s="58"/>
      <c r="BR175" s="15"/>
      <c r="BS175" s="58"/>
      <c r="BT175" s="15"/>
      <c r="BU175" s="58"/>
      <c r="BV175" s="15"/>
      <c r="BW175" s="58"/>
      <c r="BX175" s="15"/>
      <c r="BY175" s="58"/>
      <c r="BZ175" s="15"/>
      <c r="CA175" s="58"/>
      <c r="CB175" s="15"/>
      <c r="CC175" s="58"/>
      <c r="CD175" s="15"/>
      <c r="CE175" s="58"/>
      <c r="CF175" s="15"/>
      <c r="CG175" s="58"/>
      <c r="CH175" s="15"/>
      <c r="CI175" s="58"/>
      <c r="CJ175" s="15">
        <v>25326</v>
      </c>
      <c r="CK175" s="58">
        <f t="shared" ref="CK175" si="225">+(CJ175*5.1%)+CJ175</f>
        <v>26617.626</v>
      </c>
      <c r="CL175" s="15"/>
      <c r="CM175" s="58"/>
      <c r="CN175" s="15"/>
      <c r="CO175" s="58"/>
      <c r="CP175" s="15"/>
      <c r="CQ175" s="58"/>
      <c r="CR175" s="15"/>
      <c r="CS175" s="58"/>
      <c r="CT175" s="15"/>
      <c r="CU175" s="58"/>
      <c r="CV175" s="15"/>
      <c r="CW175" s="58"/>
      <c r="CX175" s="15"/>
      <c r="CY175" s="58"/>
      <c r="CZ175" s="15"/>
      <c r="DA175" s="58"/>
      <c r="DB175" s="15"/>
      <c r="DC175" s="58"/>
      <c r="DD175" s="15"/>
      <c r="DE175" s="58"/>
      <c r="DF175" s="15"/>
      <c r="DG175" s="58"/>
      <c r="DH175" s="15"/>
      <c r="DI175" s="58"/>
      <c r="DJ175" s="15"/>
      <c r="DK175" s="58"/>
      <c r="DL175" s="15"/>
      <c r="DM175" s="58"/>
      <c r="DN175" s="15"/>
      <c r="DO175" s="58"/>
      <c r="DP175" s="15"/>
      <c r="DQ175" s="58"/>
      <c r="DR175" s="15"/>
      <c r="DS175" s="58"/>
      <c r="DT175" s="15"/>
      <c r="DU175" s="58"/>
      <c r="DV175" s="15"/>
      <c r="DW175" s="58"/>
      <c r="DX175" s="15"/>
      <c r="DY175" s="58"/>
      <c r="DZ175" s="15"/>
      <c r="EA175" s="58"/>
      <c r="EB175" s="15"/>
      <c r="EC175" s="58"/>
      <c r="ED175" s="15"/>
      <c r="EE175" s="217"/>
      <c r="EF175" s="222"/>
      <c r="EG175" s="56"/>
      <c r="EH175" s="8"/>
      <c r="EI175" s="224"/>
      <c r="EJ175" s="58"/>
      <c r="EK175" s="58"/>
      <c r="EL175" s="58"/>
      <c r="EM175" s="58"/>
      <c r="EN175" s="208" t="s">
        <v>209</v>
      </c>
      <c r="EO175" s="246" t="s">
        <v>209</v>
      </c>
      <c r="EP175" s="246" t="s">
        <v>209</v>
      </c>
      <c r="EQ175" s="246" t="s">
        <v>209</v>
      </c>
      <c r="ER175" s="246"/>
      <c r="ES175" s="246"/>
      <c r="ET175" s="246"/>
      <c r="EU175" s="246"/>
      <c r="EV175" s="246"/>
      <c r="EW175" s="246"/>
      <c r="EX175" s="246"/>
      <c r="EY175" s="246"/>
      <c r="EZ175" s="246"/>
      <c r="FA175" s="246"/>
      <c r="FB175" s="63">
        <f>MEDIAN(AE175,CK175)</f>
        <v>26443.559379999999</v>
      </c>
      <c r="FC175" s="63">
        <f>AVERAGE(AE175,CK175)</f>
        <v>26443.559379999999</v>
      </c>
      <c r="FD175" s="64">
        <f>STDEV(AE175,CK175)</f>
        <v>246.16737476044585</v>
      </c>
      <c r="FE175" s="65">
        <f t="shared" si="178"/>
        <v>9.309161872763207E-3</v>
      </c>
      <c r="FF175" s="88">
        <f t="shared" si="180"/>
        <v>22221.848739495799</v>
      </c>
      <c r="FG175" s="88">
        <f t="shared" si="181"/>
        <v>4222.1512605042017</v>
      </c>
      <c r="FH175" s="74">
        <f t="shared" si="187"/>
        <v>26444</v>
      </c>
      <c r="FI175" s="260">
        <f t="shared" si="209"/>
        <v>0</v>
      </c>
      <c r="FJ175" s="60" t="s">
        <v>65</v>
      </c>
      <c r="FK175" s="343"/>
    </row>
    <row r="176" spans="1:167" s="40" customFormat="1" ht="72.5" x14ac:dyDescent="0.35">
      <c r="A176" s="37">
        <v>170</v>
      </c>
      <c r="B176" s="210" t="s">
        <v>371</v>
      </c>
      <c r="C176" s="210" t="s">
        <v>372</v>
      </c>
      <c r="D176" s="249" t="s">
        <v>64</v>
      </c>
      <c r="E176" s="220">
        <v>100</v>
      </c>
      <c r="F176" s="58"/>
      <c r="G176" s="58"/>
      <c r="H176" s="58"/>
      <c r="I176" s="58"/>
      <c r="J176" s="58">
        <v>8100</v>
      </c>
      <c r="K176" s="58">
        <f t="shared" si="193"/>
        <v>8513.1</v>
      </c>
      <c r="L176" s="15"/>
      <c r="M176" s="58"/>
      <c r="N176" s="15"/>
      <c r="O176" s="58"/>
      <c r="P176" s="15"/>
      <c r="Q176" s="58"/>
      <c r="R176" s="15"/>
      <c r="S176" s="58"/>
      <c r="T176" s="15"/>
      <c r="U176" s="58"/>
      <c r="V176" s="15"/>
      <c r="W176" s="58"/>
      <c r="X176" s="15"/>
      <c r="Y176" s="58"/>
      <c r="Z176" s="15"/>
      <c r="AA176" s="58"/>
      <c r="AB176" s="15"/>
      <c r="AC176" s="58"/>
      <c r="AD176" s="58">
        <v>6009.9759999999997</v>
      </c>
      <c r="AE176" s="58">
        <f t="shared" ref="AE176" si="226">+(AD176*5.1%)+AD176</f>
        <v>6316.4847759999993</v>
      </c>
      <c r="AF176" s="15"/>
      <c r="AG176" s="58"/>
      <c r="AH176" s="15"/>
      <c r="AI176" s="58"/>
      <c r="AJ176" s="15"/>
      <c r="AK176" s="58"/>
      <c r="AL176" s="15"/>
      <c r="AM176" s="58"/>
      <c r="AN176" s="15"/>
      <c r="AO176" s="58"/>
      <c r="AP176" s="15"/>
      <c r="AQ176" s="58"/>
      <c r="AR176" s="15"/>
      <c r="AS176" s="58"/>
      <c r="AT176" s="15"/>
      <c r="AU176" s="58"/>
      <c r="AV176" s="15"/>
      <c r="AW176" s="58"/>
      <c r="AX176" s="15"/>
      <c r="AY176" s="58"/>
      <c r="AZ176" s="15"/>
      <c r="BA176" s="58"/>
      <c r="BB176" s="15"/>
      <c r="BC176" s="58"/>
      <c r="BD176" s="15"/>
      <c r="BE176" s="58"/>
      <c r="BF176" s="15"/>
      <c r="BG176" s="58"/>
      <c r="BH176" s="15"/>
      <c r="BI176" s="58"/>
      <c r="BJ176" s="15"/>
      <c r="BK176" s="58"/>
      <c r="BL176" s="15"/>
      <c r="BM176" s="58"/>
      <c r="BN176" s="15"/>
      <c r="BO176" s="58"/>
      <c r="BP176" s="15"/>
      <c r="BQ176" s="58"/>
      <c r="BR176" s="15"/>
      <c r="BS176" s="58"/>
      <c r="BT176" s="15"/>
      <c r="BU176" s="58"/>
      <c r="BV176" s="15"/>
      <c r="BW176" s="58"/>
      <c r="BX176" s="15"/>
      <c r="BY176" s="58"/>
      <c r="BZ176" s="15"/>
      <c r="CA176" s="58"/>
      <c r="CB176" s="15"/>
      <c r="CC176" s="58"/>
      <c r="CD176" s="15"/>
      <c r="CE176" s="58"/>
      <c r="CF176" s="15"/>
      <c r="CG176" s="58"/>
      <c r="CH176" s="15"/>
      <c r="CI176" s="58"/>
      <c r="CJ176" s="15"/>
      <c r="CK176" s="58"/>
      <c r="CL176" s="15"/>
      <c r="CM176" s="58"/>
      <c r="CN176" s="15"/>
      <c r="CO176" s="58"/>
      <c r="CP176" s="15"/>
      <c r="CQ176" s="58"/>
      <c r="CR176" s="15"/>
      <c r="CS176" s="58"/>
      <c r="CT176" s="15"/>
      <c r="CU176" s="58"/>
      <c r="CV176" s="15"/>
      <c r="CW176" s="58"/>
      <c r="CX176" s="15"/>
      <c r="CY176" s="58"/>
      <c r="CZ176" s="15"/>
      <c r="DA176" s="58"/>
      <c r="DB176" s="15"/>
      <c r="DC176" s="58"/>
      <c r="DD176" s="15"/>
      <c r="DE176" s="58"/>
      <c r="DF176" s="15"/>
      <c r="DG176" s="58"/>
      <c r="DH176" s="15"/>
      <c r="DI176" s="58"/>
      <c r="DJ176" s="15"/>
      <c r="DK176" s="58"/>
      <c r="DL176" s="15"/>
      <c r="DM176" s="58"/>
      <c r="DN176" s="15"/>
      <c r="DO176" s="58"/>
      <c r="DP176" s="15"/>
      <c r="DQ176" s="58"/>
      <c r="DR176" s="15"/>
      <c r="DS176" s="58"/>
      <c r="DT176" s="15"/>
      <c r="DU176" s="58"/>
      <c r="DV176" s="15"/>
      <c r="DW176" s="58"/>
      <c r="DX176" s="15"/>
      <c r="DY176" s="58"/>
      <c r="DZ176" s="15"/>
      <c r="EA176" s="58"/>
      <c r="EB176" s="15"/>
      <c r="EC176" s="58"/>
      <c r="ED176" s="15"/>
      <c r="EE176" s="217"/>
      <c r="EF176" s="222"/>
      <c r="EG176" s="56"/>
      <c r="EH176" s="222"/>
      <c r="EI176" s="224"/>
      <c r="EJ176" s="58"/>
      <c r="EK176" s="58"/>
      <c r="EL176" s="58"/>
      <c r="EM176" s="58"/>
      <c r="EN176" s="208" t="s">
        <v>209</v>
      </c>
      <c r="EO176" s="246" t="s">
        <v>209</v>
      </c>
      <c r="EP176" s="246" t="s">
        <v>209</v>
      </c>
      <c r="EQ176" s="246" t="s">
        <v>209</v>
      </c>
      <c r="ER176" s="246"/>
      <c r="ES176" s="246"/>
      <c r="ET176" s="246"/>
      <c r="EU176" s="246"/>
      <c r="EV176" s="246"/>
      <c r="EW176" s="246"/>
      <c r="EX176" s="246"/>
      <c r="EY176" s="246"/>
      <c r="EZ176" s="246"/>
      <c r="FA176" s="246"/>
      <c r="FB176" s="63">
        <f>MEDIAN(K176,AE176)</f>
        <v>7414.7923879999998</v>
      </c>
      <c r="FC176" s="63">
        <f>AVERAGE(K176,AE176)</f>
        <v>7414.7923879999998</v>
      </c>
      <c r="FD176" s="64">
        <f>STDEV(K176,AE176)</f>
        <v>1553.2415205480031</v>
      </c>
      <c r="FE176" s="65">
        <f t="shared" si="178"/>
        <v>0.20947876073533067</v>
      </c>
      <c r="FF176" s="88">
        <f t="shared" si="180"/>
        <v>6231.09243697479</v>
      </c>
      <c r="FG176" s="88">
        <f t="shared" si="181"/>
        <v>1183.90756302521</v>
      </c>
      <c r="FH176" s="74">
        <f t="shared" ref="FH176:FH204" si="227">ROUNDUP(IF(FE176&lt;15%,FC176,FB176),0)</f>
        <v>7415</v>
      </c>
      <c r="FI176" s="260">
        <f t="shared" si="209"/>
        <v>741500</v>
      </c>
      <c r="FJ176" s="60" t="s">
        <v>66</v>
      </c>
      <c r="FK176" s="343"/>
    </row>
    <row r="177" spans="1:167" s="40" customFormat="1" ht="72.5" x14ac:dyDescent="0.35">
      <c r="A177" s="37">
        <v>171</v>
      </c>
      <c r="B177" s="210" t="s">
        <v>373</v>
      </c>
      <c r="C177" s="210" t="s">
        <v>374</v>
      </c>
      <c r="D177" s="249" t="s">
        <v>350</v>
      </c>
      <c r="E177" s="220">
        <v>80</v>
      </c>
      <c r="F177" s="58"/>
      <c r="G177" s="58"/>
      <c r="H177" s="58"/>
      <c r="I177" s="58"/>
      <c r="J177" s="58"/>
      <c r="K177" s="58"/>
      <c r="L177" s="15"/>
      <c r="M177" s="58"/>
      <c r="N177" s="15"/>
      <c r="O177" s="58"/>
      <c r="P177" s="15"/>
      <c r="Q177" s="58"/>
      <c r="R177" s="15"/>
      <c r="S177" s="58"/>
      <c r="T177" s="15"/>
      <c r="U177" s="58"/>
      <c r="V177" s="15"/>
      <c r="W177" s="58"/>
      <c r="X177" s="15"/>
      <c r="Y177" s="58"/>
      <c r="Z177" s="15"/>
      <c r="AA177" s="58"/>
      <c r="AB177" s="15"/>
      <c r="AC177" s="58"/>
      <c r="AD177" s="58"/>
      <c r="AE177" s="58"/>
      <c r="AF177" s="15"/>
      <c r="AG177" s="58"/>
      <c r="AH177" s="15"/>
      <c r="AI177" s="58"/>
      <c r="AJ177" s="15"/>
      <c r="AK177" s="58"/>
      <c r="AL177" s="15"/>
      <c r="AM177" s="58"/>
      <c r="AN177" s="15"/>
      <c r="AO177" s="58"/>
      <c r="AP177" s="15"/>
      <c r="AQ177" s="58"/>
      <c r="AR177" s="15"/>
      <c r="AS177" s="58"/>
      <c r="AT177" s="15"/>
      <c r="AU177" s="58"/>
      <c r="AV177" s="15"/>
      <c r="AW177" s="58"/>
      <c r="AX177" s="15"/>
      <c r="AY177" s="58"/>
      <c r="AZ177" s="15"/>
      <c r="BA177" s="58"/>
      <c r="BB177" s="15"/>
      <c r="BC177" s="58"/>
      <c r="BD177" s="15"/>
      <c r="BE177" s="58"/>
      <c r="BF177" s="15"/>
      <c r="BG177" s="58"/>
      <c r="BH177" s="15"/>
      <c r="BI177" s="58"/>
      <c r="BJ177" s="15"/>
      <c r="BK177" s="58"/>
      <c r="BL177" s="15"/>
      <c r="BM177" s="58"/>
      <c r="BN177" s="15"/>
      <c r="BO177" s="58"/>
      <c r="BP177" s="15"/>
      <c r="BQ177" s="58"/>
      <c r="BR177" s="15"/>
      <c r="BS177" s="58"/>
      <c r="BT177" s="15"/>
      <c r="BU177" s="58"/>
      <c r="BV177" s="15"/>
      <c r="BW177" s="58"/>
      <c r="BX177" s="15"/>
      <c r="BY177" s="58"/>
      <c r="BZ177" s="15"/>
      <c r="CA177" s="58"/>
      <c r="CB177" s="15"/>
      <c r="CC177" s="58"/>
      <c r="CD177" s="15"/>
      <c r="CE177" s="58"/>
      <c r="CF177" s="15"/>
      <c r="CG177" s="58"/>
      <c r="CH177" s="15"/>
      <c r="CI177" s="58"/>
      <c r="CJ177" s="15"/>
      <c r="CK177" s="58"/>
      <c r="CL177" s="15"/>
      <c r="CM177" s="58"/>
      <c r="CN177" s="15"/>
      <c r="CO177" s="58"/>
      <c r="CP177" s="15"/>
      <c r="CQ177" s="58"/>
      <c r="CR177" s="15"/>
      <c r="CS177" s="58"/>
      <c r="CT177" s="15"/>
      <c r="CU177" s="58"/>
      <c r="CV177" s="15"/>
      <c r="CW177" s="58"/>
      <c r="CX177" s="15"/>
      <c r="CY177" s="58"/>
      <c r="CZ177" s="15"/>
      <c r="DA177" s="58"/>
      <c r="DB177" s="15"/>
      <c r="DC177" s="58"/>
      <c r="DD177" s="15"/>
      <c r="DE177" s="58"/>
      <c r="DF177" s="15"/>
      <c r="DG177" s="58"/>
      <c r="DH177" s="15"/>
      <c r="DI177" s="58"/>
      <c r="DJ177" s="15"/>
      <c r="DK177" s="58"/>
      <c r="DL177" s="15"/>
      <c r="DM177" s="58"/>
      <c r="DN177" s="15"/>
      <c r="DO177" s="58"/>
      <c r="DP177" s="15"/>
      <c r="DQ177" s="58"/>
      <c r="DR177" s="15"/>
      <c r="DS177" s="58"/>
      <c r="DT177" s="15"/>
      <c r="DU177" s="58"/>
      <c r="DV177" s="15"/>
      <c r="DW177" s="58"/>
      <c r="DX177" s="15"/>
      <c r="DY177" s="58"/>
      <c r="DZ177" s="15"/>
      <c r="EA177" s="58"/>
      <c r="EB177" s="15"/>
      <c r="EC177" s="58"/>
      <c r="ED177" s="15"/>
      <c r="EE177" s="217"/>
      <c r="EF177" s="12">
        <v>18900</v>
      </c>
      <c r="EG177" s="325">
        <v>17600</v>
      </c>
      <c r="EH177" s="318">
        <v>17000</v>
      </c>
      <c r="EI177" s="224"/>
      <c r="EJ177" s="58"/>
      <c r="EK177" s="58"/>
      <c r="EL177" s="58"/>
      <c r="EM177" s="58"/>
      <c r="EN177" s="208" t="s">
        <v>209</v>
      </c>
      <c r="EO177" s="246" t="s">
        <v>209</v>
      </c>
      <c r="EP177" s="246" t="s">
        <v>209</v>
      </c>
      <c r="EQ177" s="246" t="s">
        <v>209</v>
      </c>
      <c r="ER177" s="246"/>
      <c r="ES177" s="246"/>
      <c r="ET177" s="246"/>
      <c r="EU177" s="246"/>
      <c r="EV177" s="246"/>
      <c r="EW177" s="246"/>
      <c r="EX177" s="246"/>
      <c r="EY177" s="246"/>
      <c r="EZ177" s="246"/>
      <c r="FA177" s="246"/>
      <c r="FB177" s="63">
        <f>MEDIAN(EF177,EG177,EH177)</f>
        <v>17600</v>
      </c>
      <c r="FC177" s="63">
        <f>AVERAGE(EF177,EG177,EH177)</f>
        <v>17833.333333333332</v>
      </c>
      <c r="FD177" s="64">
        <f>STDEV(EF177,EG177,EH177)</f>
        <v>971.25348562223098</v>
      </c>
      <c r="FE177" s="65">
        <f t="shared" si="178"/>
        <v>5.4462812277882112E-2</v>
      </c>
      <c r="FF177" s="88">
        <f t="shared" si="180"/>
        <v>14986.55462184874</v>
      </c>
      <c r="FG177" s="88">
        <f t="shared" si="181"/>
        <v>2847.4453781512607</v>
      </c>
      <c r="FH177" s="74">
        <f t="shared" si="227"/>
        <v>17834</v>
      </c>
      <c r="FI177" s="260">
        <f t="shared" si="209"/>
        <v>1426720</v>
      </c>
      <c r="FJ177" s="60" t="s">
        <v>66</v>
      </c>
      <c r="FK177" s="343"/>
    </row>
    <row r="178" spans="1:167" s="40" customFormat="1" ht="101.5" x14ac:dyDescent="0.35">
      <c r="A178" s="37">
        <v>172</v>
      </c>
      <c r="B178" s="210" t="s">
        <v>375</v>
      </c>
      <c r="C178" s="210" t="s">
        <v>376</v>
      </c>
      <c r="D178" s="249" t="s">
        <v>131</v>
      </c>
      <c r="E178" s="220">
        <v>80</v>
      </c>
      <c r="F178" s="58"/>
      <c r="G178" s="58"/>
      <c r="H178" s="58"/>
      <c r="I178" s="58"/>
      <c r="J178" s="58"/>
      <c r="K178" s="58"/>
      <c r="L178" s="15"/>
      <c r="M178" s="58"/>
      <c r="N178" s="15"/>
      <c r="O178" s="58"/>
      <c r="P178" s="15"/>
      <c r="Q178" s="58"/>
      <c r="R178" s="15"/>
      <c r="S178" s="58"/>
      <c r="T178" s="15"/>
      <c r="U178" s="58"/>
      <c r="V178" s="15"/>
      <c r="W178" s="58"/>
      <c r="X178" s="15"/>
      <c r="Y178" s="58"/>
      <c r="Z178" s="15">
        <v>17655</v>
      </c>
      <c r="AA178" s="58">
        <f t="shared" ref="AA178" si="228">+(Z178*5.1%)+Z178</f>
        <v>18555.404999999999</v>
      </c>
      <c r="AB178" s="15"/>
      <c r="AC178" s="58"/>
      <c r="AD178" s="58">
        <v>17552.5</v>
      </c>
      <c r="AE178" s="58">
        <f t="shared" ref="AE178" si="229">+(AD178*5.1%)+AD178</f>
        <v>18447.677500000002</v>
      </c>
      <c r="AF178" s="15"/>
      <c r="AG178" s="58"/>
      <c r="AH178" s="15"/>
      <c r="AI178" s="58"/>
      <c r="AJ178" s="15"/>
      <c r="AK178" s="58"/>
      <c r="AL178" s="15"/>
      <c r="AM178" s="58"/>
      <c r="AN178" s="15"/>
      <c r="AO178" s="58"/>
      <c r="AP178" s="15"/>
      <c r="AQ178" s="58"/>
      <c r="AR178" s="15"/>
      <c r="AS178" s="58"/>
      <c r="AT178" s="15"/>
      <c r="AU178" s="58"/>
      <c r="AV178" s="15"/>
      <c r="AW178" s="58"/>
      <c r="AX178" s="15"/>
      <c r="AY178" s="58"/>
      <c r="AZ178" s="15"/>
      <c r="BA178" s="58"/>
      <c r="BB178" s="15"/>
      <c r="BC178" s="58"/>
      <c r="BD178" s="15"/>
      <c r="BE178" s="58"/>
      <c r="BF178" s="15"/>
      <c r="BG178" s="58"/>
      <c r="BH178" s="15"/>
      <c r="BI178" s="58"/>
      <c r="BJ178" s="15"/>
      <c r="BK178" s="58"/>
      <c r="BL178" s="15"/>
      <c r="BM178" s="58"/>
      <c r="BN178" s="15"/>
      <c r="BO178" s="58"/>
      <c r="BP178" s="15"/>
      <c r="BQ178" s="58"/>
      <c r="BR178" s="15"/>
      <c r="BS178" s="58"/>
      <c r="BT178" s="15"/>
      <c r="BU178" s="58"/>
      <c r="BV178" s="15"/>
      <c r="BW178" s="58"/>
      <c r="BX178" s="15"/>
      <c r="BY178" s="58"/>
      <c r="BZ178" s="15"/>
      <c r="CA178" s="58"/>
      <c r="CB178" s="15"/>
      <c r="CC178" s="58"/>
      <c r="CD178" s="15"/>
      <c r="CE178" s="58"/>
      <c r="CF178" s="15"/>
      <c r="CG178" s="58"/>
      <c r="CH178" s="15"/>
      <c r="CI178" s="58"/>
      <c r="CJ178" s="15"/>
      <c r="CK178" s="58"/>
      <c r="CL178" s="15"/>
      <c r="CM178" s="58"/>
      <c r="CN178" s="15"/>
      <c r="CO178" s="58"/>
      <c r="CP178" s="15"/>
      <c r="CQ178" s="58"/>
      <c r="CR178" s="15"/>
      <c r="CS178" s="58"/>
      <c r="CT178" s="15"/>
      <c r="CU178" s="58"/>
      <c r="CV178" s="15"/>
      <c r="CW178" s="58"/>
      <c r="CX178" s="15"/>
      <c r="CY178" s="58"/>
      <c r="CZ178" s="15"/>
      <c r="DA178" s="58"/>
      <c r="DB178" s="15"/>
      <c r="DC178" s="58"/>
      <c r="DD178" s="15"/>
      <c r="DE178" s="58"/>
      <c r="DF178" s="15"/>
      <c r="DG178" s="58"/>
      <c r="DH178" s="15"/>
      <c r="DI178" s="58"/>
      <c r="DJ178" s="15"/>
      <c r="DK178" s="58"/>
      <c r="DL178" s="15"/>
      <c r="DM178" s="58"/>
      <c r="DN178" s="15"/>
      <c r="DO178" s="58"/>
      <c r="DP178" s="15"/>
      <c r="DQ178" s="58"/>
      <c r="DR178" s="15"/>
      <c r="DS178" s="58"/>
      <c r="DT178" s="15"/>
      <c r="DU178" s="58"/>
      <c r="DV178" s="15"/>
      <c r="DW178" s="58"/>
      <c r="DX178" s="15"/>
      <c r="DY178" s="58"/>
      <c r="DZ178" s="15"/>
      <c r="EA178" s="58"/>
      <c r="EB178" s="15"/>
      <c r="EC178" s="58"/>
      <c r="ED178" s="15"/>
      <c r="EE178" s="217"/>
      <c r="EF178" s="8"/>
      <c r="EG178" s="312"/>
      <c r="EH178" s="236"/>
      <c r="EI178" s="224"/>
      <c r="EJ178" s="58"/>
      <c r="EK178" s="58"/>
      <c r="EL178" s="58"/>
      <c r="EM178" s="58"/>
      <c r="EN178" s="208"/>
      <c r="EO178" s="246"/>
      <c r="EP178" s="246"/>
      <c r="EQ178" s="246"/>
      <c r="ER178" s="246"/>
      <c r="ES178" s="246"/>
      <c r="ET178" s="246"/>
      <c r="EU178" s="246"/>
      <c r="EV178" s="246"/>
      <c r="EW178" s="246"/>
      <c r="EX178" s="246"/>
      <c r="EY178" s="246"/>
      <c r="EZ178" s="246"/>
      <c r="FA178" s="246"/>
      <c r="FB178" s="63">
        <f>MEDIAN(AA178,AE178)</f>
        <v>18501.541250000002</v>
      </c>
      <c r="FC178" s="63">
        <f>AVERAGE(AA178,AE178)</f>
        <v>18501.541250000002</v>
      </c>
      <c r="FD178" s="64">
        <f>STDEV(AA178,AE178)</f>
        <v>76.174845770271844</v>
      </c>
      <c r="FE178" s="65">
        <f t="shared" si="178"/>
        <v>4.1172162222037493E-3</v>
      </c>
      <c r="FF178" s="88">
        <f t="shared" si="180"/>
        <v>15547.899159663866</v>
      </c>
      <c r="FG178" s="88">
        <f t="shared" si="181"/>
        <v>2954.1008403361348</v>
      </c>
      <c r="FH178" s="74">
        <f t="shared" si="227"/>
        <v>18502</v>
      </c>
      <c r="FI178" s="260">
        <f t="shared" si="209"/>
        <v>1480160</v>
      </c>
      <c r="FJ178" s="60" t="s">
        <v>65</v>
      </c>
      <c r="FK178" s="343"/>
    </row>
    <row r="179" spans="1:167" s="40" customFormat="1" ht="116" x14ac:dyDescent="0.35">
      <c r="A179" s="36">
        <v>173</v>
      </c>
      <c r="B179" s="210" t="s">
        <v>377</v>
      </c>
      <c r="C179" s="210" t="s">
        <v>378</v>
      </c>
      <c r="D179" s="249" t="s">
        <v>64</v>
      </c>
      <c r="E179" s="220">
        <v>31</v>
      </c>
      <c r="F179" s="58"/>
      <c r="G179" s="58"/>
      <c r="H179" s="58"/>
      <c r="I179" s="58"/>
      <c r="J179" s="58"/>
      <c r="K179" s="58"/>
      <c r="L179" s="15"/>
      <c r="M179" s="58"/>
      <c r="N179" s="15"/>
      <c r="O179" s="58"/>
      <c r="P179" s="15">
        <v>40000</v>
      </c>
      <c r="Q179" s="58">
        <f t="shared" ref="Q179" si="230">+(P179*5.1%)+P179</f>
        <v>42040</v>
      </c>
      <c r="R179" s="15"/>
      <c r="S179" s="58"/>
      <c r="T179" s="15"/>
      <c r="U179" s="58"/>
      <c r="V179" s="15"/>
      <c r="W179" s="58"/>
      <c r="X179" s="15"/>
      <c r="Y179" s="58"/>
      <c r="Z179" s="15"/>
      <c r="AA179" s="58"/>
      <c r="AB179" s="15">
        <v>53000</v>
      </c>
      <c r="AC179" s="58">
        <f t="shared" ref="AC179" si="231">+(AB179*5.1%)+AB179</f>
        <v>55703</v>
      </c>
      <c r="AD179" s="58"/>
      <c r="AE179" s="58"/>
      <c r="AF179" s="15"/>
      <c r="AG179" s="58"/>
      <c r="AH179" s="15"/>
      <c r="AI179" s="58"/>
      <c r="AJ179" s="15"/>
      <c r="AK179" s="58"/>
      <c r="AL179" s="15"/>
      <c r="AM179" s="58"/>
      <c r="AN179" s="15"/>
      <c r="AO179" s="58"/>
      <c r="AP179" s="15"/>
      <c r="AQ179" s="58"/>
      <c r="AR179" s="15"/>
      <c r="AS179" s="58"/>
      <c r="AT179" s="15"/>
      <c r="AU179" s="58"/>
      <c r="AV179" s="15"/>
      <c r="AW179" s="58"/>
      <c r="AX179" s="15"/>
      <c r="AY179" s="58"/>
      <c r="AZ179" s="15"/>
      <c r="BA179" s="58"/>
      <c r="BB179" s="15"/>
      <c r="BC179" s="58"/>
      <c r="BD179" s="15"/>
      <c r="BE179" s="58"/>
      <c r="BF179" s="15"/>
      <c r="BG179" s="58"/>
      <c r="BH179" s="15"/>
      <c r="BI179" s="58"/>
      <c r="BJ179" s="15"/>
      <c r="BK179" s="58"/>
      <c r="BL179" s="15"/>
      <c r="BM179" s="58"/>
      <c r="BN179" s="15"/>
      <c r="BO179" s="58"/>
      <c r="BP179" s="15"/>
      <c r="BQ179" s="58"/>
      <c r="BR179" s="15"/>
      <c r="BS179" s="58"/>
      <c r="BT179" s="15"/>
      <c r="BU179" s="58"/>
      <c r="BV179" s="15"/>
      <c r="BW179" s="58"/>
      <c r="BX179" s="15"/>
      <c r="BY179" s="58"/>
      <c r="BZ179" s="15"/>
      <c r="CA179" s="58"/>
      <c r="CB179" s="15"/>
      <c r="CC179" s="58"/>
      <c r="CD179" s="15"/>
      <c r="CE179" s="58"/>
      <c r="CF179" s="15"/>
      <c r="CG179" s="58"/>
      <c r="CH179" s="15"/>
      <c r="CI179" s="58"/>
      <c r="CJ179" s="15"/>
      <c r="CK179" s="58">
        <f t="shared" ref="CK179" si="232">+(CJ179*5.1%)+CJ179</f>
        <v>0</v>
      </c>
      <c r="CL179" s="15"/>
      <c r="CM179" s="58"/>
      <c r="CN179" s="15"/>
      <c r="CO179" s="58"/>
      <c r="CP179" s="15"/>
      <c r="CQ179" s="58"/>
      <c r="CR179" s="15"/>
      <c r="CS179" s="58"/>
      <c r="CT179" s="15"/>
      <c r="CU179" s="58"/>
      <c r="CV179" s="15"/>
      <c r="CW179" s="58"/>
      <c r="CX179" s="15"/>
      <c r="CY179" s="58"/>
      <c r="CZ179" s="15"/>
      <c r="DA179" s="58"/>
      <c r="DB179" s="15"/>
      <c r="DC179" s="58"/>
      <c r="DD179" s="15"/>
      <c r="DE179" s="58"/>
      <c r="DF179" s="15"/>
      <c r="DG179" s="58"/>
      <c r="DH179" s="15"/>
      <c r="DI179" s="58"/>
      <c r="DJ179" s="15"/>
      <c r="DK179" s="58"/>
      <c r="DL179" s="15"/>
      <c r="DM179" s="58"/>
      <c r="DN179" s="15"/>
      <c r="DO179" s="58"/>
      <c r="DP179" s="15"/>
      <c r="DQ179" s="58"/>
      <c r="DR179" s="15"/>
      <c r="DS179" s="58"/>
      <c r="DT179" s="15"/>
      <c r="DU179" s="58"/>
      <c r="DV179" s="15"/>
      <c r="DW179" s="58"/>
      <c r="DX179" s="15"/>
      <c r="DY179" s="58"/>
      <c r="DZ179" s="15"/>
      <c r="EA179" s="58"/>
      <c r="EB179" s="15"/>
      <c r="EC179" s="58"/>
      <c r="ED179" s="15"/>
      <c r="EE179" s="217"/>
      <c r="EF179" s="53"/>
      <c r="EG179" s="315"/>
      <c r="EH179" s="323"/>
      <c r="EI179" s="225"/>
      <c r="EJ179" s="230"/>
      <c r="EK179" s="230"/>
      <c r="EL179" s="58"/>
      <c r="EM179" s="58"/>
      <c r="EN179" s="208" t="s">
        <v>209</v>
      </c>
      <c r="EO179" s="246" t="s">
        <v>209</v>
      </c>
      <c r="EP179" s="246" t="s">
        <v>209</v>
      </c>
      <c r="EQ179" s="246" t="s">
        <v>209</v>
      </c>
      <c r="ER179" s="246"/>
      <c r="ES179" s="246"/>
      <c r="ET179" s="246"/>
      <c r="EU179" s="246"/>
      <c r="EV179" s="246"/>
      <c r="EW179" s="246"/>
      <c r="EX179" s="246"/>
      <c r="EY179" s="246"/>
      <c r="EZ179" s="246"/>
      <c r="FA179" s="246"/>
      <c r="FB179" s="63">
        <f>MEDIAN(Q179,AC179)</f>
        <v>48871.5</v>
      </c>
      <c r="FC179" s="63">
        <f>AVERAGE(Q179,AC179)</f>
        <v>48871.5</v>
      </c>
      <c r="FD179" s="64">
        <f>STDEV(Q179,AC179)</f>
        <v>9661.1999513517985</v>
      </c>
      <c r="FE179" s="65">
        <f t="shared" si="178"/>
        <v>0.19768576678333585</v>
      </c>
      <c r="FF179" s="88">
        <f t="shared" si="180"/>
        <v>41068.907563025212</v>
      </c>
      <c r="FG179" s="88">
        <f t="shared" si="181"/>
        <v>7803.09243697479</v>
      </c>
      <c r="FH179" s="74">
        <f t="shared" si="227"/>
        <v>48872</v>
      </c>
      <c r="FI179" s="260">
        <f t="shared" si="209"/>
        <v>1515032</v>
      </c>
      <c r="FJ179" s="60" t="s">
        <v>66</v>
      </c>
      <c r="FK179" s="343"/>
    </row>
    <row r="180" spans="1:167" s="40" customFormat="1" ht="29" x14ac:dyDescent="0.35">
      <c r="A180" s="37">
        <v>174</v>
      </c>
      <c r="B180" s="210" t="s">
        <v>379</v>
      </c>
      <c r="C180" s="210" t="s">
        <v>380</v>
      </c>
      <c r="D180" s="249" t="s">
        <v>64</v>
      </c>
      <c r="E180" s="220">
        <v>50</v>
      </c>
      <c r="F180" s="58"/>
      <c r="G180" s="58"/>
      <c r="H180" s="58"/>
      <c r="I180" s="58"/>
      <c r="J180" s="58"/>
      <c r="K180" s="58"/>
      <c r="L180" s="15"/>
      <c r="M180" s="58"/>
      <c r="N180" s="15"/>
      <c r="O180" s="58"/>
      <c r="P180" s="15">
        <v>14000</v>
      </c>
      <c r="Q180" s="58">
        <f t="shared" ref="Q180" si="233">+(P180*5.1%)+P180</f>
        <v>14714</v>
      </c>
      <c r="R180" s="15"/>
      <c r="S180" s="58"/>
      <c r="T180" s="15"/>
      <c r="U180" s="58"/>
      <c r="V180" s="15"/>
      <c r="W180" s="58"/>
      <c r="X180" s="15"/>
      <c r="Y180" s="58"/>
      <c r="Z180" s="15"/>
      <c r="AA180" s="58"/>
      <c r="AB180" s="15">
        <v>17000</v>
      </c>
      <c r="AC180" s="58">
        <f t="shared" ref="AC180" si="234">+(AB180*5.1%)+AB180</f>
        <v>17867</v>
      </c>
      <c r="AD180" s="58"/>
      <c r="AE180" s="58"/>
      <c r="AF180" s="15"/>
      <c r="AG180" s="58"/>
      <c r="AH180" s="15"/>
      <c r="AI180" s="58"/>
      <c r="AJ180" s="15"/>
      <c r="AK180" s="58"/>
      <c r="AL180" s="15"/>
      <c r="AM180" s="58"/>
      <c r="AN180" s="15"/>
      <c r="AO180" s="58"/>
      <c r="AP180" s="15"/>
      <c r="AQ180" s="58"/>
      <c r="AR180" s="15"/>
      <c r="AS180" s="58"/>
      <c r="AT180" s="15"/>
      <c r="AU180" s="58"/>
      <c r="AV180" s="15"/>
      <c r="AW180" s="58"/>
      <c r="AX180" s="15"/>
      <c r="AY180" s="58"/>
      <c r="AZ180" s="15"/>
      <c r="BA180" s="58"/>
      <c r="BB180" s="15"/>
      <c r="BC180" s="58"/>
      <c r="BD180" s="15"/>
      <c r="BE180" s="58"/>
      <c r="BF180" s="15"/>
      <c r="BG180" s="58"/>
      <c r="BH180" s="15"/>
      <c r="BI180" s="58"/>
      <c r="BJ180" s="15"/>
      <c r="BK180" s="58"/>
      <c r="BL180" s="15"/>
      <c r="BM180" s="58"/>
      <c r="BN180" s="15"/>
      <c r="BO180" s="58"/>
      <c r="BP180" s="15"/>
      <c r="BQ180" s="58"/>
      <c r="BR180" s="15"/>
      <c r="BS180" s="58"/>
      <c r="BT180" s="15"/>
      <c r="BU180" s="58"/>
      <c r="BV180" s="15"/>
      <c r="BW180" s="58"/>
      <c r="BX180" s="15"/>
      <c r="BY180" s="58"/>
      <c r="BZ180" s="15"/>
      <c r="CA180" s="58"/>
      <c r="CB180" s="15"/>
      <c r="CC180" s="58"/>
      <c r="CD180" s="15"/>
      <c r="CE180" s="58"/>
      <c r="CF180" s="15"/>
      <c r="CG180" s="58"/>
      <c r="CH180" s="15"/>
      <c r="CI180" s="58"/>
      <c r="CJ180" s="15"/>
      <c r="CK180" s="58"/>
      <c r="CL180" s="15"/>
      <c r="CM180" s="58"/>
      <c r="CN180" s="15"/>
      <c r="CO180" s="58"/>
      <c r="CP180" s="15"/>
      <c r="CQ180" s="58"/>
      <c r="CR180" s="15"/>
      <c r="CS180" s="58"/>
      <c r="CT180" s="15"/>
      <c r="CU180" s="58"/>
      <c r="CV180" s="15"/>
      <c r="CW180" s="58"/>
      <c r="CX180" s="15"/>
      <c r="CY180" s="58"/>
      <c r="CZ180" s="15"/>
      <c r="DA180" s="58"/>
      <c r="DB180" s="15"/>
      <c r="DC180" s="58"/>
      <c r="DD180" s="15"/>
      <c r="DE180" s="58"/>
      <c r="DF180" s="15"/>
      <c r="DG180" s="58"/>
      <c r="DH180" s="15"/>
      <c r="DI180" s="58"/>
      <c r="DJ180" s="15"/>
      <c r="DK180" s="58"/>
      <c r="DL180" s="15"/>
      <c r="DM180" s="58"/>
      <c r="DN180" s="15"/>
      <c r="DO180" s="58"/>
      <c r="DP180" s="15"/>
      <c r="DQ180" s="58"/>
      <c r="DR180" s="15"/>
      <c r="DS180" s="58"/>
      <c r="DT180" s="15"/>
      <c r="DU180" s="58"/>
      <c r="DV180" s="15"/>
      <c r="DW180" s="58"/>
      <c r="DX180" s="15"/>
      <c r="DY180" s="58"/>
      <c r="DZ180" s="15"/>
      <c r="EA180" s="58"/>
      <c r="EB180" s="15"/>
      <c r="EC180" s="58"/>
      <c r="ED180" s="15"/>
      <c r="EE180" s="217"/>
      <c r="EF180" s="222"/>
      <c r="EG180" s="56"/>
      <c r="EH180" s="222"/>
      <c r="EI180" s="58"/>
      <c r="EJ180" s="58"/>
      <c r="EK180" s="58"/>
      <c r="EL180" s="58"/>
      <c r="EM180" s="58"/>
      <c r="EN180" s="208"/>
      <c r="EO180" s="246"/>
      <c r="EP180" s="246"/>
      <c r="EQ180" s="246"/>
      <c r="ER180" s="246"/>
      <c r="ES180" s="246"/>
      <c r="ET180" s="246"/>
      <c r="EU180" s="246"/>
      <c r="EV180" s="246"/>
      <c r="EW180" s="246"/>
      <c r="EX180" s="246"/>
      <c r="EY180" s="246"/>
      <c r="EZ180" s="246"/>
      <c r="FA180" s="246"/>
      <c r="FB180" s="63">
        <f>MEDIAN(Q180,AC180)</f>
        <v>16290.5</v>
      </c>
      <c r="FC180" s="63">
        <f>AVERAGE(Q180,AC180)</f>
        <v>16290.5</v>
      </c>
      <c r="FD180" s="64">
        <f>STDEV(Q180,AC180)</f>
        <v>2229.5076810811843</v>
      </c>
      <c r="FE180" s="65">
        <f t="shared" si="178"/>
        <v>0.1368593770038479</v>
      </c>
      <c r="FF180" s="88">
        <f t="shared" si="180"/>
        <v>13689.915966386556</v>
      </c>
      <c r="FG180" s="88">
        <f t="shared" si="181"/>
        <v>2601.0840336134456</v>
      </c>
      <c r="FH180" s="74">
        <f t="shared" si="227"/>
        <v>16291</v>
      </c>
      <c r="FI180" s="260">
        <f t="shared" si="209"/>
        <v>814550</v>
      </c>
      <c r="FJ180" s="60" t="s">
        <v>65</v>
      </c>
      <c r="FK180" s="343"/>
    </row>
    <row r="181" spans="1:167" s="40" customFormat="1" ht="58" x14ac:dyDescent="0.35">
      <c r="A181" s="37">
        <v>175</v>
      </c>
      <c r="B181" s="210" t="s">
        <v>381</v>
      </c>
      <c r="C181" s="210" t="s">
        <v>382</v>
      </c>
      <c r="D181" s="249" t="s">
        <v>212</v>
      </c>
      <c r="E181" s="220">
        <v>40</v>
      </c>
      <c r="F181" s="58"/>
      <c r="G181" s="58"/>
      <c r="H181" s="58"/>
      <c r="I181" s="58"/>
      <c r="J181" s="58"/>
      <c r="K181" s="58"/>
      <c r="L181" s="15"/>
      <c r="M181" s="58"/>
      <c r="N181" s="15">
        <v>15000</v>
      </c>
      <c r="O181" s="58">
        <f t="shared" ref="O181" si="235">+(N181*5.1%)+N181</f>
        <v>15765</v>
      </c>
      <c r="P181" s="15"/>
      <c r="Q181" s="58"/>
      <c r="R181" s="15"/>
      <c r="S181" s="58"/>
      <c r="T181" s="15"/>
      <c r="U181" s="58"/>
      <c r="V181" s="15"/>
      <c r="W181" s="58"/>
      <c r="X181" s="15"/>
      <c r="Y181" s="58"/>
      <c r="Z181" s="15"/>
      <c r="AA181" s="58"/>
      <c r="AB181" s="15"/>
      <c r="AC181" s="58"/>
      <c r="AD181" s="58">
        <v>22326.78</v>
      </c>
      <c r="AE181" s="58">
        <f t="shared" ref="AE181" si="236">+(AD181*5.1%)+AD181</f>
        <v>23465.445779999998</v>
      </c>
      <c r="AF181" s="15"/>
      <c r="AG181" s="58"/>
      <c r="AH181" s="15"/>
      <c r="AI181" s="58"/>
      <c r="AJ181" s="15"/>
      <c r="AK181" s="58"/>
      <c r="AL181" s="15"/>
      <c r="AM181" s="58"/>
      <c r="AN181" s="15"/>
      <c r="AO181" s="58"/>
      <c r="AP181" s="15"/>
      <c r="AQ181" s="58"/>
      <c r="AR181" s="15"/>
      <c r="AS181" s="58"/>
      <c r="AT181" s="15"/>
      <c r="AU181" s="58"/>
      <c r="AV181" s="15"/>
      <c r="AW181" s="58"/>
      <c r="AX181" s="15"/>
      <c r="AY181" s="58"/>
      <c r="AZ181" s="15"/>
      <c r="BA181" s="58"/>
      <c r="BB181" s="15"/>
      <c r="BC181" s="58"/>
      <c r="BD181" s="15"/>
      <c r="BE181" s="58"/>
      <c r="BF181" s="15"/>
      <c r="BG181" s="58"/>
      <c r="BH181" s="15"/>
      <c r="BI181" s="58"/>
      <c r="BJ181" s="15"/>
      <c r="BK181" s="58"/>
      <c r="BL181" s="15"/>
      <c r="BM181" s="58"/>
      <c r="BN181" s="15"/>
      <c r="BO181" s="58"/>
      <c r="BP181" s="15"/>
      <c r="BQ181" s="58"/>
      <c r="BR181" s="15"/>
      <c r="BS181" s="58"/>
      <c r="BT181" s="15"/>
      <c r="BU181" s="58"/>
      <c r="BV181" s="15"/>
      <c r="BW181" s="58"/>
      <c r="BX181" s="15"/>
      <c r="BY181" s="58"/>
      <c r="BZ181" s="15"/>
      <c r="CA181" s="58"/>
      <c r="CB181" s="15"/>
      <c r="CC181" s="58"/>
      <c r="CD181" s="15"/>
      <c r="CE181" s="58"/>
      <c r="CF181" s="15"/>
      <c r="CG181" s="58"/>
      <c r="CH181" s="15"/>
      <c r="CI181" s="58"/>
      <c r="CJ181" s="15"/>
      <c r="CK181" s="58"/>
      <c r="CL181" s="15"/>
      <c r="CM181" s="58"/>
      <c r="CN181" s="15"/>
      <c r="CO181" s="58"/>
      <c r="CP181" s="15"/>
      <c r="CQ181" s="58"/>
      <c r="CR181" s="15"/>
      <c r="CS181" s="58"/>
      <c r="CT181" s="15"/>
      <c r="CU181" s="58"/>
      <c r="CV181" s="15"/>
      <c r="CW181" s="58"/>
      <c r="CX181" s="15"/>
      <c r="CY181" s="58"/>
      <c r="CZ181" s="15"/>
      <c r="DA181" s="58"/>
      <c r="DB181" s="15"/>
      <c r="DC181" s="58"/>
      <c r="DD181" s="15"/>
      <c r="DE181" s="58"/>
      <c r="DF181" s="15"/>
      <c r="DG181" s="58"/>
      <c r="DH181" s="15"/>
      <c r="DI181" s="58"/>
      <c r="DJ181" s="15"/>
      <c r="DK181" s="58"/>
      <c r="DL181" s="15"/>
      <c r="DM181" s="58"/>
      <c r="DN181" s="15"/>
      <c r="DO181" s="58"/>
      <c r="DP181" s="15"/>
      <c r="DQ181" s="58"/>
      <c r="DR181" s="15"/>
      <c r="DS181" s="58"/>
      <c r="DT181" s="15"/>
      <c r="DU181" s="58"/>
      <c r="DV181" s="15"/>
      <c r="DW181" s="58"/>
      <c r="DX181" s="15"/>
      <c r="DY181" s="58"/>
      <c r="DZ181" s="15"/>
      <c r="EA181" s="58"/>
      <c r="EB181" s="15"/>
      <c r="EC181" s="58"/>
      <c r="ED181" s="15"/>
      <c r="EE181" s="217"/>
      <c r="EF181" s="222"/>
      <c r="EG181" s="56"/>
      <c r="EH181" s="222"/>
      <c r="EI181" s="58"/>
      <c r="EJ181" s="58"/>
      <c r="EK181" s="58"/>
      <c r="EL181" s="58"/>
      <c r="EM181" s="58"/>
      <c r="EN181" s="208" t="s">
        <v>209</v>
      </c>
      <c r="EO181" s="246" t="s">
        <v>209</v>
      </c>
      <c r="EP181" s="246" t="s">
        <v>209</v>
      </c>
      <c r="EQ181" s="246" t="s">
        <v>209</v>
      </c>
      <c r="ER181" s="246"/>
      <c r="ES181" s="246"/>
      <c r="ET181" s="246"/>
      <c r="EU181" s="246"/>
      <c r="EV181" s="246"/>
      <c r="EW181" s="246"/>
      <c r="EX181" s="246"/>
      <c r="EY181" s="246"/>
      <c r="EZ181" s="246"/>
      <c r="FA181" s="246"/>
      <c r="FB181" s="63">
        <f>MEDIAN(O181,AE181)</f>
        <v>19615.222889999997</v>
      </c>
      <c r="FC181" s="63">
        <f>AVERAGE(O181,AE181)</f>
        <v>19615.222889999997</v>
      </c>
      <c r="FD181" s="64">
        <f>STDEV(O181,AE181)</f>
        <v>5445.0374291973449</v>
      </c>
      <c r="FE181" s="65">
        <f t="shared" si="178"/>
        <v>0.2775924321498926</v>
      </c>
      <c r="FF181" s="88">
        <f t="shared" si="180"/>
        <v>16484.033613445379</v>
      </c>
      <c r="FG181" s="88">
        <f t="shared" si="181"/>
        <v>3131.9663865546222</v>
      </c>
      <c r="FH181" s="74">
        <f t="shared" si="227"/>
        <v>19616</v>
      </c>
      <c r="FI181" s="260">
        <f t="shared" si="209"/>
        <v>784640</v>
      </c>
      <c r="FJ181" s="60" t="s">
        <v>66</v>
      </c>
      <c r="FK181" s="343"/>
    </row>
    <row r="182" spans="1:167" s="40" customFormat="1" ht="29" x14ac:dyDescent="0.35">
      <c r="A182" s="36">
        <v>176</v>
      </c>
      <c r="B182" s="210" t="s">
        <v>383</v>
      </c>
      <c r="C182" s="210" t="s">
        <v>384</v>
      </c>
      <c r="D182" s="249" t="s">
        <v>590</v>
      </c>
      <c r="E182" s="220">
        <v>50</v>
      </c>
      <c r="F182" s="58"/>
      <c r="G182" s="58"/>
      <c r="H182" s="58"/>
      <c r="I182" s="58"/>
      <c r="J182" s="58"/>
      <c r="K182" s="58"/>
      <c r="L182" s="15"/>
      <c r="M182" s="58"/>
      <c r="N182" s="15">
        <v>4000</v>
      </c>
      <c r="O182" s="58">
        <f t="shared" ref="O182" si="237">+(N182*5.1%)+N182</f>
        <v>4204</v>
      </c>
      <c r="P182" s="15">
        <v>4000</v>
      </c>
      <c r="Q182" s="58">
        <f t="shared" ref="Q182" si="238">+(P182*5.1%)+P182</f>
        <v>4204</v>
      </c>
      <c r="R182" s="15"/>
      <c r="S182" s="58"/>
      <c r="T182" s="15"/>
      <c r="U182" s="58"/>
      <c r="V182" s="15"/>
      <c r="W182" s="58"/>
      <c r="X182" s="15"/>
      <c r="Y182" s="58"/>
      <c r="Z182" s="15"/>
      <c r="AA182" s="58"/>
      <c r="AB182" s="15"/>
      <c r="AC182" s="58"/>
      <c r="AD182" s="58"/>
      <c r="AE182" s="58"/>
      <c r="AF182" s="15"/>
      <c r="AG182" s="58"/>
      <c r="AH182" s="15"/>
      <c r="AI182" s="58"/>
      <c r="AJ182" s="15"/>
      <c r="AK182" s="58"/>
      <c r="AL182" s="15"/>
      <c r="AM182" s="58"/>
      <c r="AN182" s="15"/>
      <c r="AO182" s="58"/>
      <c r="AP182" s="15"/>
      <c r="AQ182" s="58"/>
      <c r="AR182" s="15"/>
      <c r="AS182" s="58"/>
      <c r="AT182" s="15"/>
      <c r="AU182" s="58"/>
      <c r="AV182" s="15"/>
      <c r="AW182" s="58"/>
      <c r="AX182" s="15"/>
      <c r="AY182" s="58"/>
      <c r="AZ182" s="15"/>
      <c r="BA182" s="58"/>
      <c r="BB182" s="15"/>
      <c r="BC182" s="58"/>
      <c r="BD182" s="15"/>
      <c r="BE182" s="58"/>
      <c r="BF182" s="15"/>
      <c r="BG182" s="58"/>
      <c r="BH182" s="15"/>
      <c r="BI182" s="58"/>
      <c r="BJ182" s="15"/>
      <c r="BK182" s="58"/>
      <c r="BL182" s="15"/>
      <c r="BM182" s="58"/>
      <c r="BN182" s="15"/>
      <c r="BO182" s="58"/>
      <c r="BP182" s="15"/>
      <c r="BQ182" s="58"/>
      <c r="BR182" s="15"/>
      <c r="BS182" s="58"/>
      <c r="BT182" s="15"/>
      <c r="BU182" s="58"/>
      <c r="BV182" s="15"/>
      <c r="BW182" s="58"/>
      <c r="BX182" s="15"/>
      <c r="BY182" s="58"/>
      <c r="BZ182" s="15"/>
      <c r="CA182" s="58"/>
      <c r="CB182" s="15"/>
      <c r="CC182" s="58"/>
      <c r="CD182" s="15"/>
      <c r="CE182" s="58"/>
      <c r="CF182" s="15"/>
      <c r="CG182" s="58"/>
      <c r="CH182" s="15"/>
      <c r="CI182" s="58"/>
      <c r="CJ182" s="15"/>
      <c r="CK182" s="58"/>
      <c r="CL182" s="15"/>
      <c r="CM182" s="58"/>
      <c r="CN182" s="15"/>
      <c r="CO182" s="58"/>
      <c r="CP182" s="15"/>
      <c r="CQ182" s="58"/>
      <c r="CR182" s="15"/>
      <c r="CS182" s="58"/>
      <c r="CT182" s="15"/>
      <c r="CU182" s="58"/>
      <c r="CV182" s="15"/>
      <c r="CW182" s="58"/>
      <c r="CX182" s="15"/>
      <c r="CY182" s="58"/>
      <c r="CZ182" s="15"/>
      <c r="DA182" s="58"/>
      <c r="DB182" s="15"/>
      <c r="DC182" s="58"/>
      <c r="DD182" s="15"/>
      <c r="DE182" s="58"/>
      <c r="DF182" s="15"/>
      <c r="DG182" s="58"/>
      <c r="DH182" s="15"/>
      <c r="DI182" s="58"/>
      <c r="DJ182" s="15"/>
      <c r="DK182" s="58"/>
      <c r="DL182" s="15"/>
      <c r="DM182" s="58"/>
      <c r="DN182" s="15"/>
      <c r="DO182" s="58"/>
      <c r="DP182" s="15"/>
      <c r="DQ182" s="58"/>
      <c r="DR182" s="15"/>
      <c r="DS182" s="58"/>
      <c r="DT182" s="15"/>
      <c r="DU182" s="58"/>
      <c r="DV182" s="15"/>
      <c r="DW182" s="58"/>
      <c r="DX182" s="15"/>
      <c r="DY182" s="58"/>
      <c r="DZ182" s="15"/>
      <c r="EA182" s="58"/>
      <c r="EB182" s="15"/>
      <c r="EC182" s="58"/>
      <c r="ED182" s="15"/>
      <c r="EE182" s="217"/>
      <c r="EF182" s="222"/>
      <c r="EG182" s="56"/>
      <c r="EH182" s="222"/>
      <c r="EI182" s="58"/>
      <c r="EJ182" s="58"/>
      <c r="EK182" s="58"/>
      <c r="EL182" s="58"/>
      <c r="EM182" s="58"/>
      <c r="EN182" s="208" t="s">
        <v>209</v>
      </c>
      <c r="EO182" s="246" t="s">
        <v>209</v>
      </c>
      <c r="EP182" s="246" t="s">
        <v>209</v>
      </c>
      <c r="EQ182" s="246" t="s">
        <v>209</v>
      </c>
      <c r="ER182" s="246"/>
      <c r="ES182" s="246"/>
      <c r="ET182" s="246"/>
      <c r="EU182" s="246"/>
      <c r="EV182" s="246"/>
      <c r="EW182" s="246"/>
      <c r="EX182" s="246"/>
      <c r="EY182" s="246"/>
      <c r="EZ182" s="246"/>
      <c r="FA182" s="246"/>
      <c r="FB182" s="63">
        <f>MEDIAN(O182,Q182)</f>
        <v>4204</v>
      </c>
      <c r="FC182" s="63">
        <f>AVERAGE(O182,Q182)</f>
        <v>4204</v>
      </c>
      <c r="FD182" s="64">
        <f>STDEV(O182,Q182)</f>
        <v>0</v>
      </c>
      <c r="FE182" s="65">
        <f t="shared" si="178"/>
        <v>0</v>
      </c>
      <c r="FF182" s="88">
        <f t="shared" si="180"/>
        <v>3532.7731092436975</v>
      </c>
      <c r="FG182" s="88">
        <f t="shared" si="181"/>
        <v>671.22689075630251</v>
      </c>
      <c r="FH182" s="74">
        <f t="shared" si="227"/>
        <v>4204</v>
      </c>
      <c r="FI182" s="260">
        <f t="shared" si="209"/>
        <v>210200</v>
      </c>
      <c r="FJ182" s="60" t="s">
        <v>65</v>
      </c>
      <c r="FK182" s="343"/>
    </row>
    <row r="183" spans="1:167" s="40" customFormat="1" ht="29" x14ac:dyDescent="0.35">
      <c r="A183" s="36">
        <v>177</v>
      </c>
      <c r="B183" s="210" t="s">
        <v>385</v>
      </c>
      <c r="C183" s="210" t="s">
        <v>386</v>
      </c>
      <c r="D183" s="249" t="s">
        <v>64</v>
      </c>
      <c r="E183" s="220">
        <v>50</v>
      </c>
      <c r="F183" s="58"/>
      <c r="G183" s="58"/>
      <c r="H183" s="58"/>
      <c r="I183" s="58"/>
      <c r="J183" s="58"/>
      <c r="K183" s="58"/>
      <c r="L183" s="15"/>
      <c r="M183" s="58"/>
      <c r="N183" s="15">
        <v>5000</v>
      </c>
      <c r="O183" s="58">
        <f t="shared" ref="O183" si="239">+(N183*5.1%)+N183</f>
        <v>5255</v>
      </c>
      <c r="P183" s="15">
        <v>5000</v>
      </c>
      <c r="Q183" s="58">
        <f t="shared" ref="Q183" si="240">+(P183*5.1%)+P183</f>
        <v>5255</v>
      </c>
      <c r="R183" s="15"/>
      <c r="S183" s="58"/>
      <c r="T183" s="15"/>
      <c r="U183" s="58"/>
      <c r="V183" s="15"/>
      <c r="W183" s="58"/>
      <c r="X183" s="15"/>
      <c r="Y183" s="58"/>
      <c r="Z183" s="15"/>
      <c r="AA183" s="58"/>
      <c r="AB183" s="15"/>
      <c r="AC183" s="58"/>
      <c r="AD183" s="58">
        <v>5195.54</v>
      </c>
      <c r="AE183" s="58">
        <f t="shared" ref="AE183" si="241">+(AD183*5.1%)+AD183</f>
        <v>5460.5125399999997</v>
      </c>
      <c r="AF183" s="15"/>
      <c r="AG183" s="58"/>
      <c r="AH183" s="15"/>
      <c r="AI183" s="58"/>
      <c r="AJ183" s="15"/>
      <c r="AK183" s="58"/>
      <c r="AL183" s="15"/>
      <c r="AM183" s="58"/>
      <c r="AN183" s="15"/>
      <c r="AO183" s="58"/>
      <c r="AP183" s="15"/>
      <c r="AQ183" s="58"/>
      <c r="AR183" s="15"/>
      <c r="AS183" s="58"/>
      <c r="AT183" s="15"/>
      <c r="AU183" s="58"/>
      <c r="AV183" s="15"/>
      <c r="AW183" s="58"/>
      <c r="AX183" s="15"/>
      <c r="AY183" s="58"/>
      <c r="AZ183" s="15"/>
      <c r="BA183" s="58"/>
      <c r="BB183" s="15"/>
      <c r="BC183" s="58"/>
      <c r="BD183" s="15"/>
      <c r="BE183" s="58"/>
      <c r="BF183" s="15"/>
      <c r="BG183" s="58"/>
      <c r="BH183" s="15"/>
      <c r="BI183" s="58"/>
      <c r="BJ183" s="15"/>
      <c r="BK183" s="58"/>
      <c r="BL183" s="15"/>
      <c r="BM183" s="58"/>
      <c r="BN183" s="15"/>
      <c r="BO183" s="58"/>
      <c r="BP183" s="15"/>
      <c r="BQ183" s="58"/>
      <c r="BR183" s="15"/>
      <c r="BS183" s="58"/>
      <c r="BT183" s="15"/>
      <c r="BU183" s="58"/>
      <c r="BV183" s="15"/>
      <c r="BW183" s="58"/>
      <c r="BX183" s="15"/>
      <c r="BY183" s="58"/>
      <c r="BZ183" s="15"/>
      <c r="CA183" s="58"/>
      <c r="CB183" s="15"/>
      <c r="CC183" s="58"/>
      <c r="CD183" s="15"/>
      <c r="CE183" s="58"/>
      <c r="CF183" s="15"/>
      <c r="CG183" s="58"/>
      <c r="CH183" s="15"/>
      <c r="CI183" s="58"/>
      <c r="CJ183" s="15"/>
      <c r="CK183" s="58"/>
      <c r="CL183" s="15"/>
      <c r="CM183" s="58"/>
      <c r="CN183" s="15"/>
      <c r="CO183" s="58"/>
      <c r="CP183" s="15"/>
      <c r="CQ183" s="58"/>
      <c r="CR183" s="15"/>
      <c r="CS183" s="58"/>
      <c r="CT183" s="15"/>
      <c r="CU183" s="58"/>
      <c r="CV183" s="15"/>
      <c r="CW183" s="58"/>
      <c r="CX183" s="15"/>
      <c r="CY183" s="58"/>
      <c r="CZ183" s="15"/>
      <c r="DA183" s="58"/>
      <c r="DB183" s="15"/>
      <c r="DC183" s="58"/>
      <c r="DD183" s="15"/>
      <c r="DE183" s="58"/>
      <c r="DF183" s="15"/>
      <c r="DG183" s="58"/>
      <c r="DH183" s="15"/>
      <c r="DI183" s="58"/>
      <c r="DJ183" s="15"/>
      <c r="DK183" s="58"/>
      <c r="DL183" s="15"/>
      <c r="DM183" s="58"/>
      <c r="DN183" s="15"/>
      <c r="DO183" s="58"/>
      <c r="DP183" s="15"/>
      <c r="DQ183" s="58"/>
      <c r="DR183" s="15"/>
      <c r="DS183" s="58"/>
      <c r="DT183" s="15"/>
      <c r="DU183" s="58"/>
      <c r="DV183" s="15"/>
      <c r="DW183" s="58"/>
      <c r="DX183" s="15"/>
      <c r="DY183" s="58"/>
      <c r="DZ183" s="15"/>
      <c r="EA183" s="58"/>
      <c r="EB183" s="15"/>
      <c r="EC183" s="58"/>
      <c r="ED183" s="15"/>
      <c r="EE183" s="217"/>
      <c r="EF183" s="222"/>
      <c r="EG183" s="56"/>
      <c r="EH183" s="222"/>
      <c r="EI183" s="58"/>
      <c r="EJ183" s="58"/>
      <c r="EK183" s="58"/>
      <c r="EL183" s="58"/>
      <c r="EM183" s="58"/>
      <c r="EN183" s="208" t="s">
        <v>209</v>
      </c>
      <c r="EO183" s="246" t="s">
        <v>209</v>
      </c>
      <c r="EP183" s="246" t="s">
        <v>209</v>
      </c>
      <c r="EQ183" s="246" t="s">
        <v>209</v>
      </c>
      <c r="ER183" s="246"/>
      <c r="ES183" s="246"/>
      <c r="ET183" s="246"/>
      <c r="EU183" s="246"/>
      <c r="EV183" s="246"/>
      <c r="EW183" s="246"/>
      <c r="EX183" s="246"/>
      <c r="EY183" s="246"/>
      <c r="EZ183" s="246"/>
      <c r="FA183" s="246"/>
      <c r="FB183" s="63">
        <f>MEDIAN(O183,Q183,AE183)</f>
        <v>5255</v>
      </c>
      <c r="FC183" s="63">
        <f>AVERAGE(O183,Q183,AE183)</f>
        <v>5323.5041799999999</v>
      </c>
      <c r="FD183" s="64">
        <f>STDEV(O183,Q183,AE183)</f>
        <v>118.65272029084356</v>
      </c>
      <c r="FE183" s="65">
        <f t="shared" si="178"/>
        <v>2.2288461937648663E-2</v>
      </c>
      <c r="FF183" s="88">
        <f t="shared" si="180"/>
        <v>4473.9495798319331</v>
      </c>
      <c r="FG183" s="88">
        <f t="shared" si="181"/>
        <v>850.05042016806726</v>
      </c>
      <c r="FH183" s="74">
        <f t="shared" si="227"/>
        <v>5324</v>
      </c>
      <c r="FI183" s="260">
        <f t="shared" si="209"/>
        <v>266200</v>
      </c>
      <c r="FJ183" s="60" t="s">
        <v>65</v>
      </c>
      <c r="FK183" s="343"/>
    </row>
    <row r="184" spans="1:167" s="40" customFormat="1" ht="130.5" x14ac:dyDescent="0.35">
      <c r="A184" s="37">
        <v>178</v>
      </c>
      <c r="B184" s="210" t="s">
        <v>387</v>
      </c>
      <c r="C184" s="210" t="s">
        <v>388</v>
      </c>
      <c r="D184" s="249" t="s">
        <v>64</v>
      </c>
      <c r="E184" s="220">
        <v>13</v>
      </c>
      <c r="F184" s="58"/>
      <c r="G184" s="58"/>
      <c r="H184" s="58"/>
      <c r="I184" s="58"/>
      <c r="J184" s="58"/>
      <c r="K184" s="58"/>
      <c r="L184" s="15"/>
      <c r="M184" s="58"/>
      <c r="N184" s="15"/>
      <c r="O184" s="58"/>
      <c r="P184" s="15"/>
      <c r="Q184" s="58"/>
      <c r="R184" s="15"/>
      <c r="S184" s="58"/>
      <c r="T184" s="15"/>
      <c r="U184" s="58"/>
      <c r="V184" s="15"/>
      <c r="W184" s="58"/>
      <c r="X184" s="15"/>
      <c r="Y184" s="58"/>
      <c r="Z184" s="15">
        <v>2772</v>
      </c>
      <c r="AA184" s="58">
        <f t="shared" ref="AA184" si="242">+(Z184*5.1%)+Z184</f>
        <v>2913.3719999999998</v>
      </c>
      <c r="AB184" s="15">
        <v>2142</v>
      </c>
      <c r="AC184" s="58">
        <f t="shared" ref="AC184" si="243">+(AB184*5.1%)+AB184</f>
        <v>2251.2420000000002</v>
      </c>
      <c r="AD184" s="58"/>
      <c r="AE184" s="58"/>
      <c r="AF184" s="15"/>
      <c r="AG184" s="58"/>
      <c r="AH184" s="15"/>
      <c r="AI184" s="58"/>
      <c r="AJ184" s="15"/>
      <c r="AK184" s="58"/>
      <c r="AL184" s="15"/>
      <c r="AM184" s="58"/>
      <c r="AN184" s="15"/>
      <c r="AO184" s="58"/>
      <c r="AP184" s="15"/>
      <c r="AQ184" s="58"/>
      <c r="AR184" s="15"/>
      <c r="AS184" s="58"/>
      <c r="AT184" s="15"/>
      <c r="AU184" s="58"/>
      <c r="AV184" s="15"/>
      <c r="AW184" s="58"/>
      <c r="AX184" s="15"/>
      <c r="AY184" s="58"/>
      <c r="AZ184" s="15"/>
      <c r="BA184" s="58"/>
      <c r="BB184" s="15"/>
      <c r="BC184" s="58"/>
      <c r="BD184" s="15"/>
      <c r="BE184" s="58"/>
      <c r="BF184" s="15"/>
      <c r="BG184" s="58"/>
      <c r="BH184" s="15"/>
      <c r="BI184" s="58"/>
      <c r="BJ184" s="15"/>
      <c r="BK184" s="58"/>
      <c r="BL184" s="15"/>
      <c r="BM184" s="58"/>
      <c r="BN184" s="15"/>
      <c r="BO184" s="58"/>
      <c r="BP184" s="15"/>
      <c r="BQ184" s="58"/>
      <c r="BR184" s="15"/>
      <c r="BS184" s="58"/>
      <c r="BT184" s="15"/>
      <c r="BU184" s="58"/>
      <c r="BV184" s="15"/>
      <c r="BW184" s="58"/>
      <c r="BX184" s="15"/>
      <c r="BY184" s="58"/>
      <c r="BZ184" s="15"/>
      <c r="CA184" s="58"/>
      <c r="CB184" s="15"/>
      <c r="CC184" s="58"/>
      <c r="CD184" s="15"/>
      <c r="CE184" s="58"/>
      <c r="CF184" s="15"/>
      <c r="CG184" s="58"/>
      <c r="CH184" s="15"/>
      <c r="CI184" s="58"/>
      <c r="CJ184" s="15"/>
      <c r="CK184" s="58"/>
      <c r="CL184" s="15"/>
      <c r="CM184" s="58"/>
      <c r="CN184" s="15"/>
      <c r="CO184" s="58"/>
      <c r="CP184" s="15"/>
      <c r="CQ184" s="58"/>
      <c r="CR184" s="15"/>
      <c r="CS184" s="58"/>
      <c r="CT184" s="15"/>
      <c r="CU184" s="58"/>
      <c r="CV184" s="15"/>
      <c r="CW184" s="58"/>
      <c r="CX184" s="15"/>
      <c r="CY184" s="58"/>
      <c r="CZ184" s="15"/>
      <c r="DA184" s="58"/>
      <c r="DB184" s="15"/>
      <c r="DC184" s="58"/>
      <c r="DD184" s="15"/>
      <c r="DE184" s="58"/>
      <c r="DF184" s="15"/>
      <c r="DG184" s="58"/>
      <c r="DH184" s="15"/>
      <c r="DI184" s="58"/>
      <c r="DJ184" s="15"/>
      <c r="DK184" s="58"/>
      <c r="DL184" s="15"/>
      <c r="DM184" s="58"/>
      <c r="DN184" s="15"/>
      <c r="DO184" s="58"/>
      <c r="DP184" s="15"/>
      <c r="DQ184" s="58"/>
      <c r="DR184" s="15"/>
      <c r="DS184" s="58"/>
      <c r="DT184" s="15"/>
      <c r="DU184" s="58"/>
      <c r="DV184" s="15"/>
      <c r="DW184" s="58"/>
      <c r="DX184" s="15"/>
      <c r="DY184" s="58"/>
      <c r="DZ184" s="15"/>
      <c r="EA184" s="58"/>
      <c r="EB184" s="15"/>
      <c r="EC184" s="58"/>
      <c r="ED184" s="15"/>
      <c r="EE184" s="217"/>
      <c r="EF184" s="8"/>
      <c r="EG184" s="324"/>
      <c r="EH184" s="8"/>
      <c r="EI184" s="58"/>
      <c r="EJ184" s="58"/>
      <c r="EK184" s="58"/>
      <c r="EL184" s="58"/>
      <c r="EM184" s="58"/>
      <c r="EN184" s="208"/>
      <c r="EO184" s="246"/>
      <c r="EP184" s="246"/>
      <c r="EQ184" s="246"/>
      <c r="ER184" s="246"/>
      <c r="ES184" s="246"/>
      <c r="ET184" s="246"/>
      <c r="EU184" s="246"/>
      <c r="EV184" s="246"/>
      <c r="EW184" s="246"/>
      <c r="EX184" s="246"/>
      <c r="EY184" s="246"/>
      <c r="EZ184" s="246"/>
      <c r="FA184" s="246"/>
      <c r="FB184" s="63">
        <f>MEDIAN(AA184,AC184)</f>
        <v>2582.3069999999998</v>
      </c>
      <c r="FC184" s="63">
        <f>AVERAGE(AA184,AC184)</f>
        <v>2582.3069999999998</v>
      </c>
      <c r="FD184" s="64">
        <f>STDEV(AA184,AC184)</f>
        <v>468.19661302705083</v>
      </c>
      <c r="FE184" s="65">
        <f t="shared" si="178"/>
        <v>0.18130943107347455</v>
      </c>
      <c r="FF184" s="88">
        <f t="shared" si="180"/>
        <v>2170.5882352941176</v>
      </c>
      <c r="FG184" s="88">
        <f t="shared" si="181"/>
        <v>412.41176470588232</v>
      </c>
      <c r="FH184" s="74">
        <f t="shared" si="227"/>
        <v>2583</v>
      </c>
      <c r="FI184" s="260">
        <f t="shared" si="209"/>
        <v>33579</v>
      </c>
      <c r="FJ184" s="60" t="s">
        <v>66</v>
      </c>
    </row>
    <row r="185" spans="1:167" s="40" customFormat="1" ht="29" x14ac:dyDescent="0.35">
      <c r="A185" s="37">
        <v>179</v>
      </c>
      <c r="B185" s="210" t="s">
        <v>389</v>
      </c>
      <c r="C185" s="210" t="s">
        <v>390</v>
      </c>
      <c r="D185" s="249" t="s">
        <v>313</v>
      </c>
      <c r="E185" s="220">
        <v>10</v>
      </c>
      <c r="F185" s="58"/>
      <c r="G185" s="58"/>
      <c r="H185" s="58"/>
      <c r="I185" s="58"/>
      <c r="J185" s="58"/>
      <c r="K185" s="58"/>
      <c r="L185" s="15">
        <v>4500</v>
      </c>
      <c r="M185" s="58">
        <f t="shared" si="193"/>
        <v>4729.5</v>
      </c>
      <c r="N185" s="15">
        <v>8000</v>
      </c>
      <c r="O185" s="58">
        <f t="shared" ref="O185" si="244">+(N185*5.1%)+N185</f>
        <v>8408</v>
      </c>
      <c r="P185" s="15">
        <v>8000</v>
      </c>
      <c r="Q185" s="58">
        <f t="shared" ref="Q185" si="245">+(P185*5.1%)+P185</f>
        <v>8408</v>
      </c>
      <c r="R185" s="15"/>
      <c r="S185" s="58"/>
      <c r="T185" s="15"/>
      <c r="U185" s="58"/>
      <c r="V185" s="15"/>
      <c r="W185" s="58"/>
      <c r="X185" s="15"/>
      <c r="Y185" s="58"/>
      <c r="Z185" s="15">
        <v>8500</v>
      </c>
      <c r="AA185" s="58">
        <f t="shared" ref="AA185" si="246">+(Z185*5.1%)+Z185</f>
        <v>8933.5</v>
      </c>
      <c r="AB185" s="15"/>
      <c r="AC185" s="58"/>
      <c r="AD185" s="58">
        <v>12519.847199999998</v>
      </c>
      <c r="AE185" s="58">
        <f t="shared" ref="AE185" si="247">+(AD185*5.1%)+AD185</f>
        <v>13158.359407199998</v>
      </c>
      <c r="AF185" s="15"/>
      <c r="AG185" s="58"/>
      <c r="AH185" s="15"/>
      <c r="AI185" s="58"/>
      <c r="AJ185" s="15"/>
      <c r="AK185" s="58"/>
      <c r="AL185" s="15"/>
      <c r="AM185" s="58"/>
      <c r="AN185" s="15"/>
      <c r="AO185" s="58"/>
      <c r="AP185" s="15"/>
      <c r="AQ185" s="58"/>
      <c r="AR185" s="15"/>
      <c r="AS185" s="58"/>
      <c r="AT185" s="15"/>
      <c r="AU185" s="58">
        <f t="shared" ref="AU185" si="248">+(AT185*5.1%)+AT185</f>
        <v>0</v>
      </c>
      <c r="AV185" s="15"/>
      <c r="AW185" s="58"/>
      <c r="AX185" s="15"/>
      <c r="AY185" s="58"/>
      <c r="AZ185" s="15"/>
      <c r="BA185" s="58"/>
      <c r="BB185" s="15"/>
      <c r="BC185" s="58"/>
      <c r="BD185" s="15"/>
      <c r="BE185" s="58"/>
      <c r="BF185" s="15"/>
      <c r="BG185" s="58"/>
      <c r="BH185" s="15"/>
      <c r="BI185" s="58"/>
      <c r="BJ185" s="15"/>
      <c r="BK185" s="58"/>
      <c r="BL185" s="15"/>
      <c r="BM185" s="58"/>
      <c r="BN185" s="15"/>
      <c r="BO185" s="58"/>
      <c r="BP185" s="15"/>
      <c r="BQ185" s="58"/>
      <c r="BR185" s="15"/>
      <c r="BS185" s="58"/>
      <c r="BT185" s="15"/>
      <c r="BU185" s="58"/>
      <c r="BV185" s="15"/>
      <c r="BW185" s="58"/>
      <c r="BX185" s="15"/>
      <c r="BY185" s="58"/>
      <c r="BZ185" s="15"/>
      <c r="CA185" s="58"/>
      <c r="CB185" s="15"/>
      <c r="CC185" s="58"/>
      <c r="CD185" s="15"/>
      <c r="CE185" s="58"/>
      <c r="CF185" s="15"/>
      <c r="CG185" s="58"/>
      <c r="CH185" s="15"/>
      <c r="CI185" s="58"/>
      <c r="CJ185" s="15"/>
      <c r="CK185" s="58"/>
      <c r="CL185" s="15"/>
      <c r="CM185" s="58"/>
      <c r="CN185" s="15"/>
      <c r="CO185" s="58"/>
      <c r="CP185" s="15"/>
      <c r="CQ185" s="58"/>
      <c r="CR185" s="15"/>
      <c r="CS185" s="58"/>
      <c r="CT185" s="15"/>
      <c r="CU185" s="58"/>
      <c r="CV185" s="15"/>
      <c r="CW185" s="58"/>
      <c r="CX185" s="15"/>
      <c r="CY185" s="58"/>
      <c r="CZ185" s="15"/>
      <c r="DA185" s="58"/>
      <c r="DB185" s="15"/>
      <c r="DC185" s="58"/>
      <c r="DD185" s="15"/>
      <c r="DE185" s="58"/>
      <c r="DF185" s="15"/>
      <c r="DG185" s="58"/>
      <c r="DH185" s="15"/>
      <c r="DI185" s="58"/>
      <c r="DJ185" s="15"/>
      <c r="DK185" s="58"/>
      <c r="DL185" s="15"/>
      <c r="DM185" s="58"/>
      <c r="DN185" s="15"/>
      <c r="DO185" s="58"/>
      <c r="DP185" s="15"/>
      <c r="DQ185" s="58"/>
      <c r="DR185" s="15"/>
      <c r="DS185" s="58"/>
      <c r="DT185" s="15"/>
      <c r="DU185" s="58"/>
      <c r="DV185" s="15"/>
      <c r="DW185" s="58"/>
      <c r="DX185" s="15"/>
      <c r="DY185" s="58"/>
      <c r="DZ185" s="15"/>
      <c r="EA185" s="58"/>
      <c r="EB185" s="15"/>
      <c r="EC185" s="58"/>
      <c r="ED185" s="15"/>
      <c r="EE185" s="217"/>
      <c r="EF185" s="222"/>
      <c r="EG185" s="56"/>
      <c r="EH185" s="222"/>
      <c r="EI185" s="58"/>
      <c r="EJ185" s="58"/>
      <c r="EK185" s="58"/>
      <c r="EL185" s="58"/>
      <c r="EM185" s="58"/>
      <c r="EN185" s="208" t="s">
        <v>209</v>
      </c>
      <c r="EO185" s="246" t="s">
        <v>209</v>
      </c>
      <c r="EP185" s="246" t="s">
        <v>209</v>
      </c>
      <c r="EQ185" s="246" t="s">
        <v>209</v>
      </c>
      <c r="ER185" s="246"/>
      <c r="ES185" s="246"/>
      <c r="ET185" s="246"/>
      <c r="EU185" s="246"/>
      <c r="EV185" s="246"/>
      <c r="EW185" s="246"/>
      <c r="EX185" s="246"/>
      <c r="EY185" s="246"/>
      <c r="EZ185" s="246"/>
      <c r="FA185" s="246"/>
      <c r="FB185" s="63">
        <f>MEDIAN(O185,Q185,AA185)</f>
        <v>8408</v>
      </c>
      <c r="FC185" s="63">
        <f>AVERAGE(O185,Q185,AA185)</f>
        <v>8583.1666666666661</v>
      </c>
      <c r="FD185" s="64">
        <f>STDEV(O185,Q185,AA185)</f>
        <v>303.39756645914838</v>
      </c>
      <c r="FE185" s="65">
        <f t="shared" si="178"/>
        <v>3.5347975664670975E-2</v>
      </c>
      <c r="FF185" s="88">
        <f t="shared" si="180"/>
        <v>7213.4453781512611</v>
      </c>
      <c r="FG185" s="88">
        <f t="shared" si="181"/>
        <v>1370.5546218487395</v>
      </c>
      <c r="FH185" s="74">
        <f t="shared" si="227"/>
        <v>8584</v>
      </c>
      <c r="FI185" s="260">
        <f t="shared" si="209"/>
        <v>85840</v>
      </c>
      <c r="FJ185" s="60" t="s">
        <v>65</v>
      </c>
    </row>
    <row r="186" spans="1:167" s="40" customFormat="1" ht="29" x14ac:dyDescent="0.35">
      <c r="A186" s="37">
        <v>180</v>
      </c>
      <c r="B186" s="210" t="s">
        <v>391</v>
      </c>
      <c r="C186" s="210" t="s">
        <v>392</v>
      </c>
      <c r="D186" s="249" t="s">
        <v>313</v>
      </c>
      <c r="E186" s="220">
        <v>10</v>
      </c>
      <c r="F186" s="58"/>
      <c r="G186" s="58"/>
      <c r="H186" s="58"/>
      <c r="I186" s="58"/>
      <c r="J186" s="58"/>
      <c r="K186" s="58"/>
      <c r="L186" s="15"/>
      <c r="M186" s="58"/>
      <c r="N186" s="15">
        <v>8000</v>
      </c>
      <c r="O186" s="58">
        <f t="shared" ref="O186" si="249">+(N186*5.1%)+N186</f>
        <v>8408</v>
      </c>
      <c r="P186" s="15">
        <v>7500</v>
      </c>
      <c r="Q186" s="58">
        <f t="shared" ref="Q186" si="250">+(P186*5.1%)+P186</f>
        <v>7882.5</v>
      </c>
      <c r="R186" s="15"/>
      <c r="S186" s="58"/>
      <c r="T186" s="15"/>
      <c r="U186" s="58"/>
      <c r="V186" s="15"/>
      <c r="W186" s="58"/>
      <c r="X186" s="15"/>
      <c r="Y186" s="58"/>
      <c r="Z186" s="15"/>
      <c r="AA186" s="58"/>
      <c r="AB186" s="15"/>
      <c r="AC186" s="58"/>
      <c r="AD186" s="58"/>
      <c r="AE186" s="58"/>
      <c r="AF186" s="15"/>
      <c r="AG186" s="58"/>
      <c r="AH186" s="15"/>
      <c r="AI186" s="58"/>
      <c r="AJ186" s="15"/>
      <c r="AK186" s="58"/>
      <c r="AL186" s="15"/>
      <c r="AM186" s="58"/>
      <c r="AN186" s="15"/>
      <c r="AO186" s="58"/>
      <c r="AP186" s="15"/>
      <c r="AQ186" s="58"/>
      <c r="AR186" s="15"/>
      <c r="AS186" s="58"/>
      <c r="AT186" s="15"/>
      <c r="AU186" s="58"/>
      <c r="AV186" s="15"/>
      <c r="AW186" s="58"/>
      <c r="AX186" s="15"/>
      <c r="AY186" s="58"/>
      <c r="AZ186" s="15"/>
      <c r="BA186" s="58"/>
      <c r="BB186" s="15"/>
      <c r="BC186" s="58"/>
      <c r="BD186" s="15"/>
      <c r="BE186" s="58"/>
      <c r="BF186" s="15"/>
      <c r="BG186" s="58"/>
      <c r="BH186" s="15"/>
      <c r="BI186" s="58"/>
      <c r="BJ186" s="15"/>
      <c r="BK186" s="58"/>
      <c r="BL186" s="15"/>
      <c r="BM186" s="58"/>
      <c r="BN186" s="15"/>
      <c r="BO186" s="58"/>
      <c r="BP186" s="15"/>
      <c r="BQ186" s="58"/>
      <c r="BR186" s="15"/>
      <c r="BS186" s="58"/>
      <c r="BT186" s="15"/>
      <c r="BU186" s="58"/>
      <c r="BV186" s="15"/>
      <c r="BW186" s="58"/>
      <c r="BX186" s="15"/>
      <c r="BY186" s="58"/>
      <c r="BZ186" s="15"/>
      <c r="CA186" s="58"/>
      <c r="CB186" s="15"/>
      <c r="CC186" s="58"/>
      <c r="CD186" s="15"/>
      <c r="CE186" s="58"/>
      <c r="CF186" s="15"/>
      <c r="CG186" s="58"/>
      <c r="CH186" s="15"/>
      <c r="CI186" s="58"/>
      <c r="CJ186" s="15"/>
      <c r="CK186" s="58"/>
      <c r="CL186" s="15"/>
      <c r="CM186" s="58"/>
      <c r="CN186" s="15"/>
      <c r="CO186" s="58"/>
      <c r="CP186" s="15"/>
      <c r="CQ186" s="58"/>
      <c r="CR186" s="15"/>
      <c r="CS186" s="58"/>
      <c r="CT186" s="15"/>
      <c r="CU186" s="58"/>
      <c r="CV186" s="15"/>
      <c r="CW186" s="58"/>
      <c r="CX186" s="15"/>
      <c r="CY186" s="58"/>
      <c r="CZ186" s="15"/>
      <c r="DA186" s="58"/>
      <c r="DB186" s="15"/>
      <c r="DC186" s="58"/>
      <c r="DD186" s="15"/>
      <c r="DE186" s="58"/>
      <c r="DF186" s="15"/>
      <c r="DG186" s="58"/>
      <c r="DH186" s="15"/>
      <c r="DI186" s="58"/>
      <c r="DJ186" s="15"/>
      <c r="DK186" s="58"/>
      <c r="DL186" s="15"/>
      <c r="DM186" s="58"/>
      <c r="DN186" s="15"/>
      <c r="DO186" s="58"/>
      <c r="DP186" s="15"/>
      <c r="DQ186" s="58"/>
      <c r="DR186" s="15"/>
      <c r="DS186" s="58"/>
      <c r="DT186" s="15"/>
      <c r="DU186" s="58"/>
      <c r="DV186" s="15"/>
      <c r="DW186" s="58"/>
      <c r="DX186" s="15"/>
      <c r="DY186" s="58"/>
      <c r="DZ186" s="15"/>
      <c r="EA186" s="58"/>
      <c r="EB186" s="15"/>
      <c r="EC186" s="58"/>
      <c r="ED186" s="15"/>
      <c r="EE186" s="217"/>
      <c r="EF186" s="222"/>
      <c r="EG186" s="56"/>
      <c r="EH186" s="222"/>
      <c r="EI186" s="58"/>
      <c r="EJ186" s="58"/>
      <c r="EK186" s="58"/>
      <c r="EL186" s="58"/>
      <c r="EM186" s="58"/>
      <c r="EN186" s="208"/>
      <c r="EO186" s="246"/>
      <c r="EP186" s="246"/>
      <c r="EQ186" s="246"/>
      <c r="ER186" s="246"/>
      <c r="ES186" s="246"/>
      <c r="ET186" s="246"/>
      <c r="EU186" s="246"/>
      <c r="EV186" s="246"/>
      <c r="EW186" s="246"/>
      <c r="EX186" s="246"/>
      <c r="EY186" s="246"/>
      <c r="EZ186" s="246"/>
      <c r="FA186" s="246"/>
      <c r="FB186" s="63">
        <f>MEDIAN(O186,Q186)</f>
        <v>8145.25</v>
      </c>
      <c r="FC186" s="63">
        <f>AVERAGE(O186,Q186)</f>
        <v>8145.25</v>
      </c>
      <c r="FD186" s="64">
        <f>STDEV(O186,Q186)</f>
        <v>371.58461351353071</v>
      </c>
      <c r="FE186" s="65">
        <f t="shared" si="178"/>
        <v>4.5619792334615966E-2</v>
      </c>
      <c r="FF186" s="88">
        <f t="shared" si="180"/>
        <v>6845.3781512605046</v>
      </c>
      <c r="FG186" s="88">
        <f t="shared" si="181"/>
        <v>1300.6218487394958</v>
      </c>
      <c r="FH186" s="74">
        <f t="shared" si="227"/>
        <v>8146</v>
      </c>
      <c r="FI186" s="260">
        <f t="shared" si="209"/>
        <v>81460</v>
      </c>
      <c r="FJ186" s="60" t="s">
        <v>65</v>
      </c>
    </row>
    <row r="187" spans="1:167" s="40" customFormat="1" ht="58" x14ac:dyDescent="0.35">
      <c r="A187" s="36">
        <v>181</v>
      </c>
      <c r="B187" s="210" t="s">
        <v>393</v>
      </c>
      <c r="C187" s="210" t="s">
        <v>394</v>
      </c>
      <c r="D187" s="249" t="s">
        <v>64</v>
      </c>
      <c r="E187" s="220">
        <v>100</v>
      </c>
      <c r="F187" s="58"/>
      <c r="G187" s="58"/>
      <c r="H187" s="58"/>
      <c r="I187" s="58"/>
      <c r="J187" s="58"/>
      <c r="K187" s="58"/>
      <c r="L187" s="15"/>
      <c r="M187" s="58"/>
      <c r="N187" s="15"/>
      <c r="O187" s="58"/>
      <c r="P187" s="15">
        <v>18000</v>
      </c>
      <c r="Q187" s="58">
        <f t="shared" ref="Q187" si="251">+(P187*5.1%)+P187</f>
        <v>18918</v>
      </c>
      <c r="R187" s="15"/>
      <c r="S187" s="58"/>
      <c r="T187" s="15"/>
      <c r="U187" s="58"/>
      <c r="V187" s="15"/>
      <c r="W187" s="58"/>
      <c r="X187" s="15"/>
      <c r="Y187" s="58"/>
      <c r="Z187" s="15"/>
      <c r="AA187" s="58"/>
      <c r="AB187" s="15">
        <v>20000</v>
      </c>
      <c r="AC187" s="58">
        <f t="shared" ref="AC187:AC188" si="252">+(AB187*5.1%)+AB187</f>
        <v>21020</v>
      </c>
      <c r="AD187" s="58"/>
      <c r="AE187" s="58"/>
      <c r="AF187" s="15"/>
      <c r="AG187" s="58"/>
      <c r="AH187" s="15"/>
      <c r="AI187" s="58"/>
      <c r="AJ187" s="15"/>
      <c r="AK187" s="58"/>
      <c r="AL187" s="15"/>
      <c r="AM187" s="58"/>
      <c r="AN187" s="15"/>
      <c r="AO187" s="58"/>
      <c r="AP187" s="15"/>
      <c r="AQ187" s="58"/>
      <c r="AR187" s="15"/>
      <c r="AS187" s="58"/>
      <c r="AT187" s="15"/>
      <c r="AU187" s="58">
        <f t="shared" ref="AU187" si="253">+(AT187*5.1%)+AT187</f>
        <v>0</v>
      </c>
      <c r="AV187" s="15"/>
      <c r="AW187" s="58"/>
      <c r="AX187" s="15"/>
      <c r="AY187" s="58"/>
      <c r="AZ187" s="15"/>
      <c r="BA187" s="58"/>
      <c r="BB187" s="15"/>
      <c r="BC187" s="58"/>
      <c r="BD187" s="15"/>
      <c r="BE187" s="58"/>
      <c r="BF187" s="15"/>
      <c r="BG187" s="58"/>
      <c r="BH187" s="15"/>
      <c r="BI187" s="58"/>
      <c r="BJ187" s="15"/>
      <c r="BK187" s="58"/>
      <c r="BL187" s="15"/>
      <c r="BM187" s="58"/>
      <c r="BN187" s="15"/>
      <c r="BO187" s="58"/>
      <c r="BP187" s="15"/>
      <c r="BQ187" s="58"/>
      <c r="BR187" s="15"/>
      <c r="BS187" s="58"/>
      <c r="BT187" s="15"/>
      <c r="BU187" s="58"/>
      <c r="BV187" s="15"/>
      <c r="BW187" s="58"/>
      <c r="BX187" s="15"/>
      <c r="BY187" s="58"/>
      <c r="BZ187" s="15"/>
      <c r="CA187" s="58"/>
      <c r="CB187" s="15"/>
      <c r="CC187" s="58"/>
      <c r="CD187" s="15"/>
      <c r="CE187" s="58"/>
      <c r="CF187" s="15"/>
      <c r="CG187" s="58"/>
      <c r="CH187" s="15"/>
      <c r="CI187" s="58"/>
      <c r="CJ187" s="15"/>
      <c r="CK187" s="58"/>
      <c r="CL187" s="15"/>
      <c r="CM187" s="58"/>
      <c r="CN187" s="15"/>
      <c r="CO187" s="58"/>
      <c r="CP187" s="15"/>
      <c r="CQ187" s="58"/>
      <c r="CR187" s="15"/>
      <c r="CS187" s="58"/>
      <c r="CT187" s="15"/>
      <c r="CU187" s="58"/>
      <c r="CV187" s="15"/>
      <c r="CW187" s="58"/>
      <c r="CX187" s="15"/>
      <c r="CY187" s="58"/>
      <c r="CZ187" s="15"/>
      <c r="DA187" s="58"/>
      <c r="DB187" s="15"/>
      <c r="DC187" s="58"/>
      <c r="DD187" s="15"/>
      <c r="DE187" s="58"/>
      <c r="DF187" s="15"/>
      <c r="DG187" s="58"/>
      <c r="DH187" s="15"/>
      <c r="DI187" s="58"/>
      <c r="DJ187" s="15"/>
      <c r="DK187" s="58"/>
      <c r="DL187" s="15"/>
      <c r="DM187" s="58"/>
      <c r="DN187" s="15"/>
      <c r="DO187" s="58"/>
      <c r="DP187" s="15"/>
      <c r="DQ187" s="58"/>
      <c r="DR187" s="15"/>
      <c r="DS187" s="58"/>
      <c r="DT187" s="15"/>
      <c r="DU187" s="58"/>
      <c r="DV187" s="15"/>
      <c r="DW187" s="58"/>
      <c r="DX187" s="15"/>
      <c r="DY187" s="58"/>
      <c r="DZ187" s="15"/>
      <c r="EA187" s="58"/>
      <c r="EB187" s="15"/>
      <c r="EC187" s="58"/>
      <c r="ED187" s="15"/>
      <c r="EE187" s="217"/>
      <c r="EF187" s="222"/>
      <c r="EG187" s="56"/>
      <c r="EH187" s="222"/>
      <c r="EI187" s="58"/>
      <c r="EJ187" s="58"/>
      <c r="EK187" s="58"/>
      <c r="EL187" s="58"/>
      <c r="EM187" s="58"/>
      <c r="EN187" s="208" t="s">
        <v>209</v>
      </c>
      <c r="EO187" s="246" t="s">
        <v>209</v>
      </c>
      <c r="EP187" s="246" t="s">
        <v>209</v>
      </c>
      <c r="EQ187" s="246" t="s">
        <v>209</v>
      </c>
      <c r="ER187" s="246"/>
      <c r="ES187" s="246"/>
      <c r="ET187" s="246"/>
      <c r="EU187" s="246"/>
      <c r="EV187" s="246"/>
      <c r="EW187" s="246"/>
      <c r="EX187" s="246"/>
      <c r="EY187" s="246"/>
      <c r="EZ187" s="246"/>
      <c r="FA187" s="246"/>
      <c r="FB187" s="63">
        <f>MEDIAN(Q187,AC187)</f>
        <v>19969</v>
      </c>
      <c r="FC187" s="63">
        <f>AVERAGE(Q187,AC187)</f>
        <v>19969</v>
      </c>
      <c r="FD187" s="64">
        <f>STDEV(Q187,AC187)</f>
        <v>1486.3384540541228</v>
      </c>
      <c r="FE187" s="65">
        <f t="shared" si="178"/>
        <v>7.4432292756478682E-2</v>
      </c>
      <c r="FF187" s="88">
        <f t="shared" si="180"/>
        <v>16780.672268907565</v>
      </c>
      <c r="FG187" s="88">
        <f t="shared" si="181"/>
        <v>3188.3277310924373</v>
      </c>
      <c r="FH187" s="74">
        <f t="shared" si="227"/>
        <v>19969</v>
      </c>
      <c r="FI187" s="260">
        <f t="shared" si="209"/>
        <v>1996900</v>
      </c>
      <c r="FJ187" s="60" t="s">
        <v>65</v>
      </c>
    </row>
    <row r="188" spans="1:167" s="40" customFormat="1" ht="29" x14ac:dyDescent="0.35">
      <c r="A188" s="37">
        <v>182</v>
      </c>
      <c r="B188" s="210" t="s">
        <v>395</v>
      </c>
      <c r="C188" s="210" t="s">
        <v>396</v>
      </c>
      <c r="D188" s="249" t="s">
        <v>64</v>
      </c>
      <c r="E188" s="220">
        <v>90</v>
      </c>
      <c r="F188" s="56"/>
      <c r="G188" s="58"/>
      <c r="H188" s="56"/>
      <c r="I188" s="58"/>
      <c r="J188" s="56"/>
      <c r="K188" s="58"/>
      <c r="L188" s="56"/>
      <c r="M188" s="58"/>
      <c r="N188" s="56"/>
      <c r="O188" s="58"/>
      <c r="P188" s="56"/>
      <c r="Q188" s="58"/>
      <c r="R188" s="56"/>
      <c r="S188" s="58"/>
      <c r="T188" s="56"/>
      <c r="U188" s="58"/>
      <c r="V188" s="56"/>
      <c r="W188" s="58"/>
      <c r="X188" s="56"/>
      <c r="Y188" s="58"/>
      <c r="Z188" s="56"/>
      <c r="AA188" s="58"/>
      <c r="AB188" s="56">
        <v>3000</v>
      </c>
      <c r="AC188" s="58">
        <f t="shared" si="252"/>
        <v>3153</v>
      </c>
      <c r="AD188" s="56"/>
      <c r="AE188" s="58"/>
      <c r="AF188" s="56"/>
      <c r="AG188" s="58"/>
      <c r="AH188" s="56"/>
      <c r="AI188" s="58"/>
      <c r="AJ188" s="56"/>
      <c r="AK188" s="58"/>
      <c r="AL188" s="56"/>
      <c r="AM188" s="58"/>
      <c r="AN188" s="56"/>
      <c r="AO188" s="58"/>
      <c r="AP188" s="56"/>
      <c r="AQ188" s="58"/>
      <c r="AR188" s="56"/>
      <c r="AS188" s="58"/>
      <c r="AT188" s="56"/>
      <c r="AU188" s="58"/>
      <c r="AV188" s="56"/>
      <c r="AW188" s="58"/>
      <c r="AX188" s="56"/>
      <c r="AY188" s="58"/>
      <c r="AZ188" s="56"/>
      <c r="BA188" s="58"/>
      <c r="BB188" s="56"/>
      <c r="BC188" s="58"/>
      <c r="BD188" s="56"/>
      <c r="BE188" s="58"/>
      <c r="BF188" s="56"/>
      <c r="BG188" s="58"/>
      <c r="BH188" s="56"/>
      <c r="BI188" s="58"/>
      <c r="BJ188" s="56"/>
      <c r="BK188" s="58"/>
      <c r="BL188" s="56"/>
      <c r="BM188" s="58"/>
      <c r="BN188" s="56"/>
      <c r="BO188" s="58"/>
      <c r="BP188" s="56"/>
      <c r="BQ188" s="58"/>
      <c r="BR188" s="56"/>
      <c r="BS188" s="58"/>
      <c r="BT188" s="56"/>
      <c r="BU188" s="58"/>
      <c r="BV188" s="56"/>
      <c r="BW188" s="58"/>
      <c r="BX188" s="56"/>
      <c r="BY188" s="58"/>
      <c r="BZ188" s="56"/>
      <c r="CA188" s="58"/>
      <c r="CB188" s="56"/>
      <c r="CC188" s="58"/>
      <c r="CD188" s="56"/>
      <c r="CE188" s="58"/>
      <c r="CF188" s="56"/>
      <c r="CG188" s="58"/>
      <c r="CH188" s="56"/>
      <c r="CI188" s="58"/>
      <c r="CJ188" s="56"/>
      <c r="CK188" s="58"/>
      <c r="CL188" s="56"/>
      <c r="CM188" s="58"/>
      <c r="CN188" s="56"/>
      <c r="CO188" s="58"/>
      <c r="CP188" s="56"/>
      <c r="CQ188" s="58"/>
      <c r="CR188" s="56"/>
      <c r="CS188" s="58"/>
      <c r="CT188" s="56"/>
      <c r="CU188" s="58"/>
      <c r="CV188" s="56"/>
      <c r="CW188" s="58"/>
      <c r="CX188" s="56"/>
      <c r="CY188" s="58"/>
      <c r="CZ188" s="56"/>
      <c r="DA188" s="58"/>
      <c r="DB188" s="56"/>
      <c r="DC188" s="58"/>
      <c r="DD188" s="56"/>
      <c r="DE188" s="58"/>
      <c r="DF188" s="56"/>
      <c r="DG188" s="58"/>
      <c r="DH188" s="56"/>
      <c r="DI188" s="58"/>
      <c r="DJ188" s="56"/>
      <c r="DK188" s="58"/>
      <c r="DL188" s="56"/>
      <c r="DM188" s="58"/>
      <c r="DN188" s="56"/>
      <c r="DO188" s="58"/>
      <c r="DP188" s="56"/>
      <c r="DQ188" s="58"/>
      <c r="DR188" s="56"/>
      <c r="DS188" s="58"/>
      <c r="DT188" s="56"/>
      <c r="DU188" s="58"/>
      <c r="DV188" s="56"/>
      <c r="DW188" s="58"/>
      <c r="DX188" s="56"/>
      <c r="DY188" s="58"/>
      <c r="DZ188" s="56"/>
      <c r="EA188" s="58"/>
      <c r="EB188" s="56"/>
      <c r="EC188" s="58"/>
      <c r="ED188" s="56"/>
      <c r="EE188" s="217"/>
      <c r="EF188" s="222"/>
      <c r="EG188" s="56"/>
      <c r="EH188" s="222">
        <v>3500</v>
      </c>
      <c r="EI188" s="58"/>
      <c r="EJ188" s="58"/>
      <c r="EK188" s="58"/>
      <c r="EL188" s="228"/>
      <c r="EM188" s="228"/>
      <c r="EN188" s="208" t="s">
        <v>209</v>
      </c>
      <c r="EO188" s="246" t="s">
        <v>209</v>
      </c>
      <c r="EP188" s="246" t="s">
        <v>209</v>
      </c>
      <c r="EQ188" s="246" t="s">
        <v>209</v>
      </c>
      <c r="ER188" s="246"/>
      <c r="ES188" s="246"/>
      <c r="ET188" s="246"/>
      <c r="EU188" s="246"/>
      <c r="EV188" s="246"/>
      <c r="EW188" s="246"/>
      <c r="EX188" s="246"/>
      <c r="EY188" s="246"/>
      <c r="EZ188" s="246"/>
      <c r="FA188" s="246"/>
      <c r="FB188" s="59">
        <f>MEDIAN(AC188,EH188)</f>
        <v>3326.5</v>
      </c>
      <c r="FC188" s="59">
        <f>AVERAGE(AC188,EH188)</f>
        <v>3326.5</v>
      </c>
      <c r="FD188" s="60">
        <f>STDEV(AC188,EH188)</f>
        <v>245.36605307173198</v>
      </c>
      <c r="FE188" s="65">
        <f t="shared" si="178"/>
        <v>7.3761026024870585E-2</v>
      </c>
      <c r="FF188" s="88">
        <f t="shared" si="180"/>
        <v>2795.7983193277314</v>
      </c>
      <c r="FG188" s="88">
        <f t="shared" si="181"/>
        <v>531.20168067226894</v>
      </c>
      <c r="FH188" s="74">
        <f t="shared" si="227"/>
        <v>3327</v>
      </c>
      <c r="FI188" s="260">
        <f t="shared" si="209"/>
        <v>299430</v>
      </c>
      <c r="FJ188" s="60" t="s">
        <v>65</v>
      </c>
    </row>
    <row r="189" spans="1:167" s="40" customFormat="1" ht="29" x14ac:dyDescent="0.35">
      <c r="A189" s="37">
        <v>183</v>
      </c>
      <c r="B189" s="210" t="s">
        <v>397</v>
      </c>
      <c r="C189" s="210" t="s">
        <v>398</v>
      </c>
      <c r="D189" s="249" t="s">
        <v>64</v>
      </c>
      <c r="E189" s="220">
        <v>100</v>
      </c>
      <c r="F189" s="58"/>
      <c r="G189" s="58"/>
      <c r="H189" s="58"/>
      <c r="I189" s="58"/>
      <c r="J189" s="58"/>
      <c r="K189" s="58"/>
      <c r="L189" s="15"/>
      <c r="M189" s="58"/>
      <c r="N189" s="15"/>
      <c r="O189" s="58"/>
      <c r="P189" s="15"/>
      <c r="Q189" s="58"/>
      <c r="R189" s="15"/>
      <c r="S189" s="58"/>
      <c r="T189" s="15"/>
      <c r="U189" s="58"/>
      <c r="V189" s="15"/>
      <c r="W189" s="58"/>
      <c r="X189" s="15"/>
      <c r="Y189" s="58"/>
      <c r="Z189" s="15">
        <f>3900*6</f>
        <v>23400</v>
      </c>
      <c r="AA189" s="58">
        <f t="shared" ref="AA189" si="254">+(Z189*5.1%)+Z189</f>
        <v>24593.4</v>
      </c>
      <c r="AB189" s="15"/>
      <c r="AC189" s="58"/>
      <c r="AD189" s="58"/>
      <c r="AE189" s="58"/>
      <c r="AF189" s="15"/>
      <c r="AG189" s="58"/>
      <c r="AH189" s="15"/>
      <c r="AI189" s="58"/>
      <c r="AJ189" s="15"/>
      <c r="AK189" s="58"/>
      <c r="AL189" s="15"/>
      <c r="AM189" s="58"/>
      <c r="AN189" s="15"/>
      <c r="AO189" s="58"/>
      <c r="AP189" s="15"/>
      <c r="AQ189" s="58"/>
      <c r="AR189" s="15"/>
      <c r="AS189" s="58"/>
      <c r="AT189" s="15">
        <v>16800</v>
      </c>
      <c r="AU189" s="58">
        <f t="shared" ref="AU189" si="255">+(AT189*5.1%)+AT189</f>
        <v>17656.8</v>
      </c>
      <c r="AV189" s="15"/>
      <c r="AW189" s="58"/>
      <c r="AX189" s="15"/>
      <c r="AY189" s="58"/>
      <c r="AZ189" s="15"/>
      <c r="BA189" s="58"/>
      <c r="BB189" s="15"/>
      <c r="BC189" s="58"/>
      <c r="BD189" s="15"/>
      <c r="BE189" s="58"/>
      <c r="BF189" s="15"/>
      <c r="BG189" s="58"/>
      <c r="BH189" s="15"/>
      <c r="BI189" s="58"/>
      <c r="BJ189" s="15"/>
      <c r="BK189" s="58"/>
      <c r="BL189" s="15"/>
      <c r="BM189" s="58"/>
      <c r="BN189" s="15"/>
      <c r="BO189" s="58"/>
      <c r="BP189" s="15"/>
      <c r="BQ189" s="58"/>
      <c r="BR189" s="15"/>
      <c r="BS189" s="58"/>
      <c r="BT189" s="15"/>
      <c r="BU189" s="58"/>
      <c r="BV189" s="15"/>
      <c r="BW189" s="58"/>
      <c r="BX189" s="15"/>
      <c r="BY189" s="58"/>
      <c r="BZ189" s="15"/>
      <c r="CA189" s="58"/>
      <c r="CB189" s="15"/>
      <c r="CC189" s="58"/>
      <c r="CD189" s="15"/>
      <c r="CE189" s="58"/>
      <c r="CF189" s="15"/>
      <c r="CG189" s="58"/>
      <c r="CH189" s="15"/>
      <c r="CI189" s="58"/>
      <c r="CJ189" s="15"/>
      <c r="CK189" s="58"/>
      <c r="CL189" s="15"/>
      <c r="CM189" s="58"/>
      <c r="CN189" s="15"/>
      <c r="CO189" s="58"/>
      <c r="CP189" s="15"/>
      <c r="CQ189" s="58"/>
      <c r="CR189" s="15"/>
      <c r="CS189" s="58"/>
      <c r="CT189" s="15"/>
      <c r="CU189" s="58"/>
      <c r="CV189" s="15"/>
      <c r="CW189" s="58"/>
      <c r="CX189" s="15"/>
      <c r="CY189" s="58"/>
      <c r="CZ189" s="15"/>
      <c r="DA189" s="58"/>
      <c r="DB189" s="15"/>
      <c r="DC189" s="58"/>
      <c r="DD189" s="15"/>
      <c r="DE189" s="58"/>
      <c r="DF189" s="15"/>
      <c r="DG189" s="58"/>
      <c r="DH189" s="15"/>
      <c r="DI189" s="58"/>
      <c r="DJ189" s="15"/>
      <c r="DK189" s="58"/>
      <c r="DL189" s="15"/>
      <c r="DM189" s="58"/>
      <c r="DN189" s="15"/>
      <c r="DO189" s="58"/>
      <c r="DP189" s="15"/>
      <c r="DQ189" s="58"/>
      <c r="DR189" s="15"/>
      <c r="DS189" s="58"/>
      <c r="DT189" s="15"/>
      <c r="DU189" s="58"/>
      <c r="DV189" s="15"/>
      <c r="DW189" s="58"/>
      <c r="DX189" s="15"/>
      <c r="DY189" s="58"/>
      <c r="DZ189" s="15"/>
      <c r="EA189" s="58"/>
      <c r="EB189" s="15"/>
      <c r="EC189" s="58"/>
      <c r="ED189" s="15"/>
      <c r="EE189" s="217"/>
      <c r="EF189" s="222"/>
      <c r="EG189" s="56"/>
      <c r="EH189" s="222"/>
      <c r="EI189" s="58"/>
      <c r="EJ189" s="58"/>
      <c r="EK189" s="58"/>
      <c r="EL189" s="58"/>
      <c r="EM189" s="58"/>
      <c r="EN189" s="208" t="s">
        <v>209</v>
      </c>
      <c r="EO189" s="246" t="s">
        <v>209</v>
      </c>
      <c r="EP189" s="246" t="s">
        <v>209</v>
      </c>
      <c r="EQ189" s="246" t="s">
        <v>209</v>
      </c>
      <c r="ER189" s="246"/>
      <c r="ES189" s="246"/>
      <c r="ET189" s="246"/>
      <c r="EU189" s="246"/>
      <c r="EV189" s="246"/>
      <c r="EW189" s="246"/>
      <c r="EX189" s="246"/>
      <c r="EY189" s="246"/>
      <c r="EZ189" s="246"/>
      <c r="FA189" s="246"/>
      <c r="FB189" s="63">
        <f>MEDIAN(AA189,AU189)</f>
        <v>21125.1</v>
      </c>
      <c r="FC189" s="63">
        <f>AVERAGE(AA189,AU189)</f>
        <v>21125.1</v>
      </c>
      <c r="FD189" s="64">
        <f>STDEV(AA189,AU189)</f>
        <v>4904.9168983786149</v>
      </c>
      <c r="FE189" s="65">
        <f t="shared" si="178"/>
        <v>0.23218431621050861</v>
      </c>
      <c r="FF189" s="88">
        <f t="shared" si="180"/>
        <v>17752.941176470587</v>
      </c>
      <c r="FG189" s="88">
        <f t="shared" si="181"/>
        <v>3373.0588235294117</v>
      </c>
      <c r="FH189" s="74">
        <f t="shared" si="227"/>
        <v>21126</v>
      </c>
      <c r="FI189" s="260">
        <f t="shared" si="209"/>
        <v>2112600</v>
      </c>
      <c r="FJ189" s="60" t="s">
        <v>66</v>
      </c>
    </row>
    <row r="190" spans="1:167" s="40" customFormat="1" ht="29" x14ac:dyDescent="0.35">
      <c r="A190" s="36">
        <v>184</v>
      </c>
      <c r="B190" s="210" t="s">
        <v>399</v>
      </c>
      <c r="C190" s="210" t="s">
        <v>400</v>
      </c>
      <c r="D190" s="249" t="s">
        <v>364</v>
      </c>
      <c r="E190" s="220">
        <v>10</v>
      </c>
      <c r="F190" s="58"/>
      <c r="G190" s="58"/>
      <c r="H190" s="58"/>
      <c r="I190" s="58"/>
      <c r="J190" s="58"/>
      <c r="K190" s="58"/>
      <c r="L190" s="15"/>
      <c r="M190" s="58"/>
      <c r="N190" s="15"/>
      <c r="O190" s="58"/>
      <c r="P190" s="15"/>
      <c r="Q190" s="58"/>
      <c r="R190" s="15"/>
      <c r="S190" s="58"/>
      <c r="T190" s="15"/>
      <c r="U190" s="58"/>
      <c r="V190" s="15"/>
      <c r="W190" s="58"/>
      <c r="X190" s="15"/>
      <c r="Y190" s="58"/>
      <c r="Z190" s="15">
        <v>11750</v>
      </c>
      <c r="AA190" s="58">
        <f t="shared" ref="AA190" si="256">+(Z190*5.1%)+Z190</f>
        <v>12349.25</v>
      </c>
      <c r="AB190" s="15"/>
      <c r="AC190" s="58"/>
      <c r="AD190" s="58"/>
      <c r="AE190" s="58"/>
      <c r="AF190" s="15"/>
      <c r="AG190" s="58"/>
      <c r="AH190" s="15"/>
      <c r="AI190" s="58"/>
      <c r="AJ190" s="15"/>
      <c r="AK190" s="58"/>
      <c r="AL190" s="15"/>
      <c r="AM190" s="58"/>
      <c r="AN190" s="15"/>
      <c r="AO190" s="58"/>
      <c r="AP190" s="15"/>
      <c r="AQ190" s="58"/>
      <c r="AR190" s="15"/>
      <c r="AS190" s="58"/>
      <c r="AT190" s="15"/>
      <c r="AU190" s="58"/>
      <c r="AV190" s="15"/>
      <c r="AW190" s="58"/>
      <c r="AX190" s="15"/>
      <c r="AY190" s="58"/>
      <c r="AZ190" s="15"/>
      <c r="BA190" s="58"/>
      <c r="BB190" s="15"/>
      <c r="BC190" s="58"/>
      <c r="BD190" s="15"/>
      <c r="BE190" s="58"/>
      <c r="BF190" s="15"/>
      <c r="BG190" s="58"/>
      <c r="BH190" s="15"/>
      <c r="BI190" s="58"/>
      <c r="BJ190" s="15"/>
      <c r="BK190" s="58"/>
      <c r="BL190" s="15"/>
      <c r="BM190" s="58"/>
      <c r="BN190" s="15"/>
      <c r="BO190" s="58"/>
      <c r="BP190" s="15"/>
      <c r="BQ190" s="58"/>
      <c r="BR190" s="15"/>
      <c r="BS190" s="58"/>
      <c r="BT190" s="15"/>
      <c r="BU190" s="58"/>
      <c r="BV190" s="15"/>
      <c r="BW190" s="58"/>
      <c r="BX190" s="15"/>
      <c r="BY190" s="58"/>
      <c r="BZ190" s="15"/>
      <c r="CA190" s="58"/>
      <c r="CB190" s="15"/>
      <c r="CC190" s="58"/>
      <c r="CD190" s="15"/>
      <c r="CE190" s="58"/>
      <c r="CF190" s="15"/>
      <c r="CG190" s="58"/>
      <c r="CH190" s="15"/>
      <c r="CI190" s="58"/>
      <c r="CJ190" s="15"/>
      <c r="CK190" s="58"/>
      <c r="CL190" s="15"/>
      <c r="CM190" s="58"/>
      <c r="CN190" s="15"/>
      <c r="CO190" s="58"/>
      <c r="CP190" s="15"/>
      <c r="CQ190" s="58"/>
      <c r="CR190" s="15"/>
      <c r="CS190" s="58"/>
      <c r="CT190" s="15"/>
      <c r="CU190" s="58"/>
      <c r="CV190" s="15"/>
      <c r="CW190" s="58"/>
      <c r="CX190" s="15"/>
      <c r="CY190" s="58"/>
      <c r="CZ190" s="15"/>
      <c r="DA190" s="58"/>
      <c r="DB190" s="15"/>
      <c r="DC190" s="58"/>
      <c r="DD190" s="15"/>
      <c r="DE190" s="58"/>
      <c r="DF190" s="15"/>
      <c r="DG190" s="58"/>
      <c r="DH190" s="15"/>
      <c r="DI190" s="58"/>
      <c r="DJ190" s="15">
        <v>14000</v>
      </c>
      <c r="DK190" s="58">
        <f t="shared" ref="DK190" si="257">+(DJ190*5.1%)+DJ190</f>
        <v>14714</v>
      </c>
      <c r="DL190" s="15"/>
      <c r="DM190" s="58"/>
      <c r="DN190" s="15"/>
      <c r="DO190" s="58"/>
      <c r="DP190" s="15"/>
      <c r="DQ190" s="58"/>
      <c r="DR190" s="15"/>
      <c r="DS190" s="58"/>
      <c r="DT190" s="15"/>
      <c r="DU190" s="58"/>
      <c r="DV190" s="15"/>
      <c r="DW190" s="58"/>
      <c r="DX190" s="15"/>
      <c r="DY190" s="58"/>
      <c r="DZ190" s="15"/>
      <c r="EA190" s="58"/>
      <c r="EB190" s="15"/>
      <c r="EC190" s="58"/>
      <c r="ED190" s="15"/>
      <c r="EE190" s="217"/>
      <c r="EF190" s="222"/>
      <c r="EG190" s="56"/>
      <c r="EH190" s="222"/>
      <c r="EI190" s="58"/>
      <c r="EJ190" s="58"/>
      <c r="EK190" s="58"/>
      <c r="EL190" s="58"/>
      <c r="EM190" s="58"/>
      <c r="EN190" s="208" t="s">
        <v>209</v>
      </c>
      <c r="EO190" s="246" t="s">
        <v>209</v>
      </c>
      <c r="EP190" s="246" t="s">
        <v>209</v>
      </c>
      <c r="EQ190" s="246" t="s">
        <v>209</v>
      </c>
      <c r="ER190" s="246"/>
      <c r="ES190" s="246"/>
      <c r="ET190" s="246"/>
      <c r="EU190" s="246"/>
      <c r="EV190" s="246"/>
      <c r="EW190" s="246"/>
      <c r="EX190" s="246"/>
      <c r="EY190" s="246"/>
      <c r="EZ190" s="246"/>
      <c r="FA190" s="246"/>
      <c r="FB190" s="63">
        <f>MEDIAN(DK190,AA190)</f>
        <v>13531.625</v>
      </c>
      <c r="FC190" s="63">
        <f>AVERAGE(DK190,AA190)</f>
        <v>13531.625</v>
      </c>
      <c r="FD190" s="64">
        <f>STDEV(DK190,AA190)</f>
        <v>1672.1307608108882</v>
      </c>
      <c r="FE190" s="65">
        <f t="shared" si="178"/>
        <v>0.12357205884813452</v>
      </c>
      <c r="FF190" s="88">
        <f t="shared" si="180"/>
        <v>11371.428571428572</v>
      </c>
      <c r="FG190" s="88">
        <f t="shared" si="181"/>
        <v>2160.5714285714289</v>
      </c>
      <c r="FH190" s="74">
        <f t="shared" si="227"/>
        <v>13532</v>
      </c>
      <c r="FI190" s="260">
        <f t="shared" si="209"/>
        <v>135320</v>
      </c>
      <c r="FJ190" s="60" t="s">
        <v>65</v>
      </c>
    </row>
    <row r="191" spans="1:167" s="40" customFormat="1" ht="29" x14ac:dyDescent="0.35">
      <c r="A191" s="36">
        <v>185</v>
      </c>
      <c r="B191" s="210" t="s">
        <v>1062</v>
      </c>
      <c r="C191" s="210" t="s">
        <v>402</v>
      </c>
      <c r="D191" s="249" t="s">
        <v>64</v>
      </c>
      <c r="E191" s="220">
        <v>10</v>
      </c>
      <c r="F191" s="58"/>
      <c r="G191" s="58"/>
      <c r="H191" s="58"/>
      <c r="I191" s="58"/>
      <c r="J191" s="58"/>
      <c r="K191" s="58"/>
      <c r="L191" s="15"/>
      <c r="M191" s="58"/>
      <c r="N191" s="15"/>
      <c r="O191" s="58"/>
      <c r="P191" s="15"/>
      <c r="Q191" s="58"/>
      <c r="R191" s="15"/>
      <c r="S191" s="58"/>
      <c r="T191" s="15"/>
      <c r="U191" s="58"/>
      <c r="V191" s="15"/>
      <c r="W191" s="58"/>
      <c r="X191" s="15"/>
      <c r="Y191" s="58"/>
      <c r="Z191" s="15"/>
      <c r="AA191" s="58"/>
      <c r="AB191" s="15">
        <v>4500</v>
      </c>
      <c r="AC191" s="58">
        <f t="shared" ref="AC191" si="258">+(AB191*5.1%)+AB191</f>
        <v>4729.5</v>
      </c>
      <c r="AD191" s="58">
        <v>6318.9</v>
      </c>
      <c r="AE191" s="58">
        <f t="shared" ref="AE191" si="259">+(AD191*5.1%)+AD191</f>
        <v>6641.1638999999996</v>
      </c>
      <c r="AF191" s="15"/>
      <c r="AG191" s="58"/>
      <c r="AH191" s="15"/>
      <c r="AI191" s="58"/>
      <c r="AJ191" s="15"/>
      <c r="AK191" s="58"/>
      <c r="AL191" s="15"/>
      <c r="AM191" s="58"/>
      <c r="AN191" s="15"/>
      <c r="AO191" s="58"/>
      <c r="AP191" s="15"/>
      <c r="AQ191" s="58"/>
      <c r="AR191" s="15"/>
      <c r="AS191" s="58"/>
      <c r="AT191" s="15"/>
      <c r="AU191" s="58">
        <f t="shared" ref="AU191" si="260">+(AT191*5.1%)+AT191</f>
        <v>0</v>
      </c>
      <c r="AV191" s="15"/>
      <c r="AW191" s="58"/>
      <c r="AX191" s="15"/>
      <c r="AY191" s="58"/>
      <c r="AZ191" s="15"/>
      <c r="BA191" s="58"/>
      <c r="BB191" s="15"/>
      <c r="BC191" s="58"/>
      <c r="BD191" s="15"/>
      <c r="BE191" s="58"/>
      <c r="BF191" s="15"/>
      <c r="BG191" s="58"/>
      <c r="BH191" s="15"/>
      <c r="BI191" s="58"/>
      <c r="BJ191" s="15"/>
      <c r="BK191" s="58"/>
      <c r="BL191" s="15"/>
      <c r="BM191" s="58"/>
      <c r="BN191" s="15"/>
      <c r="BO191" s="58"/>
      <c r="BP191" s="15"/>
      <c r="BQ191" s="58"/>
      <c r="BR191" s="15"/>
      <c r="BS191" s="58"/>
      <c r="BT191" s="15"/>
      <c r="BU191" s="58"/>
      <c r="BV191" s="15"/>
      <c r="BW191" s="58"/>
      <c r="BX191" s="15"/>
      <c r="BY191" s="58"/>
      <c r="BZ191" s="15"/>
      <c r="CA191" s="58"/>
      <c r="CB191" s="15"/>
      <c r="CC191" s="58"/>
      <c r="CD191" s="15"/>
      <c r="CE191" s="58"/>
      <c r="CF191" s="15"/>
      <c r="CG191" s="58"/>
      <c r="CH191" s="15"/>
      <c r="CI191" s="58"/>
      <c r="CJ191" s="15"/>
      <c r="CK191" s="58"/>
      <c r="CL191" s="15"/>
      <c r="CM191" s="58"/>
      <c r="CN191" s="15"/>
      <c r="CO191" s="58"/>
      <c r="CP191" s="15"/>
      <c r="CQ191" s="58"/>
      <c r="CR191" s="15"/>
      <c r="CS191" s="58"/>
      <c r="CT191" s="15"/>
      <c r="CU191" s="58"/>
      <c r="CV191" s="15"/>
      <c r="CW191" s="58"/>
      <c r="CX191" s="15"/>
      <c r="CY191" s="58"/>
      <c r="CZ191" s="15"/>
      <c r="DA191" s="58"/>
      <c r="DB191" s="15"/>
      <c r="DC191" s="58"/>
      <c r="DD191" s="15"/>
      <c r="DE191" s="58"/>
      <c r="DF191" s="15"/>
      <c r="DG191" s="58"/>
      <c r="DH191" s="15"/>
      <c r="DI191" s="58"/>
      <c r="DJ191" s="15"/>
      <c r="DK191" s="58"/>
      <c r="DL191" s="15"/>
      <c r="DM191" s="58"/>
      <c r="DN191" s="15"/>
      <c r="DO191" s="58"/>
      <c r="DP191" s="15"/>
      <c r="DQ191" s="58"/>
      <c r="DR191" s="15"/>
      <c r="DS191" s="58"/>
      <c r="DT191" s="15"/>
      <c r="DU191" s="58"/>
      <c r="DV191" s="15"/>
      <c r="DW191" s="58"/>
      <c r="DX191" s="15"/>
      <c r="DY191" s="58"/>
      <c r="DZ191" s="15"/>
      <c r="EA191" s="58"/>
      <c r="EB191" s="15"/>
      <c r="EC191" s="58"/>
      <c r="ED191" s="15"/>
      <c r="EE191" s="217"/>
      <c r="EF191" s="222"/>
      <c r="EG191" s="56"/>
      <c r="EH191" s="222"/>
      <c r="EI191" s="58"/>
      <c r="EJ191" s="58"/>
      <c r="EK191" s="58"/>
      <c r="EL191" s="58"/>
      <c r="EM191" s="58"/>
      <c r="EN191" s="208" t="s">
        <v>209</v>
      </c>
      <c r="EO191" s="246" t="s">
        <v>209</v>
      </c>
      <c r="EP191" s="246" t="s">
        <v>209</v>
      </c>
      <c r="EQ191" s="246" t="s">
        <v>209</v>
      </c>
      <c r="ER191" s="246"/>
      <c r="ES191" s="246"/>
      <c r="ET191" s="246"/>
      <c r="EU191" s="246"/>
      <c r="EV191" s="246"/>
      <c r="EW191" s="246"/>
      <c r="EX191" s="246"/>
      <c r="EY191" s="246"/>
      <c r="EZ191" s="246"/>
      <c r="FA191" s="246"/>
      <c r="FB191" s="63">
        <f>MEDIAN(AC191,AE191)</f>
        <v>5685.3319499999998</v>
      </c>
      <c r="FC191" s="63">
        <f>AVERAGE(AC191,AE191)</f>
        <v>5685.3319499999998</v>
      </c>
      <c r="FD191" s="64">
        <f>STDEV(AC191,AE191)</f>
        <v>1351.7505070395205</v>
      </c>
      <c r="FE191" s="65">
        <f t="shared" si="178"/>
        <v>0.23776105228816419</v>
      </c>
      <c r="FF191" s="88">
        <f t="shared" si="180"/>
        <v>4778.1512605042017</v>
      </c>
      <c r="FG191" s="88">
        <f t="shared" si="181"/>
        <v>907.84873949579833</v>
      </c>
      <c r="FH191" s="74">
        <f t="shared" si="227"/>
        <v>5686</v>
      </c>
      <c r="FI191" s="260">
        <f t="shared" si="209"/>
        <v>56860</v>
      </c>
      <c r="FJ191" s="60" t="s">
        <v>66</v>
      </c>
    </row>
    <row r="192" spans="1:167" s="40" customFormat="1" ht="130.5" x14ac:dyDescent="0.35">
      <c r="A192" s="37">
        <v>186</v>
      </c>
      <c r="B192" s="210" t="s">
        <v>403</v>
      </c>
      <c r="C192" s="210" t="s">
        <v>404</v>
      </c>
      <c r="D192" s="249" t="s">
        <v>64</v>
      </c>
      <c r="E192" s="220">
        <v>5</v>
      </c>
      <c r="F192" s="58"/>
      <c r="G192" s="58"/>
      <c r="H192" s="58"/>
      <c r="I192" s="58"/>
      <c r="J192" s="58"/>
      <c r="K192" s="58"/>
      <c r="L192" s="15"/>
      <c r="M192" s="58"/>
      <c r="N192" s="15"/>
      <c r="O192" s="58"/>
      <c r="P192" s="15"/>
      <c r="Q192" s="58"/>
      <c r="R192" s="15"/>
      <c r="S192" s="58"/>
      <c r="T192" s="15"/>
      <c r="U192" s="58"/>
      <c r="V192" s="15"/>
      <c r="W192" s="58"/>
      <c r="X192" s="15"/>
      <c r="Y192" s="58"/>
      <c r="Z192" s="15"/>
      <c r="AA192" s="58"/>
      <c r="AB192" s="15"/>
      <c r="AC192" s="58"/>
      <c r="AD192" s="58"/>
      <c r="AE192" s="58"/>
      <c r="AF192" s="15"/>
      <c r="AG192" s="58"/>
      <c r="AH192" s="15"/>
      <c r="AI192" s="58"/>
      <c r="AJ192" s="15"/>
      <c r="AK192" s="58"/>
      <c r="AL192" s="15"/>
      <c r="AM192" s="58"/>
      <c r="AN192" s="15"/>
      <c r="AO192" s="58"/>
      <c r="AP192" s="15"/>
      <c r="AQ192" s="58"/>
      <c r="AR192" s="15"/>
      <c r="AS192" s="58"/>
      <c r="AT192" s="15"/>
      <c r="AU192" s="58"/>
      <c r="AV192" s="15"/>
      <c r="AW192" s="58"/>
      <c r="AX192" s="15"/>
      <c r="AY192" s="58"/>
      <c r="AZ192" s="15"/>
      <c r="BA192" s="58"/>
      <c r="BB192" s="15"/>
      <c r="BC192" s="58"/>
      <c r="BD192" s="15"/>
      <c r="BE192" s="58"/>
      <c r="BF192" s="15"/>
      <c r="BG192" s="58"/>
      <c r="BH192" s="15"/>
      <c r="BI192" s="58"/>
      <c r="BJ192" s="15"/>
      <c r="BK192" s="58"/>
      <c r="BL192" s="15"/>
      <c r="BM192" s="58"/>
      <c r="BN192" s="15"/>
      <c r="BO192" s="58"/>
      <c r="BP192" s="15"/>
      <c r="BQ192" s="58"/>
      <c r="BR192" s="15"/>
      <c r="BS192" s="58"/>
      <c r="BT192" s="15"/>
      <c r="BU192" s="58"/>
      <c r="BV192" s="15"/>
      <c r="BW192" s="58"/>
      <c r="BX192" s="15"/>
      <c r="BY192" s="58"/>
      <c r="BZ192" s="15"/>
      <c r="CA192" s="58"/>
      <c r="CB192" s="15"/>
      <c r="CC192" s="58"/>
      <c r="CD192" s="15"/>
      <c r="CE192" s="58"/>
      <c r="CF192" s="15"/>
      <c r="CG192" s="58"/>
      <c r="CH192" s="15"/>
      <c r="CI192" s="58"/>
      <c r="CJ192" s="15"/>
      <c r="CK192" s="58"/>
      <c r="CL192" s="15"/>
      <c r="CM192" s="58"/>
      <c r="CN192" s="15"/>
      <c r="CO192" s="58"/>
      <c r="CP192" s="15"/>
      <c r="CQ192" s="58"/>
      <c r="CR192" s="15"/>
      <c r="CS192" s="58"/>
      <c r="CT192" s="15"/>
      <c r="CU192" s="58"/>
      <c r="CV192" s="15"/>
      <c r="CW192" s="58"/>
      <c r="CX192" s="15"/>
      <c r="CY192" s="58"/>
      <c r="CZ192" s="15"/>
      <c r="DA192" s="58"/>
      <c r="DB192" s="15"/>
      <c r="DC192" s="58"/>
      <c r="DD192" s="15"/>
      <c r="DE192" s="58"/>
      <c r="DF192" s="15"/>
      <c r="DG192" s="58"/>
      <c r="DH192" s="15"/>
      <c r="DI192" s="58"/>
      <c r="DJ192" s="15"/>
      <c r="DK192" s="58"/>
      <c r="DL192" s="15"/>
      <c r="DM192" s="58"/>
      <c r="DN192" s="15"/>
      <c r="DO192" s="58"/>
      <c r="DP192" s="15"/>
      <c r="DQ192" s="58"/>
      <c r="DR192" s="15"/>
      <c r="DS192" s="58"/>
      <c r="DT192" s="15"/>
      <c r="DU192" s="58"/>
      <c r="DV192" s="15"/>
      <c r="DW192" s="58"/>
      <c r="DX192" s="15"/>
      <c r="DY192" s="58"/>
      <c r="DZ192" s="15"/>
      <c r="EA192" s="58"/>
      <c r="EB192" s="15"/>
      <c r="EC192" s="58"/>
      <c r="ED192" s="15"/>
      <c r="EE192" s="217"/>
      <c r="EF192" s="8">
        <v>15000</v>
      </c>
      <c r="EG192" s="324">
        <v>14000</v>
      </c>
      <c r="EH192" s="8">
        <v>14500</v>
      </c>
      <c r="EI192" s="58"/>
      <c r="EJ192" s="58"/>
      <c r="EK192" s="58"/>
      <c r="EL192" s="58"/>
      <c r="EM192" s="58"/>
      <c r="EN192" s="254" t="s">
        <v>209</v>
      </c>
      <c r="EO192" s="253" t="s">
        <v>209</v>
      </c>
      <c r="EP192" s="253" t="s">
        <v>209</v>
      </c>
      <c r="EQ192" s="253" t="s">
        <v>209</v>
      </c>
      <c r="ER192" s="253"/>
      <c r="ES192" s="253"/>
      <c r="ET192" s="253"/>
      <c r="EU192" s="253"/>
      <c r="EV192" s="253"/>
      <c r="EW192" s="253"/>
      <c r="EX192" s="253"/>
      <c r="EY192" s="253"/>
      <c r="EZ192" s="253"/>
      <c r="FA192" s="253"/>
      <c r="FB192" s="63">
        <f>MEDIAN(EF192,EG192,EH192)</f>
        <v>14500</v>
      </c>
      <c r="FC192" s="63">
        <f>AVERAGE(EF192,EG192,EH192)</f>
        <v>14500</v>
      </c>
      <c r="FD192" s="64">
        <f>STDEV(EF192,EG192,EH192)</f>
        <v>500</v>
      </c>
      <c r="FE192" s="65">
        <f t="shared" si="178"/>
        <v>3.4482758620689655E-2</v>
      </c>
      <c r="FF192" s="88">
        <f t="shared" si="180"/>
        <v>12184.873949579833</v>
      </c>
      <c r="FG192" s="88">
        <f t="shared" si="181"/>
        <v>2315.1260504201682</v>
      </c>
      <c r="FH192" s="74">
        <f t="shared" si="227"/>
        <v>14500</v>
      </c>
      <c r="FI192" s="260">
        <f t="shared" ref="FI192:FI218" si="261">+FH192*E192</f>
        <v>72500</v>
      </c>
      <c r="FJ192" s="60" t="s">
        <v>65</v>
      </c>
    </row>
    <row r="193" spans="1:167" s="40" customFormat="1" ht="29" x14ac:dyDescent="0.35">
      <c r="A193" s="37">
        <v>187</v>
      </c>
      <c r="B193" s="210" t="s">
        <v>405</v>
      </c>
      <c r="C193" s="210" t="s">
        <v>406</v>
      </c>
      <c r="D193" s="249" t="s">
        <v>64</v>
      </c>
      <c r="E193" s="220">
        <v>5</v>
      </c>
      <c r="F193" s="230"/>
      <c r="G193" s="58"/>
      <c r="H193" s="230"/>
      <c r="I193" s="58"/>
      <c r="J193" s="230"/>
      <c r="K193" s="58"/>
      <c r="L193" s="45"/>
      <c r="M193" s="58"/>
      <c r="N193" s="45"/>
      <c r="O193" s="58"/>
      <c r="P193" s="45"/>
      <c r="Q193" s="58"/>
      <c r="R193" s="45"/>
      <c r="S193" s="58"/>
      <c r="T193" s="45"/>
      <c r="U193" s="58"/>
      <c r="V193" s="45"/>
      <c r="W193" s="58"/>
      <c r="X193" s="45"/>
      <c r="Y193" s="58"/>
      <c r="Z193" s="45"/>
      <c r="AA193" s="58"/>
      <c r="AB193" s="45"/>
      <c r="AC193" s="58"/>
      <c r="AD193" s="58">
        <v>9688.98</v>
      </c>
      <c r="AE193" s="58">
        <f t="shared" ref="AE193" si="262">+(AD193*5.1%)+AD193</f>
        <v>10183.117979999999</v>
      </c>
      <c r="AF193" s="45"/>
      <c r="AG193" s="58"/>
      <c r="AH193" s="45"/>
      <c r="AI193" s="58"/>
      <c r="AJ193" s="45"/>
      <c r="AK193" s="58"/>
      <c r="AL193" s="45"/>
      <c r="AM193" s="58"/>
      <c r="AN193" s="45"/>
      <c r="AO193" s="58"/>
      <c r="AP193" s="45"/>
      <c r="AQ193" s="58"/>
      <c r="AR193" s="45"/>
      <c r="AS193" s="58"/>
      <c r="AT193" s="45"/>
      <c r="AU193" s="58"/>
      <c r="AV193" s="45"/>
      <c r="AW193" s="58"/>
      <c r="AX193" s="45"/>
      <c r="AY193" s="58"/>
      <c r="AZ193" s="45"/>
      <c r="BA193" s="58"/>
      <c r="BB193" s="45"/>
      <c r="BC193" s="58"/>
      <c r="BD193" s="45"/>
      <c r="BE193" s="58"/>
      <c r="BF193" s="45"/>
      <c r="BG193" s="58"/>
      <c r="BH193" s="45"/>
      <c r="BI193" s="58"/>
      <c r="BJ193" s="45">
        <v>10100</v>
      </c>
      <c r="BK193" s="58">
        <f t="shared" ref="BK193" si="263">+(BJ193*5.1%)+BJ193</f>
        <v>10615.1</v>
      </c>
      <c r="BL193" s="45"/>
      <c r="BM193" s="58"/>
      <c r="BN193" s="45"/>
      <c r="BO193" s="58"/>
      <c r="BP193" s="45"/>
      <c r="BQ193" s="58"/>
      <c r="BR193" s="45"/>
      <c r="BS193" s="58"/>
      <c r="BT193" s="45"/>
      <c r="BU193" s="58"/>
      <c r="BV193" s="45"/>
      <c r="BW193" s="58"/>
      <c r="BX193" s="45"/>
      <c r="BY193" s="58"/>
      <c r="BZ193" s="45"/>
      <c r="CA193" s="58"/>
      <c r="CB193" s="45"/>
      <c r="CC193" s="58"/>
      <c r="CD193" s="45"/>
      <c r="CE193" s="58"/>
      <c r="CF193" s="45"/>
      <c r="CG193" s="58"/>
      <c r="CH193" s="45"/>
      <c r="CI193" s="58"/>
      <c r="CJ193" s="45"/>
      <c r="CK193" s="58">
        <f t="shared" ref="CK193" si="264">+(CJ193*5.1%)+CJ193</f>
        <v>0</v>
      </c>
      <c r="CL193" s="45"/>
      <c r="CM193" s="58"/>
      <c r="CN193" s="45"/>
      <c r="CO193" s="58"/>
      <c r="CP193" s="45"/>
      <c r="CQ193" s="58"/>
      <c r="CR193" s="45"/>
      <c r="CS193" s="58"/>
      <c r="CT193" s="45"/>
      <c r="CU193" s="58"/>
      <c r="CV193" s="45"/>
      <c r="CW193" s="58"/>
      <c r="CX193" s="45"/>
      <c r="CY193" s="58"/>
      <c r="CZ193" s="45"/>
      <c r="DA193" s="58"/>
      <c r="DB193" s="45"/>
      <c r="DC193" s="58"/>
      <c r="DD193" s="45"/>
      <c r="DE193" s="58"/>
      <c r="DF193" s="45"/>
      <c r="DG193" s="58"/>
      <c r="DH193" s="45"/>
      <c r="DI193" s="58"/>
      <c r="DJ193" s="45"/>
      <c r="DK193" s="58"/>
      <c r="DL193" s="45"/>
      <c r="DM193" s="58"/>
      <c r="DN193" s="45"/>
      <c r="DO193" s="58"/>
      <c r="DP193" s="45"/>
      <c r="DQ193" s="58"/>
      <c r="DR193" s="45"/>
      <c r="DS193" s="58"/>
      <c r="DT193" s="45"/>
      <c r="DU193" s="58"/>
      <c r="DV193" s="45"/>
      <c r="DW193" s="58"/>
      <c r="DX193" s="45"/>
      <c r="DY193" s="58"/>
      <c r="DZ193" s="45"/>
      <c r="EA193" s="58"/>
      <c r="EB193" s="45"/>
      <c r="EC193" s="58"/>
      <c r="ED193" s="45"/>
      <c r="EE193" s="217"/>
      <c r="EF193" s="222"/>
      <c r="EG193" s="56"/>
      <c r="EH193" s="222"/>
      <c r="EI193" s="58"/>
      <c r="EJ193" s="58"/>
      <c r="EK193" s="58"/>
      <c r="EL193" s="230"/>
      <c r="EM193" s="230"/>
      <c r="EN193" s="255" t="s">
        <v>209</v>
      </c>
      <c r="EO193" s="256" t="s">
        <v>209</v>
      </c>
      <c r="EP193" s="256" t="s">
        <v>209</v>
      </c>
      <c r="EQ193" s="256" t="s">
        <v>209</v>
      </c>
      <c r="ER193" s="256"/>
      <c r="ES193" s="256"/>
      <c r="ET193" s="256"/>
      <c r="EU193" s="256"/>
      <c r="EV193" s="256"/>
      <c r="EW193" s="256"/>
      <c r="EX193" s="256"/>
      <c r="EY193" s="256"/>
      <c r="EZ193" s="256"/>
      <c r="FA193" s="256"/>
      <c r="FB193" s="69">
        <f>MEDIAN(AE193,BK193)</f>
        <v>10399.108990000001</v>
      </c>
      <c r="FC193" s="69">
        <f>AVERAGE(AE193,BK193)</f>
        <v>10399.108990000001</v>
      </c>
      <c r="FD193" s="70">
        <f>STDEV(AE193,BK193)</f>
        <v>305.45741569266369</v>
      </c>
      <c r="FE193" s="65">
        <f t="shared" si="178"/>
        <v>2.9373421894740973E-2</v>
      </c>
      <c r="FF193" s="88">
        <f t="shared" si="180"/>
        <v>8739.495798319329</v>
      </c>
      <c r="FG193" s="88">
        <f t="shared" si="181"/>
        <v>1660.5042016806726</v>
      </c>
      <c r="FH193" s="72">
        <f t="shared" si="227"/>
        <v>10400</v>
      </c>
      <c r="FI193" s="260">
        <f t="shared" si="261"/>
        <v>52000</v>
      </c>
      <c r="FJ193" s="60" t="s">
        <v>65</v>
      </c>
    </row>
    <row r="194" spans="1:167" s="40" customFormat="1" ht="29" x14ac:dyDescent="0.35">
      <c r="A194" s="37">
        <v>188</v>
      </c>
      <c r="B194" s="210" t="s">
        <v>407</v>
      </c>
      <c r="C194" s="210" t="s">
        <v>408</v>
      </c>
      <c r="D194" s="249" t="s">
        <v>131</v>
      </c>
      <c r="E194" s="220">
        <v>5</v>
      </c>
      <c r="F194" s="230"/>
      <c r="G194" s="58"/>
      <c r="H194" s="230"/>
      <c r="I194" s="58"/>
      <c r="J194" s="230"/>
      <c r="K194" s="58"/>
      <c r="L194" s="45"/>
      <c r="M194" s="58"/>
      <c r="N194" s="45"/>
      <c r="O194" s="58"/>
      <c r="P194" s="45"/>
      <c r="Q194" s="58"/>
      <c r="R194" s="45"/>
      <c r="S194" s="58"/>
      <c r="T194" s="45"/>
      <c r="U194" s="58"/>
      <c r="V194" s="45"/>
      <c r="W194" s="58"/>
      <c r="X194" s="45"/>
      <c r="Y194" s="58"/>
      <c r="Z194" s="45"/>
      <c r="AA194" s="58"/>
      <c r="AB194" s="45"/>
      <c r="AC194" s="58"/>
      <c r="AD194" s="58"/>
      <c r="AE194" s="58"/>
      <c r="AF194" s="45"/>
      <c r="AG194" s="58"/>
      <c r="AH194" s="45"/>
      <c r="AI194" s="58"/>
      <c r="AJ194" s="45"/>
      <c r="AK194" s="58"/>
      <c r="AL194" s="45"/>
      <c r="AM194" s="58"/>
      <c r="AN194" s="45"/>
      <c r="AO194" s="58"/>
      <c r="AP194" s="45"/>
      <c r="AQ194" s="58"/>
      <c r="AR194" s="45"/>
      <c r="AS194" s="58"/>
      <c r="AT194" s="45"/>
      <c r="AU194" s="58"/>
      <c r="AV194" s="45"/>
      <c r="AW194" s="58"/>
      <c r="AX194" s="45"/>
      <c r="AY194" s="58"/>
      <c r="AZ194" s="45"/>
      <c r="BA194" s="58"/>
      <c r="BB194" s="45"/>
      <c r="BC194" s="58"/>
      <c r="BD194" s="45"/>
      <c r="BE194" s="58"/>
      <c r="BF194" s="45"/>
      <c r="BG194" s="58"/>
      <c r="BH194" s="45"/>
      <c r="BI194" s="58"/>
      <c r="BJ194" s="45"/>
      <c r="BK194" s="58">
        <f t="shared" ref="BK194" si="265">+(BJ194*5.1%)+BJ194</f>
        <v>0</v>
      </c>
      <c r="BL194" s="45"/>
      <c r="BM194" s="58"/>
      <c r="BN194" s="45"/>
      <c r="BO194" s="58"/>
      <c r="BP194" s="45"/>
      <c r="BQ194" s="58"/>
      <c r="BR194" s="45"/>
      <c r="BS194" s="58"/>
      <c r="BT194" s="45"/>
      <c r="BU194" s="58"/>
      <c r="BV194" s="45"/>
      <c r="BW194" s="58"/>
      <c r="BX194" s="45"/>
      <c r="BY194" s="58"/>
      <c r="BZ194" s="45"/>
      <c r="CA194" s="58"/>
      <c r="CB194" s="45"/>
      <c r="CC194" s="58"/>
      <c r="CD194" s="45"/>
      <c r="CE194" s="58"/>
      <c r="CF194" s="45"/>
      <c r="CG194" s="58"/>
      <c r="CH194" s="45"/>
      <c r="CI194" s="58"/>
      <c r="CJ194" s="45"/>
      <c r="CK194" s="58">
        <f t="shared" ref="CK194" si="266">+(CJ194*5.1%)+CJ194</f>
        <v>0</v>
      </c>
      <c r="CL194" s="45"/>
      <c r="CM194" s="58"/>
      <c r="CN194" s="45"/>
      <c r="CO194" s="58"/>
      <c r="CP194" s="45"/>
      <c r="CQ194" s="58"/>
      <c r="CR194" s="45"/>
      <c r="CS194" s="58"/>
      <c r="CT194" s="45"/>
      <c r="CU194" s="58"/>
      <c r="CV194" s="45"/>
      <c r="CW194" s="58"/>
      <c r="CX194" s="45"/>
      <c r="CY194" s="58"/>
      <c r="CZ194" s="45"/>
      <c r="DA194" s="58"/>
      <c r="DB194" s="45"/>
      <c r="DC194" s="58"/>
      <c r="DD194" s="45"/>
      <c r="DE194" s="58"/>
      <c r="DF194" s="45"/>
      <c r="DG194" s="58"/>
      <c r="DH194" s="45"/>
      <c r="DI194" s="58"/>
      <c r="DJ194" s="45"/>
      <c r="DK194" s="58"/>
      <c r="DL194" s="45"/>
      <c r="DM194" s="58"/>
      <c r="DN194" s="45">
        <v>88900</v>
      </c>
      <c r="DO194" s="58">
        <f t="shared" ref="DO194" si="267">+(DN194*5.1%)+DN194</f>
        <v>93433.9</v>
      </c>
      <c r="DP194" s="45">
        <v>65000</v>
      </c>
      <c r="DQ194" s="58">
        <f t="shared" ref="DQ194" si="268">+(DP194*5.1%)+DP194</f>
        <v>68315</v>
      </c>
      <c r="DR194" s="45">
        <v>59000</v>
      </c>
      <c r="DS194" s="58">
        <f t="shared" ref="DS194" si="269">+(DR194*5.1%)+DR194</f>
        <v>62009</v>
      </c>
      <c r="DT194" s="45"/>
      <c r="DU194" s="58"/>
      <c r="DV194" s="45"/>
      <c r="DW194" s="58"/>
      <c r="DX194" s="45"/>
      <c r="DY194" s="58"/>
      <c r="DZ194" s="45"/>
      <c r="EA194" s="58"/>
      <c r="EB194" s="45"/>
      <c r="EC194" s="58"/>
      <c r="ED194" s="45"/>
      <c r="EE194" s="217"/>
      <c r="EF194" s="222"/>
      <c r="EG194" s="56"/>
      <c r="EH194" s="222"/>
      <c r="EI194" s="58"/>
      <c r="EJ194" s="58"/>
      <c r="EK194" s="58"/>
      <c r="EL194" s="230"/>
      <c r="EM194" s="230"/>
      <c r="EN194" s="255" t="s">
        <v>209</v>
      </c>
      <c r="EO194" s="256" t="s">
        <v>209</v>
      </c>
      <c r="EP194" s="256" t="s">
        <v>209</v>
      </c>
      <c r="EQ194" s="256" t="s">
        <v>209</v>
      </c>
      <c r="ER194" s="256"/>
      <c r="ES194" s="256"/>
      <c r="ET194" s="256"/>
      <c r="EU194" s="256"/>
      <c r="EV194" s="256"/>
      <c r="EW194" s="256"/>
      <c r="EX194" s="256"/>
      <c r="EY194" s="256"/>
      <c r="EZ194" s="256"/>
      <c r="FA194" s="256"/>
      <c r="FB194" s="69">
        <f>MEDIAN(DO194,DQ194,DS194)</f>
        <v>68315</v>
      </c>
      <c r="FC194" s="69">
        <f>AVERAGE(DO194,DQ194,DS194)</f>
        <v>74585.96666666666</v>
      </c>
      <c r="FD194" s="70">
        <f>STDEV(DO194,DQ194,DS194)</f>
        <v>16624.525623407539</v>
      </c>
      <c r="FE194" s="65">
        <f t="shared" si="178"/>
        <v>0.22289079791248764</v>
      </c>
      <c r="FF194" s="88">
        <f t="shared" si="180"/>
        <v>57407.563025210089</v>
      </c>
      <c r="FG194" s="88">
        <f t="shared" si="181"/>
        <v>10907.436974789916</v>
      </c>
      <c r="FH194" s="72">
        <f t="shared" si="227"/>
        <v>68315</v>
      </c>
      <c r="FI194" s="260">
        <f t="shared" si="261"/>
        <v>341575</v>
      </c>
      <c r="FJ194" s="60" t="s">
        <v>66</v>
      </c>
    </row>
    <row r="195" spans="1:167" s="40" customFormat="1" ht="116" x14ac:dyDescent="0.35">
      <c r="A195" s="36">
        <v>189</v>
      </c>
      <c r="B195" s="210" t="s">
        <v>409</v>
      </c>
      <c r="C195" s="210" t="s">
        <v>410</v>
      </c>
      <c r="D195" s="249" t="s">
        <v>64</v>
      </c>
      <c r="E195" s="220">
        <v>5</v>
      </c>
      <c r="F195" s="230"/>
      <c r="G195" s="58"/>
      <c r="H195" s="230"/>
      <c r="I195" s="58"/>
      <c r="J195" s="230"/>
      <c r="K195" s="58"/>
      <c r="L195" s="45"/>
      <c r="M195" s="58"/>
      <c r="N195" s="45"/>
      <c r="O195" s="58"/>
      <c r="P195" s="45"/>
      <c r="Q195" s="58"/>
      <c r="R195" s="45"/>
      <c r="S195" s="58"/>
      <c r="T195" s="45"/>
      <c r="U195" s="58"/>
      <c r="V195" s="45"/>
      <c r="W195" s="58"/>
      <c r="X195" s="45"/>
      <c r="Y195" s="58"/>
      <c r="Z195" s="45"/>
      <c r="AA195" s="58"/>
      <c r="AB195" s="45"/>
      <c r="AC195" s="58"/>
      <c r="AD195" s="58"/>
      <c r="AE195" s="58"/>
      <c r="AF195" s="45"/>
      <c r="AG195" s="58"/>
      <c r="AH195" s="45"/>
      <c r="AI195" s="58"/>
      <c r="AJ195" s="45"/>
      <c r="AK195" s="58"/>
      <c r="AL195" s="45"/>
      <c r="AM195" s="58"/>
      <c r="AN195" s="45"/>
      <c r="AO195" s="58"/>
      <c r="AP195" s="45"/>
      <c r="AQ195" s="58"/>
      <c r="AR195" s="45"/>
      <c r="AS195" s="58"/>
      <c r="AT195" s="45"/>
      <c r="AU195" s="58"/>
      <c r="AV195" s="45"/>
      <c r="AW195" s="58"/>
      <c r="AX195" s="45"/>
      <c r="AY195" s="58"/>
      <c r="AZ195" s="45"/>
      <c r="BA195" s="58"/>
      <c r="BB195" s="45"/>
      <c r="BC195" s="58"/>
      <c r="BD195" s="45"/>
      <c r="BE195" s="58"/>
      <c r="BF195" s="45"/>
      <c r="BG195" s="58"/>
      <c r="BH195" s="45"/>
      <c r="BI195" s="58"/>
      <c r="BJ195" s="45"/>
      <c r="BK195" s="58"/>
      <c r="BL195" s="45"/>
      <c r="BM195" s="58"/>
      <c r="BN195" s="45"/>
      <c r="BO195" s="58"/>
      <c r="BP195" s="45"/>
      <c r="BQ195" s="58"/>
      <c r="BR195" s="45"/>
      <c r="BS195" s="58"/>
      <c r="BT195" s="45"/>
      <c r="BU195" s="58"/>
      <c r="BV195" s="45"/>
      <c r="BW195" s="58"/>
      <c r="BX195" s="45"/>
      <c r="BY195" s="58"/>
      <c r="BZ195" s="45"/>
      <c r="CA195" s="58"/>
      <c r="CB195" s="45"/>
      <c r="CC195" s="58"/>
      <c r="CD195" s="45"/>
      <c r="CE195" s="58"/>
      <c r="CF195" s="45"/>
      <c r="CG195" s="58"/>
      <c r="CH195" s="45"/>
      <c r="CI195" s="58"/>
      <c r="CJ195" s="45"/>
      <c r="CK195" s="58">
        <f t="shared" ref="CK195" si="270">+(CJ195*5.1%)+CJ195</f>
        <v>0</v>
      </c>
      <c r="CL195" s="45"/>
      <c r="CM195" s="58"/>
      <c r="CN195" s="45"/>
      <c r="CO195" s="58"/>
      <c r="CP195" s="45"/>
      <c r="CQ195" s="58"/>
      <c r="CR195" s="45"/>
      <c r="CS195" s="58"/>
      <c r="CT195" s="45"/>
      <c r="CU195" s="58"/>
      <c r="CV195" s="45"/>
      <c r="CW195" s="58"/>
      <c r="CX195" s="45"/>
      <c r="CY195" s="58"/>
      <c r="CZ195" s="45"/>
      <c r="DA195" s="58"/>
      <c r="DB195" s="45"/>
      <c r="DC195" s="58"/>
      <c r="DD195" s="45"/>
      <c r="DE195" s="58"/>
      <c r="DF195" s="45"/>
      <c r="DG195" s="58"/>
      <c r="DH195" s="45"/>
      <c r="DI195" s="58"/>
      <c r="DJ195" s="45"/>
      <c r="DK195" s="58"/>
      <c r="DL195" s="45"/>
      <c r="DM195" s="58"/>
      <c r="DN195" s="45">
        <v>12500</v>
      </c>
      <c r="DO195" s="58">
        <f t="shared" ref="DO195" si="271">+(DN195*5.1%)+DN195</f>
        <v>13137.5</v>
      </c>
      <c r="DP195" s="45">
        <v>12000</v>
      </c>
      <c r="DQ195" s="58">
        <f t="shared" ref="DQ195" si="272">+(DP195*5.1%)+DP195</f>
        <v>12612</v>
      </c>
      <c r="DR195" s="45">
        <v>10000</v>
      </c>
      <c r="DS195" s="58">
        <f t="shared" ref="DS195" si="273">+(DR195*5.1%)+DR195</f>
        <v>10510</v>
      </c>
      <c r="DT195" s="45"/>
      <c r="DU195" s="58"/>
      <c r="DV195" s="45"/>
      <c r="DW195" s="58"/>
      <c r="DX195" s="45"/>
      <c r="DY195" s="58"/>
      <c r="DZ195" s="45"/>
      <c r="EA195" s="58"/>
      <c r="EB195" s="45"/>
      <c r="EC195" s="58"/>
      <c r="ED195" s="45"/>
      <c r="EE195" s="217"/>
      <c r="EF195" s="8"/>
      <c r="EG195" s="56"/>
      <c r="EH195" s="8"/>
      <c r="EI195" s="58"/>
      <c r="EJ195" s="58"/>
      <c r="EK195" s="58"/>
      <c r="EL195" s="230"/>
      <c r="EM195" s="230"/>
      <c r="EN195" s="255" t="s">
        <v>209</v>
      </c>
      <c r="EO195" s="256" t="s">
        <v>209</v>
      </c>
      <c r="EP195" s="256" t="s">
        <v>209</v>
      </c>
      <c r="EQ195" s="256" t="s">
        <v>209</v>
      </c>
      <c r="ER195" s="256"/>
      <c r="ES195" s="256"/>
      <c r="ET195" s="256"/>
      <c r="EU195" s="256"/>
      <c r="EV195" s="256"/>
      <c r="EW195" s="256"/>
      <c r="EX195" s="256"/>
      <c r="EY195" s="256"/>
      <c r="EZ195" s="256"/>
      <c r="FA195" s="256"/>
      <c r="FB195" s="69">
        <f>MEDIAN(DO195,DQ195,DS195)</f>
        <v>12612</v>
      </c>
      <c r="FC195" s="69">
        <f>AVERAGE(DO195,DQ195,DS195)</f>
        <v>12086.5</v>
      </c>
      <c r="FD195" s="70">
        <f>STDEV(DO195,DQ195,DS195)</f>
        <v>1390.3423139644424</v>
      </c>
      <c r="FE195" s="65">
        <f t="shared" ref="FE195:FE204" si="274">FD195/FC195</f>
        <v>0.11503266569846046</v>
      </c>
      <c r="FF195" s="88">
        <f t="shared" si="180"/>
        <v>10157.142857142857</v>
      </c>
      <c r="FG195" s="88">
        <f t="shared" si="181"/>
        <v>1929.8571428571429</v>
      </c>
      <c r="FH195" s="72">
        <f t="shared" si="227"/>
        <v>12087</v>
      </c>
      <c r="FI195" s="260">
        <f t="shared" si="261"/>
        <v>60435</v>
      </c>
      <c r="FJ195" s="60" t="s">
        <v>65</v>
      </c>
    </row>
    <row r="196" spans="1:167" s="40" customFormat="1" ht="29" x14ac:dyDescent="0.35">
      <c r="A196" s="37">
        <v>190</v>
      </c>
      <c r="B196" s="210" t="s">
        <v>411</v>
      </c>
      <c r="C196" s="210" t="s">
        <v>1017</v>
      </c>
      <c r="D196" s="249" t="s">
        <v>64</v>
      </c>
      <c r="E196" s="220">
        <v>5</v>
      </c>
      <c r="F196" s="230"/>
      <c r="G196" s="58"/>
      <c r="H196" s="230"/>
      <c r="I196" s="58"/>
      <c r="J196" s="230"/>
      <c r="K196" s="58"/>
      <c r="L196" s="45"/>
      <c r="M196" s="58"/>
      <c r="N196" s="45"/>
      <c r="O196" s="58"/>
      <c r="P196" s="45"/>
      <c r="Q196" s="58"/>
      <c r="R196" s="45"/>
      <c r="S196" s="58"/>
      <c r="T196" s="45"/>
      <c r="U196" s="58"/>
      <c r="V196" s="45"/>
      <c r="W196" s="58"/>
      <c r="X196" s="45"/>
      <c r="Y196" s="58"/>
      <c r="Z196" s="45"/>
      <c r="AA196" s="58"/>
      <c r="AB196" s="45"/>
      <c r="AC196" s="58"/>
      <c r="AD196" s="58"/>
      <c r="AE196" s="58"/>
      <c r="AF196" s="45"/>
      <c r="AG196" s="58"/>
      <c r="AH196" s="45"/>
      <c r="AI196" s="58"/>
      <c r="AJ196" s="45"/>
      <c r="AK196" s="58"/>
      <c r="AL196" s="45"/>
      <c r="AM196" s="58"/>
      <c r="AN196" s="45"/>
      <c r="AO196" s="58"/>
      <c r="AP196" s="45"/>
      <c r="AQ196" s="58"/>
      <c r="AR196" s="45"/>
      <c r="AS196" s="58"/>
      <c r="AT196" s="45"/>
      <c r="AU196" s="58"/>
      <c r="AV196" s="45"/>
      <c r="AW196" s="58"/>
      <c r="AX196" s="45"/>
      <c r="AY196" s="58"/>
      <c r="AZ196" s="45"/>
      <c r="BA196" s="58"/>
      <c r="BB196" s="45"/>
      <c r="BC196" s="58"/>
      <c r="BD196" s="45"/>
      <c r="BE196" s="58"/>
      <c r="BF196" s="45"/>
      <c r="BG196" s="58"/>
      <c r="BH196" s="45"/>
      <c r="BI196" s="58"/>
      <c r="BJ196" s="45"/>
      <c r="BK196" s="58"/>
      <c r="BL196" s="45"/>
      <c r="BM196" s="58"/>
      <c r="BN196" s="45"/>
      <c r="BO196" s="58"/>
      <c r="BP196" s="45"/>
      <c r="BQ196" s="58"/>
      <c r="BR196" s="45"/>
      <c r="BS196" s="58"/>
      <c r="BT196" s="45"/>
      <c r="BU196" s="58"/>
      <c r="BV196" s="45"/>
      <c r="BW196" s="58"/>
      <c r="BX196" s="45"/>
      <c r="BY196" s="58"/>
      <c r="BZ196" s="45"/>
      <c r="CA196" s="58"/>
      <c r="CB196" s="45"/>
      <c r="CC196" s="58"/>
      <c r="CD196" s="45"/>
      <c r="CE196" s="58"/>
      <c r="CF196" s="45"/>
      <c r="CG196" s="58"/>
      <c r="CH196" s="45"/>
      <c r="CI196" s="58"/>
      <c r="CJ196" s="45"/>
      <c r="CK196" s="58">
        <f t="shared" ref="CK196" si="275">+(CJ196*5.1%)+CJ196</f>
        <v>0</v>
      </c>
      <c r="CL196" s="45"/>
      <c r="CM196" s="58"/>
      <c r="CN196" s="45"/>
      <c r="CO196" s="58"/>
      <c r="CP196" s="45"/>
      <c r="CQ196" s="58"/>
      <c r="CR196" s="45"/>
      <c r="CS196" s="58"/>
      <c r="CT196" s="45"/>
      <c r="CU196" s="58"/>
      <c r="CV196" s="45"/>
      <c r="CW196" s="58"/>
      <c r="CX196" s="45"/>
      <c r="CY196" s="58"/>
      <c r="CZ196" s="45"/>
      <c r="DA196" s="58"/>
      <c r="DB196" s="45"/>
      <c r="DC196" s="58"/>
      <c r="DD196" s="45"/>
      <c r="DE196" s="58"/>
      <c r="DF196" s="45"/>
      <c r="DG196" s="58"/>
      <c r="DH196" s="45"/>
      <c r="DI196" s="58"/>
      <c r="DJ196" s="45"/>
      <c r="DK196" s="58"/>
      <c r="DL196" s="45"/>
      <c r="DM196" s="58"/>
      <c r="DN196" s="45">
        <v>7500</v>
      </c>
      <c r="DO196" s="58">
        <f t="shared" ref="DO196" si="276">+(DN196*5.1%)+DN196</f>
        <v>7882.5</v>
      </c>
      <c r="DP196" s="45">
        <v>7000</v>
      </c>
      <c r="DQ196" s="58">
        <f t="shared" ref="DQ196" si="277">+(DP196*5.1%)+DP196</f>
        <v>7357</v>
      </c>
      <c r="DR196" s="45">
        <v>5500</v>
      </c>
      <c r="DS196" s="58">
        <f t="shared" ref="DS196" si="278">+(DR196*5.1%)+DR196</f>
        <v>5780.5</v>
      </c>
      <c r="DT196" s="45"/>
      <c r="DU196" s="58"/>
      <c r="DV196" s="45"/>
      <c r="DW196" s="58"/>
      <c r="DX196" s="45"/>
      <c r="DY196" s="58"/>
      <c r="DZ196" s="45"/>
      <c r="EA196" s="58"/>
      <c r="EB196" s="45"/>
      <c r="EC196" s="58"/>
      <c r="ED196" s="45"/>
      <c r="EE196" s="217"/>
      <c r="EF196" s="222"/>
      <c r="EG196" s="56"/>
      <c r="EH196" s="222"/>
      <c r="EI196" s="58"/>
      <c r="EJ196" s="58"/>
      <c r="EK196" s="58"/>
      <c r="EL196" s="230"/>
      <c r="EM196" s="230"/>
      <c r="EN196" s="255" t="s">
        <v>209</v>
      </c>
      <c r="EO196" s="256" t="s">
        <v>209</v>
      </c>
      <c r="EP196" s="256" t="s">
        <v>209</v>
      </c>
      <c r="EQ196" s="256" t="s">
        <v>209</v>
      </c>
      <c r="ER196" s="256"/>
      <c r="ES196" s="256"/>
      <c r="ET196" s="256"/>
      <c r="EU196" s="256"/>
      <c r="EV196" s="256"/>
      <c r="EW196" s="256"/>
      <c r="EX196" s="256"/>
      <c r="EY196" s="256"/>
      <c r="EZ196" s="256"/>
      <c r="FA196" s="256"/>
      <c r="FB196" s="69">
        <f>MEDIAN(DO196,DQ196,DS196)</f>
        <v>7357</v>
      </c>
      <c r="FC196" s="69">
        <f t="shared" ref="FC196:FC197" si="279">AVERAGE(DO196,DQ196,DS196)</f>
        <v>7006.666666666667</v>
      </c>
      <c r="FD196" s="70">
        <f t="shared" ref="FD196:FD197" si="280">STDEV(DO196,DQ196,DS196)</f>
        <v>1093.9154827194504</v>
      </c>
      <c r="FE196" s="65">
        <f t="shared" ref="FE196:FE197" si="281">FD196/FC196</f>
        <v>0.15612494995995962</v>
      </c>
      <c r="FF196" s="88">
        <f t="shared" ref="FF196:FF197" si="282">FH196/1.19</f>
        <v>6182.3529411764712</v>
      </c>
      <c r="FG196" s="88">
        <f t="shared" ref="FG196:FG204" si="283">+FF196*19%</f>
        <v>1174.6470588235295</v>
      </c>
      <c r="FH196" s="72">
        <f t="shared" si="227"/>
        <v>7357</v>
      </c>
      <c r="FI196" s="260">
        <f t="shared" si="261"/>
        <v>36785</v>
      </c>
      <c r="FJ196" s="60" t="s">
        <v>66</v>
      </c>
    </row>
    <row r="197" spans="1:167" s="40" customFormat="1" ht="29" x14ac:dyDescent="0.35">
      <c r="A197" s="37">
        <v>191</v>
      </c>
      <c r="B197" s="210" t="s">
        <v>412</v>
      </c>
      <c r="C197" s="210" t="s">
        <v>1016</v>
      </c>
      <c r="D197" s="249" t="s">
        <v>131</v>
      </c>
      <c r="E197" s="220">
        <v>5</v>
      </c>
      <c r="F197" s="230"/>
      <c r="G197" s="58"/>
      <c r="H197" s="230"/>
      <c r="I197" s="58"/>
      <c r="J197" s="230"/>
      <c r="K197" s="58"/>
      <c r="L197" s="45"/>
      <c r="M197" s="58"/>
      <c r="N197" s="45"/>
      <c r="O197" s="58"/>
      <c r="P197" s="45"/>
      <c r="Q197" s="58"/>
      <c r="R197" s="45"/>
      <c r="S197" s="58"/>
      <c r="T197" s="45"/>
      <c r="U197" s="58"/>
      <c r="V197" s="45"/>
      <c r="W197" s="58"/>
      <c r="X197" s="45"/>
      <c r="Y197" s="58"/>
      <c r="Z197" s="45"/>
      <c r="AA197" s="58"/>
      <c r="AB197" s="45"/>
      <c r="AC197" s="58"/>
      <c r="AD197" s="58"/>
      <c r="AE197" s="58"/>
      <c r="AF197" s="45"/>
      <c r="AG197" s="58"/>
      <c r="AH197" s="45"/>
      <c r="AI197" s="58"/>
      <c r="AJ197" s="45"/>
      <c r="AK197" s="58"/>
      <c r="AL197" s="45"/>
      <c r="AM197" s="58"/>
      <c r="AN197" s="45"/>
      <c r="AO197" s="58"/>
      <c r="AP197" s="45"/>
      <c r="AQ197" s="58"/>
      <c r="AR197" s="45"/>
      <c r="AS197" s="58"/>
      <c r="AT197" s="45"/>
      <c r="AU197" s="58"/>
      <c r="AV197" s="45"/>
      <c r="AW197" s="58"/>
      <c r="AX197" s="45"/>
      <c r="AY197" s="58"/>
      <c r="AZ197" s="45"/>
      <c r="BA197" s="58"/>
      <c r="BB197" s="45"/>
      <c r="BC197" s="58"/>
      <c r="BD197" s="45"/>
      <c r="BE197" s="58"/>
      <c r="BF197" s="45"/>
      <c r="BG197" s="58"/>
      <c r="BH197" s="45"/>
      <c r="BI197" s="58"/>
      <c r="BJ197" s="45"/>
      <c r="BK197" s="58"/>
      <c r="BL197" s="45"/>
      <c r="BM197" s="58"/>
      <c r="BN197" s="45"/>
      <c r="BO197" s="58"/>
      <c r="BP197" s="45"/>
      <c r="BQ197" s="58"/>
      <c r="BR197" s="45"/>
      <c r="BS197" s="58"/>
      <c r="BT197" s="45"/>
      <c r="BU197" s="58"/>
      <c r="BV197" s="45"/>
      <c r="BW197" s="58"/>
      <c r="BX197" s="45"/>
      <c r="BY197" s="58"/>
      <c r="BZ197" s="45"/>
      <c r="CA197" s="58"/>
      <c r="CB197" s="45"/>
      <c r="CC197" s="58"/>
      <c r="CD197" s="45"/>
      <c r="CE197" s="58"/>
      <c r="CF197" s="45"/>
      <c r="CG197" s="58"/>
      <c r="CH197" s="45"/>
      <c r="CI197" s="58"/>
      <c r="CJ197" s="45"/>
      <c r="CK197" s="58">
        <f t="shared" ref="CK197" si="284">+(CJ197*5.1%)+CJ197</f>
        <v>0</v>
      </c>
      <c r="CL197" s="45"/>
      <c r="CM197" s="58"/>
      <c r="CN197" s="45"/>
      <c r="CO197" s="58"/>
      <c r="CP197" s="45"/>
      <c r="CQ197" s="58"/>
      <c r="CR197" s="45"/>
      <c r="CS197" s="58"/>
      <c r="CT197" s="45"/>
      <c r="CU197" s="58"/>
      <c r="CV197" s="45"/>
      <c r="CW197" s="58"/>
      <c r="CX197" s="45"/>
      <c r="CY197" s="58"/>
      <c r="CZ197" s="45"/>
      <c r="DA197" s="58"/>
      <c r="DB197" s="45"/>
      <c r="DC197" s="58"/>
      <c r="DD197" s="45"/>
      <c r="DE197" s="58"/>
      <c r="DF197" s="45"/>
      <c r="DG197" s="58"/>
      <c r="DH197" s="45"/>
      <c r="DI197" s="58"/>
      <c r="DJ197" s="45"/>
      <c r="DK197" s="58"/>
      <c r="DL197" s="45"/>
      <c r="DM197" s="58"/>
      <c r="DN197" s="45">
        <v>9998</v>
      </c>
      <c r="DO197" s="58">
        <f t="shared" ref="DO197" si="285">+(DN197*5.1%)+DN197</f>
        <v>10507.897999999999</v>
      </c>
      <c r="DP197" s="45">
        <v>8000</v>
      </c>
      <c r="DQ197" s="58">
        <f t="shared" ref="DQ197" si="286">+(DP197*5.1%)+DP197</f>
        <v>8408</v>
      </c>
      <c r="DR197" s="45">
        <v>6500</v>
      </c>
      <c r="DS197" s="58">
        <f t="shared" ref="DS197" si="287">+(DR197*5.1%)+DR197</f>
        <v>6831.5</v>
      </c>
      <c r="DT197" s="45"/>
      <c r="DU197" s="58"/>
      <c r="DV197" s="45"/>
      <c r="DW197" s="58"/>
      <c r="DX197" s="45"/>
      <c r="DY197" s="58"/>
      <c r="DZ197" s="45"/>
      <c r="EA197" s="58"/>
      <c r="EB197" s="45"/>
      <c r="EC197" s="58"/>
      <c r="ED197" s="45"/>
      <c r="EE197" s="217"/>
      <c r="EF197" s="222"/>
      <c r="EG197" s="56"/>
      <c r="EH197" s="222"/>
      <c r="EI197" s="58"/>
      <c r="EJ197" s="58"/>
      <c r="EK197" s="58"/>
      <c r="EL197" s="230"/>
      <c r="EM197" s="230"/>
      <c r="EN197" s="255" t="s">
        <v>209</v>
      </c>
      <c r="EO197" s="256" t="s">
        <v>209</v>
      </c>
      <c r="EP197" s="256" t="s">
        <v>209</v>
      </c>
      <c r="EQ197" s="256" t="s">
        <v>209</v>
      </c>
      <c r="ER197" s="256"/>
      <c r="ES197" s="256"/>
      <c r="ET197" s="256"/>
      <c r="EU197" s="256"/>
      <c r="EV197" s="256"/>
      <c r="EW197" s="256"/>
      <c r="EX197" s="256"/>
      <c r="EY197" s="256"/>
      <c r="EZ197" s="256"/>
      <c r="FA197" s="256"/>
      <c r="FB197" s="69">
        <f>MEDIAN(DO197,DQ197,DS197)</f>
        <v>8408</v>
      </c>
      <c r="FC197" s="69">
        <f t="shared" si="279"/>
        <v>8582.4660000000003</v>
      </c>
      <c r="FD197" s="70">
        <f t="shared" si="280"/>
        <v>1844.3981003210693</v>
      </c>
      <c r="FE197" s="65">
        <f t="shared" si="281"/>
        <v>0.21490304771624719</v>
      </c>
      <c r="FF197" s="88">
        <f t="shared" si="282"/>
        <v>7065.546218487395</v>
      </c>
      <c r="FG197" s="88">
        <f t="shared" si="283"/>
        <v>1342.453781512605</v>
      </c>
      <c r="FH197" s="72">
        <f t="shared" si="227"/>
        <v>8408</v>
      </c>
      <c r="FI197" s="260">
        <f t="shared" si="261"/>
        <v>42040</v>
      </c>
      <c r="FJ197" s="60" t="s">
        <v>66</v>
      </c>
    </row>
    <row r="198" spans="1:167" s="40" customFormat="1" ht="29" x14ac:dyDescent="0.35">
      <c r="A198" s="36">
        <v>192</v>
      </c>
      <c r="B198" s="210" t="s">
        <v>413</v>
      </c>
      <c r="C198" s="210" t="s">
        <v>414</v>
      </c>
      <c r="D198" s="249" t="s">
        <v>131</v>
      </c>
      <c r="E198" s="220">
        <v>10</v>
      </c>
      <c r="F198" s="230"/>
      <c r="G198" s="58"/>
      <c r="H198" s="230"/>
      <c r="I198" s="58"/>
      <c r="J198" s="230"/>
      <c r="K198" s="58"/>
      <c r="L198" s="45"/>
      <c r="M198" s="58"/>
      <c r="N198" s="45"/>
      <c r="O198" s="58"/>
      <c r="P198" s="45"/>
      <c r="Q198" s="58"/>
      <c r="R198" s="45"/>
      <c r="S198" s="58"/>
      <c r="T198" s="45"/>
      <c r="U198" s="58"/>
      <c r="V198" s="45"/>
      <c r="W198" s="58"/>
      <c r="X198" s="45"/>
      <c r="Y198" s="58"/>
      <c r="Z198" s="45"/>
      <c r="AA198" s="58"/>
      <c r="AB198" s="45"/>
      <c r="AC198" s="58"/>
      <c r="AD198" s="58"/>
      <c r="AE198" s="58"/>
      <c r="AF198" s="45"/>
      <c r="AG198" s="58"/>
      <c r="AH198" s="45"/>
      <c r="AI198" s="58"/>
      <c r="AJ198" s="45"/>
      <c r="AK198" s="58"/>
      <c r="AL198" s="45"/>
      <c r="AM198" s="58"/>
      <c r="AN198" s="45"/>
      <c r="AO198" s="58"/>
      <c r="AP198" s="45"/>
      <c r="AQ198" s="58"/>
      <c r="AR198" s="45"/>
      <c r="AS198" s="58"/>
      <c r="AT198" s="45"/>
      <c r="AU198" s="58"/>
      <c r="AV198" s="45"/>
      <c r="AW198" s="58"/>
      <c r="AX198" s="45"/>
      <c r="AY198" s="58"/>
      <c r="AZ198" s="45"/>
      <c r="BA198" s="58"/>
      <c r="BB198" s="45"/>
      <c r="BC198" s="58"/>
      <c r="BD198" s="45"/>
      <c r="BE198" s="58"/>
      <c r="BF198" s="45"/>
      <c r="BG198" s="58"/>
      <c r="BH198" s="45"/>
      <c r="BI198" s="58"/>
      <c r="BJ198" s="45"/>
      <c r="BK198" s="58"/>
      <c r="BL198" s="45"/>
      <c r="BM198" s="58"/>
      <c r="BN198" s="45"/>
      <c r="BO198" s="58"/>
      <c r="BP198" s="45"/>
      <c r="BQ198" s="58"/>
      <c r="BR198" s="45"/>
      <c r="BS198" s="58"/>
      <c r="BT198" s="45"/>
      <c r="BU198" s="58"/>
      <c r="BV198" s="45"/>
      <c r="BW198" s="58"/>
      <c r="BX198" s="45"/>
      <c r="BY198" s="58"/>
      <c r="BZ198" s="45"/>
      <c r="CA198" s="58"/>
      <c r="CB198" s="45"/>
      <c r="CC198" s="58"/>
      <c r="CD198" s="45"/>
      <c r="CE198" s="58"/>
      <c r="CF198" s="45"/>
      <c r="CG198" s="58"/>
      <c r="CH198" s="45"/>
      <c r="CI198" s="58"/>
      <c r="CJ198" s="45"/>
      <c r="CK198" s="58">
        <f t="shared" ref="CK198" si="288">+(CJ198*5.1%)+CJ198</f>
        <v>0</v>
      </c>
      <c r="CL198" s="45"/>
      <c r="CM198" s="58"/>
      <c r="CN198" s="45"/>
      <c r="CO198" s="58"/>
      <c r="CP198" s="45"/>
      <c r="CQ198" s="58"/>
      <c r="CR198" s="45"/>
      <c r="CS198" s="58"/>
      <c r="CT198" s="45"/>
      <c r="CU198" s="58"/>
      <c r="CV198" s="45"/>
      <c r="CW198" s="58"/>
      <c r="CX198" s="45"/>
      <c r="CY198" s="58"/>
      <c r="CZ198" s="45"/>
      <c r="DA198" s="58"/>
      <c r="DB198" s="45"/>
      <c r="DC198" s="58"/>
      <c r="DD198" s="45"/>
      <c r="DE198" s="58"/>
      <c r="DF198" s="45"/>
      <c r="DG198" s="58"/>
      <c r="DH198" s="45"/>
      <c r="DI198" s="58"/>
      <c r="DJ198" s="45">
        <v>3500</v>
      </c>
      <c r="DK198" s="58">
        <f t="shared" ref="DK198" si="289">+(DJ198*5.1%)+DJ198</f>
        <v>3678.5</v>
      </c>
      <c r="DL198" s="45">
        <v>3500</v>
      </c>
      <c r="DM198" s="58">
        <f t="shared" ref="DM198" si="290">+(DL198*5.1%)+DL198</f>
        <v>3678.5</v>
      </c>
      <c r="DN198" s="45"/>
      <c r="DO198" s="58"/>
      <c r="DP198" s="45"/>
      <c r="DQ198" s="58"/>
      <c r="DR198" s="45"/>
      <c r="DS198" s="58"/>
      <c r="DT198" s="45"/>
      <c r="DU198" s="58"/>
      <c r="DV198" s="45"/>
      <c r="DW198" s="58"/>
      <c r="DX198" s="45"/>
      <c r="DY198" s="58"/>
      <c r="DZ198" s="45"/>
      <c r="EA198" s="58"/>
      <c r="EB198" s="45"/>
      <c r="EC198" s="58"/>
      <c r="ED198" s="45"/>
      <c r="EE198" s="217"/>
      <c r="EF198" s="222"/>
      <c r="EG198" s="56"/>
      <c r="EH198" s="222"/>
      <c r="EI198" s="58"/>
      <c r="EJ198" s="58"/>
      <c r="EK198" s="58"/>
      <c r="EL198" s="230"/>
      <c r="EM198" s="230"/>
      <c r="EN198" s="255" t="s">
        <v>209</v>
      </c>
      <c r="EO198" s="256" t="s">
        <v>209</v>
      </c>
      <c r="EP198" s="256" t="s">
        <v>209</v>
      </c>
      <c r="EQ198" s="256" t="s">
        <v>209</v>
      </c>
      <c r="ER198" s="256"/>
      <c r="ES198" s="256"/>
      <c r="ET198" s="256"/>
      <c r="EU198" s="256"/>
      <c r="EV198" s="256"/>
      <c r="EW198" s="256"/>
      <c r="EX198" s="256"/>
      <c r="EY198" s="256"/>
      <c r="EZ198" s="256"/>
      <c r="FA198" s="256"/>
      <c r="FB198" s="69">
        <f>MEDIAN(DK198,DM198)</f>
        <v>3678.5</v>
      </c>
      <c r="FC198" s="69">
        <f>AVERAGE(DK198,DM198)</f>
        <v>3678.5</v>
      </c>
      <c r="FD198" s="70">
        <f>STDEV(DK198,DM198)</f>
        <v>0</v>
      </c>
      <c r="FE198" s="65">
        <f t="shared" si="274"/>
        <v>0</v>
      </c>
      <c r="FF198" s="88">
        <f t="shared" ref="FF198:FF204" si="291">FH198/1.19</f>
        <v>3091.5966386554624</v>
      </c>
      <c r="FG198" s="88">
        <f t="shared" si="283"/>
        <v>587.40336134453787</v>
      </c>
      <c r="FH198" s="72">
        <f t="shared" si="227"/>
        <v>3679</v>
      </c>
      <c r="FI198" s="260">
        <f t="shared" si="261"/>
        <v>36790</v>
      </c>
      <c r="FJ198" s="60" t="s">
        <v>65</v>
      </c>
    </row>
    <row r="199" spans="1:167" s="40" customFormat="1" ht="29" x14ac:dyDescent="0.35">
      <c r="A199" s="36">
        <v>193</v>
      </c>
      <c r="B199" s="210" t="s">
        <v>415</v>
      </c>
      <c r="C199" s="210" t="s">
        <v>416</v>
      </c>
      <c r="D199" s="249" t="s">
        <v>131</v>
      </c>
      <c r="E199" s="220">
        <v>12</v>
      </c>
      <c r="F199" s="230"/>
      <c r="G199" s="58"/>
      <c r="H199" s="230"/>
      <c r="I199" s="58"/>
      <c r="J199" s="230"/>
      <c r="K199" s="58"/>
      <c r="L199" s="45"/>
      <c r="M199" s="58"/>
      <c r="N199" s="45"/>
      <c r="O199" s="58"/>
      <c r="P199" s="45"/>
      <c r="Q199" s="58"/>
      <c r="R199" s="45"/>
      <c r="S199" s="58"/>
      <c r="T199" s="45"/>
      <c r="U199" s="58"/>
      <c r="V199" s="45"/>
      <c r="W199" s="58"/>
      <c r="X199" s="45"/>
      <c r="Y199" s="58"/>
      <c r="Z199" s="45"/>
      <c r="AA199" s="58"/>
      <c r="AB199" s="45"/>
      <c r="AC199" s="58"/>
      <c r="AD199" s="58"/>
      <c r="AE199" s="58"/>
      <c r="AF199" s="45"/>
      <c r="AG199" s="58"/>
      <c r="AH199" s="45"/>
      <c r="AI199" s="58"/>
      <c r="AJ199" s="45"/>
      <c r="AK199" s="58"/>
      <c r="AL199" s="45"/>
      <c r="AM199" s="58"/>
      <c r="AN199" s="45"/>
      <c r="AO199" s="58"/>
      <c r="AP199" s="45"/>
      <c r="AQ199" s="58"/>
      <c r="AR199" s="45"/>
      <c r="AS199" s="58"/>
      <c r="AT199" s="45"/>
      <c r="AU199" s="58"/>
      <c r="AV199" s="45"/>
      <c r="AW199" s="58"/>
      <c r="AX199" s="45"/>
      <c r="AY199" s="58"/>
      <c r="AZ199" s="45"/>
      <c r="BA199" s="58"/>
      <c r="BB199" s="45"/>
      <c r="BC199" s="58"/>
      <c r="BD199" s="45"/>
      <c r="BE199" s="58"/>
      <c r="BF199" s="45"/>
      <c r="BG199" s="58"/>
      <c r="BH199" s="45"/>
      <c r="BI199" s="58"/>
      <c r="BJ199" s="45"/>
      <c r="BK199" s="58"/>
      <c r="BL199" s="45"/>
      <c r="BM199" s="58"/>
      <c r="BN199" s="45"/>
      <c r="BO199" s="58"/>
      <c r="BP199" s="45"/>
      <c r="BQ199" s="58"/>
      <c r="BR199" s="45"/>
      <c r="BS199" s="58"/>
      <c r="BT199" s="45"/>
      <c r="BU199" s="58"/>
      <c r="BV199" s="45"/>
      <c r="BW199" s="58"/>
      <c r="BX199" s="45"/>
      <c r="BY199" s="58"/>
      <c r="BZ199" s="45"/>
      <c r="CA199" s="58"/>
      <c r="CB199" s="45"/>
      <c r="CC199" s="58"/>
      <c r="CD199" s="45"/>
      <c r="CE199" s="58"/>
      <c r="CF199" s="45"/>
      <c r="CG199" s="58"/>
      <c r="CH199" s="45"/>
      <c r="CI199" s="58"/>
      <c r="CJ199" s="45"/>
      <c r="CK199" s="58"/>
      <c r="CL199" s="45"/>
      <c r="CM199" s="58"/>
      <c r="CN199" s="45"/>
      <c r="CO199" s="58"/>
      <c r="CP199" s="45"/>
      <c r="CQ199" s="58"/>
      <c r="CR199" s="45"/>
      <c r="CS199" s="58"/>
      <c r="CT199" s="45"/>
      <c r="CU199" s="58"/>
      <c r="CV199" s="45"/>
      <c r="CW199" s="58"/>
      <c r="CX199" s="45"/>
      <c r="CY199" s="58"/>
      <c r="CZ199" s="45"/>
      <c r="DA199" s="58"/>
      <c r="DB199" s="45"/>
      <c r="DC199" s="58"/>
      <c r="DD199" s="45"/>
      <c r="DE199" s="58"/>
      <c r="DF199" s="45">
        <v>1000</v>
      </c>
      <c r="DG199" s="58">
        <f t="shared" ref="DG199" si="292">+(DF199*5.1%)+DF199</f>
        <v>1051</v>
      </c>
      <c r="DH199" s="45">
        <v>1000</v>
      </c>
      <c r="DI199" s="58">
        <f t="shared" ref="DI199" si="293">+(DH199*5.1%)+DH199</f>
        <v>1051</v>
      </c>
      <c r="DJ199" s="45"/>
      <c r="DK199" s="58"/>
      <c r="DL199" s="45"/>
      <c r="DM199" s="58"/>
      <c r="DN199" s="45"/>
      <c r="DO199" s="58"/>
      <c r="DP199" s="45"/>
      <c r="DQ199" s="58"/>
      <c r="DR199" s="45">
        <v>1000</v>
      </c>
      <c r="DS199" s="58">
        <f t="shared" ref="DS199" si="294">+(DR199*5.1%)+DR199</f>
        <v>1051</v>
      </c>
      <c r="DT199" s="45"/>
      <c r="DU199" s="58"/>
      <c r="DV199" s="45"/>
      <c r="DW199" s="58"/>
      <c r="DX199" s="45"/>
      <c r="DY199" s="58"/>
      <c r="DZ199" s="45"/>
      <c r="EA199" s="58"/>
      <c r="EB199" s="45"/>
      <c r="EC199" s="58"/>
      <c r="ED199" s="45"/>
      <c r="EE199" s="217"/>
      <c r="EF199" s="222"/>
      <c r="EG199" s="56"/>
      <c r="EH199" s="222"/>
      <c r="EI199" s="58"/>
      <c r="EJ199" s="58"/>
      <c r="EK199" s="58"/>
      <c r="EL199" s="230"/>
      <c r="EM199" s="230"/>
      <c r="EN199" s="255" t="s">
        <v>209</v>
      </c>
      <c r="EO199" s="256" t="s">
        <v>209</v>
      </c>
      <c r="EP199" s="256" t="s">
        <v>209</v>
      </c>
      <c r="EQ199" s="256" t="s">
        <v>209</v>
      </c>
      <c r="ER199" s="256"/>
      <c r="ES199" s="256"/>
      <c r="ET199" s="256"/>
      <c r="EU199" s="256"/>
      <c r="EV199" s="256"/>
      <c r="EW199" s="256"/>
      <c r="EX199" s="256"/>
      <c r="EY199" s="256"/>
      <c r="EZ199" s="256"/>
      <c r="FA199" s="256"/>
      <c r="FB199" s="69">
        <f>MEDIAN(DG199,DI199,DS199)</f>
        <v>1051</v>
      </c>
      <c r="FC199" s="69">
        <f>AVERAGE(DG199,DI199,DS199)</f>
        <v>1051</v>
      </c>
      <c r="FD199" s="70">
        <f>STDEV(DG199,DI199,DS199)</f>
        <v>0</v>
      </c>
      <c r="FE199" s="65">
        <f t="shared" si="274"/>
        <v>0</v>
      </c>
      <c r="FF199" s="88">
        <f t="shared" si="291"/>
        <v>883.19327731092437</v>
      </c>
      <c r="FG199" s="88">
        <f t="shared" si="283"/>
        <v>167.80672268907563</v>
      </c>
      <c r="FH199" s="72">
        <f t="shared" si="227"/>
        <v>1051</v>
      </c>
      <c r="FI199" s="260">
        <f t="shared" si="261"/>
        <v>12612</v>
      </c>
      <c r="FJ199" s="60" t="s">
        <v>65</v>
      </c>
      <c r="FK199" s="343"/>
    </row>
    <row r="200" spans="1:167" s="40" customFormat="1" ht="29" x14ac:dyDescent="0.35">
      <c r="A200" s="37">
        <v>194</v>
      </c>
      <c r="B200" s="210" t="s">
        <v>417</v>
      </c>
      <c r="C200" s="210" t="s">
        <v>418</v>
      </c>
      <c r="D200" s="249" t="s">
        <v>131</v>
      </c>
      <c r="E200" s="220">
        <v>10</v>
      </c>
      <c r="F200" s="230"/>
      <c r="G200" s="58"/>
      <c r="H200" s="230"/>
      <c r="I200" s="58"/>
      <c r="J200" s="230"/>
      <c r="K200" s="58"/>
      <c r="L200" s="45"/>
      <c r="M200" s="58"/>
      <c r="N200" s="45"/>
      <c r="O200" s="58"/>
      <c r="P200" s="45"/>
      <c r="Q200" s="58"/>
      <c r="R200" s="45"/>
      <c r="S200" s="58"/>
      <c r="T200" s="45"/>
      <c r="U200" s="58"/>
      <c r="V200" s="45"/>
      <c r="W200" s="58"/>
      <c r="X200" s="45"/>
      <c r="Y200" s="58"/>
      <c r="Z200" s="45"/>
      <c r="AA200" s="58"/>
      <c r="AB200" s="45"/>
      <c r="AC200" s="58"/>
      <c r="AD200" s="58"/>
      <c r="AE200" s="58"/>
      <c r="AF200" s="45"/>
      <c r="AG200" s="58"/>
      <c r="AH200" s="45"/>
      <c r="AI200" s="58"/>
      <c r="AJ200" s="45"/>
      <c r="AK200" s="58"/>
      <c r="AL200" s="45"/>
      <c r="AM200" s="58"/>
      <c r="AN200" s="45"/>
      <c r="AO200" s="58"/>
      <c r="AP200" s="45"/>
      <c r="AQ200" s="58"/>
      <c r="AR200" s="45"/>
      <c r="AS200" s="58"/>
      <c r="AT200" s="45"/>
      <c r="AU200" s="58"/>
      <c r="AV200" s="45"/>
      <c r="AW200" s="58"/>
      <c r="AX200" s="45"/>
      <c r="AY200" s="58"/>
      <c r="AZ200" s="45"/>
      <c r="BA200" s="58"/>
      <c r="BB200" s="45"/>
      <c r="BC200" s="58"/>
      <c r="BD200" s="45"/>
      <c r="BE200" s="58"/>
      <c r="BF200" s="45"/>
      <c r="BG200" s="58"/>
      <c r="BH200" s="45"/>
      <c r="BI200" s="58"/>
      <c r="BJ200" s="45"/>
      <c r="BK200" s="58"/>
      <c r="BL200" s="45"/>
      <c r="BM200" s="58"/>
      <c r="BN200" s="45"/>
      <c r="BO200" s="58"/>
      <c r="BP200" s="45"/>
      <c r="BQ200" s="58"/>
      <c r="BR200" s="45"/>
      <c r="BS200" s="58"/>
      <c r="BT200" s="45"/>
      <c r="BU200" s="58"/>
      <c r="BV200" s="45"/>
      <c r="BW200" s="58"/>
      <c r="BX200" s="45"/>
      <c r="BY200" s="58"/>
      <c r="BZ200" s="45"/>
      <c r="CA200" s="58"/>
      <c r="CB200" s="45"/>
      <c r="CC200" s="58"/>
      <c r="CD200" s="45"/>
      <c r="CE200" s="58"/>
      <c r="CF200" s="45"/>
      <c r="CG200" s="58"/>
      <c r="CH200" s="45"/>
      <c r="CI200" s="58"/>
      <c r="CJ200" s="45">
        <v>5243</v>
      </c>
      <c r="CK200" s="58">
        <f t="shared" ref="CK200" si="295">+(CJ200*5.1%)+CJ200</f>
        <v>5510.393</v>
      </c>
      <c r="CL200" s="45"/>
      <c r="CM200" s="58"/>
      <c r="CN200" s="45"/>
      <c r="CO200" s="58"/>
      <c r="CP200" s="45"/>
      <c r="CQ200" s="58"/>
      <c r="CR200" s="45"/>
      <c r="CS200" s="58"/>
      <c r="CT200" s="45"/>
      <c r="CU200" s="58"/>
      <c r="CV200" s="45"/>
      <c r="CW200" s="58"/>
      <c r="CX200" s="45"/>
      <c r="CY200" s="58"/>
      <c r="CZ200" s="45"/>
      <c r="DA200" s="58"/>
      <c r="DB200" s="45"/>
      <c r="DC200" s="58"/>
      <c r="DD200" s="45"/>
      <c r="DE200" s="58"/>
      <c r="DF200" s="45"/>
      <c r="DG200" s="58"/>
      <c r="DH200" s="45"/>
      <c r="DI200" s="58"/>
      <c r="DJ200" s="45"/>
      <c r="DK200" s="58"/>
      <c r="DL200" s="45"/>
      <c r="DM200" s="58"/>
      <c r="DN200" s="45">
        <v>5700</v>
      </c>
      <c r="DO200" s="58">
        <f t="shared" ref="DO200" si="296">+(DN200*5.1%)+DN200</f>
        <v>5990.7</v>
      </c>
      <c r="DP200" s="45"/>
      <c r="DQ200" s="58">
        <f t="shared" ref="DQ200" si="297">+(DP200*5.1%)+DP200</f>
        <v>0</v>
      </c>
      <c r="DR200" s="45"/>
      <c r="DS200" s="58">
        <f t="shared" ref="DS200" si="298">+(DR200*5.1%)+DR200</f>
        <v>0</v>
      </c>
      <c r="DT200" s="45"/>
      <c r="DU200" s="58"/>
      <c r="DV200" s="45"/>
      <c r="DW200" s="58"/>
      <c r="DX200" s="45"/>
      <c r="DY200" s="58"/>
      <c r="DZ200" s="45"/>
      <c r="EA200" s="58"/>
      <c r="EB200" s="45"/>
      <c r="EC200" s="58"/>
      <c r="ED200" s="45"/>
      <c r="EE200" s="217"/>
      <c r="EF200" s="222"/>
      <c r="EG200" s="56"/>
      <c r="EH200" s="222"/>
      <c r="EI200" s="58"/>
      <c r="EJ200" s="58"/>
      <c r="EK200" s="58"/>
      <c r="EL200" s="230"/>
      <c r="EM200" s="230"/>
      <c r="EN200" s="255" t="s">
        <v>209</v>
      </c>
      <c r="EO200" s="256" t="s">
        <v>209</v>
      </c>
      <c r="EP200" s="256" t="s">
        <v>209</v>
      </c>
      <c r="EQ200" s="256" t="s">
        <v>209</v>
      </c>
      <c r="ER200" s="256"/>
      <c r="ES200" s="256"/>
      <c r="ET200" s="256"/>
      <c r="EU200" s="256"/>
      <c r="EV200" s="256"/>
      <c r="EW200" s="256"/>
      <c r="EX200" s="256"/>
      <c r="EY200" s="256"/>
      <c r="EZ200" s="256"/>
      <c r="FA200" s="256"/>
      <c r="FB200" s="69">
        <f>MEDIAN(CK200,DO200)</f>
        <v>5750.5465000000004</v>
      </c>
      <c r="FC200" s="69">
        <f>AVERAGE(CK200,DO200)</f>
        <v>5750.5465000000004</v>
      </c>
      <c r="FD200" s="70">
        <f>STDEV(CK200,DO200)</f>
        <v>339.62833675136693</v>
      </c>
      <c r="FE200" s="65">
        <f t="shared" si="274"/>
        <v>5.9060184410536794E-2</v>
      </c>
      <c r="FF200" s="88">
        <f t="shared" si="291"/>
        <v>4832.7731092436979</v>
      </c>
      <c r="FG200" s="88">
        <f t="shared" si="283"/>
        <v>918.22689075630262</v>
      </c>
      <c r="FH200" s="72">
        <f t="shared" si="227"/>
        <v>5751</v>
      </c>
      <c r="FI200" s="260">
        <f t="shared" si="261"/>
        <v>57510</v>
      </c>
      <c r="FJ200" s="60" t="s">
        <v>65</v>
      </c>
      <c r="FK200" s="343"/>
    </row>
    <row r="201" spans="1:167" s="40" customFormat="1" ht="58" x14ac:dyDescent="0.35">
      <c r="A201" s="37">
        <v>195</v>
      </c>
      <c r="B201" s="210" t="s">
        <v>419</v>
      </c>
      <c r="C201" s="210" t="s">
        <v>1018</v>
      </c>
      <c r="D201" s="249" t="s">
        <v>131</v>
      </c>
      <c r="E201" s="220">
        <v>10</v>
      </c>
      <c r="F201" s="230"/>
      <c r="G201" s="58"/>
      <c r="H201" s="230"/>
      <c r="I201" s="58"/>
      <c r="J201" s="230"/>
      <c r="K201" s="58"/>
      <c r="L201" s="45"/>
      <c r="M201" s="58"/>
      <c r="N201" s="45"/>
      <c r="O201" s="58"/>
      <c r="P201" s="45"/>
      <c r="Q201" s="58"/>
      <c r="R201" s="45"/>
      <c r="S201" s="58"/>
      <c r="T201" s="45"/>
      <c r="U201" s="58"/>
      <c r="V201" s="45"/>
      <c r="W201" s="58"/>
      <c r="X201" s="45"/>
      <c r="Y201" s="58"/>
      <c r="Z201" s="45"/>
      <c r="AA201" s="58"/>
      <c r="AB201" s="45"/>
      <c r="AC201" s="58"/>
      <c r="AD201" s="58"/>
      <c r="AE201" s="58"/>
      <c r="AF201" s="45"/>
      <c r="AG201" s="58"/>
      <c r="AH201" s="45"/>
      <c r="AI201" s="58"/>
      <c r="AJ201" s="45"/>
      <c r="AK201" s="58"/>
      <c r="AL201" s="45"/>
      <c r="AM201" s="58"/>
      <c r="AN201" s="45"/>
      <c r="AO201" s="58"/>
      <c r="AP201" s="45"/>
      <c r="AQ201" s="58"/>
      <c r="AR201" s="45"/>
      <c r="AS201" s="58"/>
      <c r="AT201" s="45"/>
      <c r="AU201" s="58"/>
      <c r="AV201" s="45"/>
      <c r="AW201" s="58"/>
      <c r="AX201" s="45"/>
      <c r="AY201" s="58"/>
      <c r="AZ201" s="45"/>
      <c r="BA201" s="58"/>
      <c r="BB201" s="45"/>
      <c r="BC201" s="58"/>
      <c r="BD201" s="45"/>
      <c r="BE201" s="58"/>
      <c r="BF201" s="45"/>
      <c r="BG201" s="58"/>
      <c r="BH201" s="45"/>
      <c r="BI201" s="58"/>
      <c r="BJ201" s="45"/>
      <c r="BK201" s="58"/>
      <c r="BL201" s="45"/>
      <c r="BM201" s="58"/>
      <c r="BN201" s="45"/>
      <c r="BO201" s="58"/>
      <c r="BP201" s="45"/>
      <c r="BQ201" s="58"/>
      <c r="BR201" s="45"/>
      <c r="BS201" s="58"/>
      <c r="BT201" s="45"/>
      <c r="BU201" s="58"/>
      <c r="BV201" s="45"/>
      <c r="BW201" s="58"/>
      <c r="BX201" s="45"/>
      <c r="BY201" s="58"/>
      <c r="BZ201" s="45"/>
      <c r="CA201" s="58"/>
      <c r="CB201" s="45"/>
      <c r="CC201" s="58"/>
      <c r="CD201" s="45"/>
      <c r="CE201" s="58"/>
      <c r="CF201" s="45"/>
      <c r="CG201" s="58"/>
      <c r="CH201" s="45"/>
      <c r="CI201" s="58"/>
      <c r="CJ201" s="45"/>
      <c r="CK201" s="58"/>
      <c r="CL201" s="45"/>
      <c r="CM201" s="58"/>
      <c r="CN201" s="45"/>
      <c r="CO201" s="58"/>
      <c r="CP201" s="45"/>
      <c r="CQ201" s="58"/>
      <c r="CR201" s="45"/>
      <c r="CS201" s="58"/>
      <c r="CT201" s="45"/>
      <c r="CU201" s="58"/>
      <c r="CV201" s="45"/>
      <c r="CW201" s="58"/>
      <c r="CX201" s="45"/>
      <c r="CY201" s="58"/>
      <c r="CZ201" s="45"/>
      <c r="DA201" s="58"/>
      <c r="DB201" s="45"/>
      <c r="DC201" s="58"/>
      <c r="DD201" s="45"/>
      <c r="DE201" s="58"/>
      <c r="DF201" s="45">
        <v>60000</v>
      </c>
      <c r="DG201" s="58">
        <f t="shared" ref="DG201" si="299">+(DF201*5.1%)+DF201</f>
        <v>63060</v>
      </c>
      <c r="DH201" s="45">
        <v>70000</v>
      </c>
      <c r="DI201" s="58">
        <f t="shared" ref="DI201" si="300">+(DH201*5.1%)+DH201</f>
        <v>73570</v>
      </c>
      <c r="DJ201" s="45"/>
      <c r="DK201" s="58"/>
      <c r="DL201" s="45"/>
      <c r="DM201" s="58"/>
      <c r="DN201" s="45"/>
      <c r="DO201" s="58"/>
      <c r="DP201" s="45"/>
      <c r="DQ201" s="58"/>
      <c r="DR201" s="45"/>
      <c r="DS201" s="58"/>
      <c r="DT201" s="45"/>
      <c r="DU201" s="58"/>
      <c r="DV201" s="45"/>
      <c r="DW201" s="58"/>
      <c r="DX201" s="45"/>
      <c r="DY201" s="58"/>
      <c r="DZ201" s="45"/>
      <c r="EA201" s="58"/>
      <c r="EB201" s="45"/>
      <c r="EC201" s="58"/>
      <c r="ED201" s="45"/>
      <c r="EE201" s="217"/>
      <c r="EF201" s="222"/>
      <c r="EG201" s="56"/>
      <c r="EH201" s="222"/>
      <c r="EI201" s="58"/>
      <c r="EJ201" s="58"/>
      <c r="EK201" s="58"/>
      <c r="EL201" s="230"/>
      <c r="EM201" s="230"/>
      <c r="EN201" s="255" t="s">
        <v>209</v>
      </c>
      <c r="EO201" s="256" t="s">
        <v>209</v>
      </c>
      <c r="EP201" s="256" t="s">
        <v>209</v>
      </c>
      <c r="EQ201" s="256" t="s">
        <v>209</v>
      </c>
      <c r="ER201" s="256"/>
      <c r="ES201" s="256"/>
      <c r="ET201" s="256"/>
      <c r="EU201" s="256"/>
      <c r="EV201" s="256"/>
      <c r="EW201" s="256"/>
      <c r="EX201" s="256"/>
      <c r="EY201" s="256"/>
      <c r="EZ201" s="256"/>
      <c r="FA201" s="256"/>
      <c r="FB201" s="69">
        <f>MEDIAN(DG201,DI201)</f>
        <v>68315</v>
      </c>
      <c r="FC201" s="69">
        <f>AVERAGE(DG201,DI201)</f>
        <v>68315</v>
      </c>
      <c r="FD201" s="70">
        <f>STDEV(DG201,DI201)</f>
        <v>7431.6922702706142</v>
      </c>
      <c r="FE201" s="65">
        <f t="shared" si="274"/>
        <v>0.10878565864408424</v>
      </c>
      <c r="FF201" s="88">
        <f t="shared" si="291"/>
        <v>57407.563025210089</v>
      </c>
      <c r="FG201" s="88">
        <f t="shared" si="283"/>
        <v>10907.436974789916</v>
      </c>
      <c r="FH201" s="72">
        <f t="shared" si="227"/>
        <v>68315</v>
      </c>
      <c r="FI201" s="260">
        <f t="shared" si="261"/>
        <v>683150</v>
      </c>
      <c r="FJ201" s="60" t="s">
        <v>65</v>
      </c>
      <c r="FK201" s="343"/>
    </row>
    <row r="202" spans="1:167" s="40" customFormat="1" ht="43.5" x14ac:dyDescent="0.35">
      <c r="A202" s="37">
        <v>196</v>
      </c>
      <c r="B202" s="210" t="s">
        <v>420</v>
      </c>
      <c r="C202" s="210" t="s">
        <v>421</v>
      </c>
      <c r="D202" s="249" t="s">
        <v>313</v>
      </c>
      <c r="E202" s="220">
        <v>10</v>
      </c>
      <c r="F202" s="230"/>
      <c r="G202" s="58"/>
      <c r="H202" s="230"/>
      <c r="I202" s="58"/>
      <c r="J202" s="230"/>
      <c r="K202" s="58"/>
      <c r="L202" s="45"/>
      <c r="M202" s="58"/>
      <c r="N202" s="45"/>
      <c r="O202" s="58"/>
      <c r="P202" s="45"/>
      <c r="Q202" s="58"/>
      <c r="R202" s="45"/>
      <c r="S202" s="58"/>
      <c r="T202" s="45"/>
      <c r="U202" s="58"/>
      <c r="V202" s="45"/>
      <c r="W202" s="58"/>
      <c r="X202" s="45"/>
      <c r="Y202" s="58"/>
      <c r="Z202" s="45"/>
      <c r="AA202" s="58"/>
      <c r="AB202" s="45"/>
      <c r="AC202" s="58"/>
      <c r="AD202" s="58"/>
      <c r="AE202" s="58"/>
      <c r="AF202" s="45"/>
      <c r="AG202" s="58"/>
      <c r="AH202" s="45"/>
      <c r="AI202" s="58"/>
      <c r="AJ202" s="45"/>
      <c r="AK202" s="58"/>
      <c r="AL202" s="45"/>
      <c r="AM202" s="58"/>
      <c r="AN202" s="45"/>
      <c r="AO202" s="58"/>
      <c r="AP202" s="45"/>
      <c r="AQ202" s="58"/>
      <c r="AR202" s="45"/>
      <c r="AS202" s="58"/>
      <c r="AT202" s="45"/>
      <c r="AU202" s="58"/>
      <c r="AV202" s="45"/>
      <c r="AW202" s="58"/>
      <c r="AX202" s="45"/>
      <c r="AY202" s="58"/>
      <c r="AZ202" s="45"/>
      <c r="BA202" s="58"/>
      <c r="BB202" s="45"/>
      <c r="BC202" s="58"/>
      <c r="BD202" s="45"/>
      <c r="BE202" s="58"/>
      <c r="BF202" s="45"/>
      <c r="BG202" s="58"/>
      <c r="BH202" s="45"/>
      <c r="BI202" s="58"/>
      <c r="BJ202" s="45"/>
      <c r="BK202" s="58"/>
      <c r="BL202" s="45"/>
      <c r="BM202" s="58"/>
      <c r="BN202" s="45"/>
      <c r="BO202" s="58"/>
      <c r="BP202" s="45"/>
      <c r="BQ202" s="58"/>
      <c r="BR202" s="45"/>
      <c r="BS202" s="58"/>
      <c r="BT202" s="45"/>
      <c r="BU202" s="58"/>
      <c r="BV202" s="45"/>
      <c r="BW202" s="58"/>
      <c r="BX202" s="45"/>
      <c r="BY202" s="58"/>
      <c r="BZ202" s="45"/>
      <c r="CA202" s="58"/>
      <c r="CB202" s="45"/>
      <c r="CC202" s="58"/>
      <c r="CD202" s="45"/>
      <c r="CE202" s="58"/>
      <c r="CF202" s="45"/>
      <c r="CG202" s="58"/>
      <c r="CH202" s="45"/>
      <c r="CI202" s="58"/>
      <c r="CJ202" s="45">
        <v>6195</v>
      </c>
      <c r="CK202" s="58">
        <f t="shared" ref="CK202" si="301">+(CJ202*5.1%)+CJ202</f>
        <v>6510.9449999999997</v>
      </c>
      <c r="CL202" s="45"/>
      <c r="CM202" s="58"/>
      <c r="CN202" s="45"/>
      <c r="CO202" s="58"/>
      <c r="CP202" s="45"/>
      <c r="CQ202" s="58"/>
      <c r="CR202" s="45"/>
      <c r="CS202" s="58"/>
      <c r="CT202" s="45"/>
      <c r="CU202" s="58"/>
      <c r="CV202" s="45"/>
      <c r="CW202" s="58"/>
      <c r="CX202" s="45"/>
      <c r="CY202" s="58"/>
      <c r="CZ202" s="45"/>
      <c r="DA202" s="58"/>
      <c r="DB202" s="45"/>
      <c r="DC202" s="58"/>
      <c r="DD202" s="45"/>
      <c r="DE202" s="58"/>
      <c r="DF202" s="45"/>
      <c r="DG202" s="58"/>
      <c r="DH202" s="45"/>
      <c r="DI202" s="58"/>
      <c r="DJ202" s="45"/>
      <c r="DK202" s="58"/>
      <c r="DL202" s="45"/>
      <c r="DM202" s="58"/>
      <c r="DN202" s="45">
        <v>6902</v>
      </c>
      <c r="DO202" s="58">
        <f t="shared" ref="DO202" si="302">+(DN202*5.1%)+DN202</f>
        <v>7254.0020000000004</v>
      </c>
      <c r="DP202" s="45"/>
      <c r="DQ202" s="58"/>
      <c r="DR202" s="45"/>
      <c r="DS202" s="58"/>
      <c r="DT202" s="45"/>
      <c r="DU202" s="58"/>
      <c r="DV202" s="45"/>
      <c r="DW202" s="58"/>
      <c r="DX202" s="45"/>
      <c r="DY202" s="58"/>
      <c r="DZ202" s="45"/>
      <c r="EA202" s="58"/>
      <c r="EB202" s="45"/>
      <c r="EC202" s="58"/>
      <c r="ED202" s="45"/>
      <c r="EE202" s="217"/>
      <c r="EF202" s="222"/>
      <c r="EG202" s="56"/>
      <c r="EH202" s="222"/>
      <c r="EI202" s="58"/>
      <c r="EJ202" s="58"/>
      <c r="EK202" s="58"/>
      <c r="EL202" s="230"/>
      <c r="EM202" s="230"/>
      <c r="EN202" s="251" t="s">
        <v>209</v>
      </c>
      <c r="EO202" s="247" t="s">
        <v>209</v>
      </c>
      <c r="EP202" s="247" t="s">
        <v>209</v>
      </c>
      <c r="EQ202" s="247" t="s">
        <v>209</v>
      </c>
      <c r="ER202" s="256"/>
      <c r="ES202" s="256"/>
      <c r="ET202" s="256"/>
      <c r="EU202" s="256"/>
      <c r="EV202" s="256"/>
      <c r="EW202" s="256"/>
      <c r="EX202" s="256"/>
      <c r="EY202" s="256"/>
      <c r="EZ202" s="256"/>
      <c r="FA202" s="256"/>
      <c r="FB202" s="69">
        <f>MEDIAN(CK202,DO202)</f>
        <v>6882.4735000000001</v>
      </c>
      <c r="FC202" s="69">
        <f>AVERAGE(CK202,DO202)</f>
        <v>6882.4735000000001</v>
      </c>
      <c r="FD202" s="70">
        <f>STDEV(CK202,DO202)</f>
        <v>525.42064350813291</v>
      </c>
      <c r="FE202" s="65">
        <f t="shared" si="274"/>
        <v>7.6341833137190132E-2</v>
      </c>
      <c r="FF202" s="88">
        <f t="shared" si="291"/>
        <v>5784.0336134453783</v>
      </c>
      <c r="FG202" s="88">
        <f t="shared" si="283"/>
        <v>1098.966386554622</v>
      </c>
      <c r="FH202" s="72">
        <f t="shared" si="227"/>
        <v>6883</v>
      </c>
      <c r="FI202" s="260">
        <f t="shared" si="261"/>
        <v>68830</v>
      </c>
      <c r="FJ202" s="60" t="s">
        <v>65</v>
      </c>
      <c r="FK202" s="343"/>
    </row>
    <row r="203" spans="1:167" s="40" customFormat="1" ht="130.5" x14ac:dyDescent="0.35">
      <c r="A203" s="36">
        <v>197</v>
      </c>
      <c r="B203" s="210" t="s">
        <v>82</v>
      </c>
      <c r="C203" s="210" t="s">
        <v>422</v>
      </c>
      <c r="D203" s="249" t="s">
        <v>131</v>
      </c>
      <c r="E203" s="220">
        <v>10</v>
      </c>
      <c r="F203" s="230"/>
      <c r="G203" s="58"/>
      <c r="H203" s="230"/>
      <c r="I203" s="58"/>
      <c r="J203" s="230"/>
      <c r="K203" s="58"/>
      <c r="L203" s="45"/>
      <c r="M203" s="58"/>
      <c r="N203" s="45"/>
      <c r="O203" s="58"/>
      <c r="P203" s="45"/>
      <c r="Q203" s="58"/>
      <c r="R203" s="45"/>
      <c r="S203" s="58"/>
      <c r="T203" s="45"/>
      <c r="U203" s="58"/>
      <c r="V203" s="45"/>
      <c r="W203" s="58"/>
      <c r="X203" s="45"/>
      <c r="Y203" s="58"/>
      <c r="Z203" s="45"/>
      <c r="AA203" s="58"/>
      <c r="AB203" s="45"/>
      <c r="AC203" s="58"/>
      <c r="AD203" s="58"/>
      <c r="AE203" s="58"/>
      <c r="AF203" s="45"/>
      <c r="AG203" s="58"/>
      <c r="AH203" s="45"/>
      <c r="AI203" s="58"/>
      <c r="AJ203" s="45"/>
      <c r="AK203" s="58"/>
      <c r="AL203" s="45"/>
      <c r="AM203" s="58"/>
      <c r="AN203" s="45"/>
      <c r="AO203" s="58"/>
      <c r="AP203" s="45"/>
      <c r="AQ203" s="58"/>
      <c r="AR203" s="45"/>
      <c r="AS203" s="58"/>
      <c r="AT203" s="45"/>
      <c r="AU203" s="58"/>
      <c r="AV203" s="45"/>
      <c r="AW203" s="58"/>
      <c r="AX203" s="45"/>
      <c r="AY203" s="58"/>
      <c r="AZ203" s="45"/>
      <c r="BA203" s="58"/>
      <c r="BB203" s="45"/>
      <c r="BC203" s="58"/>
      <c r="BD203" s="45"/>
      <c r="BE203" s="58"/>
      <c r="BF203" s="45"/>
      <c r="BG203" s="58"/>
      <c r="BH203" s="45"/>
      <c r="BI203" s="58"/>
      <c r="BJ203" s="45"/>
      <c r="BK203" s="58"/>
      <c r="BL203" s="45"/>
      <c r="BM203" s="58"/>
      <c r="BN203" s="45"/>
      <c r="BO203" s="58"/>
      <c r="BP203" s="45"/>
      <c r="BQ203" s="58"/>
      <c r="BR203" s="45"/>
      <c r="BS203" s="58"/>
      <c r="BT203" s="45"/>
      <c r="BU203" s="58"/>
      <c r="BV203" s="45"/>
      <c r="BW203" s="58"/>
      <c r="BX203" s="45"/>
      <c r="BY203" s="58"/>
      <c r="BZ203" s="45"/>
      <c r="CA203" s="58"/>
      <c r="CB203" s="45"/>
      <c r="CC203" s="58"/>
      <c r="CD203" s="45"/>
      <c r="CE203" s="58"/>
      <c r="CF203" s="45"/>
      <c r="CG203" s="58"/>
      <c r="CH203" s="45"/>
      <c r="CI203" s="58"/>
      <c r="CJ203" s="45">
        <v>629874</v>
      </c>
      <c r="CK203" s="58">
        <f t="shared" ref="CK203" si="303">+(CJ203*5.1%)+CJ203</f>
        <v>661997.57400000002</v>
      </c>
      <c r="CL203" s="45"/>
      <c r="CM203" s="58"/>
      <c r="CN203" s="45"/>
      <c r="CO203" s="58"/>
      <c r="CP203" s="45"/>
      <c r="CQ203" s="58"/>
      <c r="CR203" s="45"/>
      <c r="CS203" s="58"/>
      <c r="CT203" s="45"/>
      <c r="CU203" s="58"/>
      <c r="CV203" s="45"/>
      <c r="CW203" s="58"/>
      <c r="CX203" s="45"/>
      <c r="CY203" s="58"/>
      <c r="CZ203" s="45"/>
      <c r="DA203" s="58"/>
      <c r="DB203" s="45"/>
      <c r="DC203" s="58"/>
      <c r="DD203" s="45"/>
      <c r="DE203" s="58"/>
      <c r="DF203" s="45"/>
      <c r="DG203" s="58"/>
      <c r="DH203" s="45"/>
      <c r="DI203" s="58"/>
      <c r="DJ203" s="45"/>
      <c r="DK203" s="58"/>
      <c r="DL203" s="45"/>
      <c r="DM203" s="58"/>
      <c r="DN203" s="45"/>
      <c r="DO203" s="58"/>
      <c r="DP203" s="45"/>
      <c r="DQ203" s="58"/>
      <c r="DR203" s="45"/>
      <c r="DS203" s="58"/>
      <c r="DT203" s="45">
        <v>455395</v>
      </c>
      <c r="DU203" s="58">
        <f t="shared" ref="DU203" si="304">+(DT203*5.1%)+DT203</f>
        <v>478620.14500000002</v>
      </c>
      <c r="DV203" s="45"/>
      <c r="DW203" s="58"/>
      <c r="DX203" s="45"/>
      <c r="DY203" s="58"/>
      <c r="DZ203" s="45"/>
      <c r="EA203" s="58"/>
      <c r="EB203" s="45"/>
      <c r="EC203" s="58"/>
      <c r="ED203" s="45"/>
      <c r="EE203" s="217"/>
      <c r="EF203" s="8">
        <v>700000</v>
      </c>
      <c r="EG203" s="324">
        <v>635000</v>
      </c>
      <c r="EH203" s="8">
        <v>650000</v>
      </c>
      <c r="EI203" s="58"/>
      <c r="EJ203" s="58"/>
      <c r="EK203" s="58"/>
      <c r="EL203" s="58"/>
      <c r="EM203" s="58"/>
      <c r="EN203" s="208" t="s">
        <v>209</v>
      </c>
      <c r="EO203" s="246" t="s">
        <v>209</v>
      </c>
      <c r="EP203" s="246" t="s">
        <v>209</v>
      </c>
      <c r="EQ203" s="246" t="s">
        <v>209</v>
      </c>
      <c r="ER203" s="246"/>
      <c r="ES203" s="246"/>
      <c r="ET203" s="246"/>
      <c r="EU203" s="246"/>
      <c r="EV203" s="246"/>
      <c r="EW203" s="246"/>
      <c r="EX203" s="246"/>
      <c r="EY203" s="246"/>
      <c r="EZ203" s="246"/>
      <c r="FA203" s="246"/>
      <c r="FB203" s="63">
        <f>MEDIAN(CK203,DU203,EF203,EG203,EH203)</f>
        <v>650000</v>
      </c>
      <c r="FC203" s="63">
        <f>AVERAGE(CK203,DU203,EF203,EG203,EH203)</f>
        <v>625123.54379999998</v>
      </c>
      <c r="FD203" s="64">
        <f>STDEV(CK203,DU203,EF203,EG203,EH203)</f>
        <v>85360.714202075658</v>
      </c>
      <c r="FE203" s="65">
        <f t="shared" si="274"/>
        <v>0.1365501508440797</v>
      </c>
      <c r="FF203" s="88">
        <f t="shared" si="291"/>
        <v>525314.28571428568</v>
      </c>
      <c r="FG203" s="88">
        <f t="shared" si="283"/>
        <v>99809.714285714275</v>
      </c>
      <c r="FH203" s="72">
        <f t="shared" si="227"/>
        <v>625124</v>
      </c>
      <c r="FI203" s="260">
        <f t="shared" si="261"/>
        <v>6251240</v>
      </c>
      <c r="FJ203" s="60" t="s">
        <v>66</v>
      </c>
      <c r="FK203" s="343"/>
    </row>
    <row r="204" spans="1:167" s="40" customFormat="1" ht="159.5" x14ac:dyDescent="0.35">
      <c r="A204" s="37">
        <v>198</v>
      </c>
      <c r="B204" s="210" t="s">
        <v>423</v>
      </c>
      <c r="C204" s="210" t="s">
        <v>424</v>
      </c>
      <c r="D204" s="249" t="s">
        <v>131</v>
      </c>
      <c r="E204" s="220">
        <v>5</v>
      </c>
      <c r="F204" s="56"/>
      <c r="G204" s="58"/>
      <c r="H204" s="56"/>
      <c r="I204" s="58"/>
      <c r="J204" s="56"/>
      <c r="K204" s="58"/>
      <c r="L204" s="56"/>
      <c r="M204" s="58"/>
      <c r="N204" s="56"/>
      <c r="O204" s="58"/>
      <c r="P204" s="56"/>
      <c r="Q204" s="58"/>
      <c r="R204" s="56"/>
      <c r="S204" s="58"/>
      <c r="T204" s="56"/>
      <c r="U204" s="58"/>
      <c r="V204" s="56"/>
      <c r="W204" s="58"/>
      <c r="X204" s="56"/>
      <c r="Y204" s="58"/>
      <c r="Z204" s="56"/>
      <c r="AA204" s="58"/>
      <c r="AB204" s="56"/>
      <c r="AC204" s="58"/>
      <c r="AD204" s="56"/>
      <c r="AE204" s="58"/>
      <c r="AF204" s="56"/>
      <c r="AG204" s="58"/>
      <c r="AH204" s="56"/>
      <c r="AI204" s="58"/>
      <c r="AJ204" s="56"/>
      <c r="AK204" s="58"/>
      <c r="AL204" s="56"/>
      <c r="AM204" s="58"/>
      <c r="AN204" s="56"/>
      <c r="AO204" s="58"/>
      <c r="AP204" s="56"/>
      <c r="AQ204" s="58"/>
      <c r="AR204" s="56"/>
      <c r="AS204" s="58"/>
      <c r="AT204" s="56"/>
      <c r="AU204" s="58"/>
      <c r="AV204" s="56"/>
      <c r="AW204" s="58"/>
      <c r="AX204" s="56"/>
      <c r="AY204" s="58"/>
      <c r="AZ204" s="56"/>
      <c r="BA204" s="58"/>
      <c r="BB204" s="56"/>
      <c r="BC204" s="58"/>
      <c r="BD204" s="56"/>
      <c r="BE204" s="58"/>
      <c r="BF204" s="56"/>
      <c r="BG204" s="58"/>
      <c r="BH204" s="56"/>
      <c r="BI204" s="58"/>
      <c r="BJ204" s="56"/>
      <c r="BK204" s="58"/>
      <c r="BL204" s="56"/>
      <c r="BM204" s="58"/>
      <c r="BN204" s="56"/>
      <c r="BO204" s="58"/>
      <c r="BP204" s="56"/>
      <c r="BQ204" s="58"/>
      <c r="BR204" s="56"/>
      <c r="BS204" s="58"/>
      <c r="BT204" s="56"/>
      <c r="BU204" s="58"/>
      <c r="BV204" s="56"/>
      <c r="BW204" s="58"/>
      <c r="BX204" s="56"/>
      <c r="BY204" s="58"/>
      <c r="BZ204" s="56"/>
      <c r="CA204" s="58"/>
      <c r="CB204" s="56"/>
      <c r="CC204" s="58"/>
      <c r="CD204" s="56"/>
      <c r="CE204" s="58"/>
      <c r="CF204" s="56"/>
      <c r="CG204" s="58"/>
      <c r="CH204" s="56"/>
      <c r="CI204" s="58"/>
      <c r="CJ204" s="56"/>
      <c r="CK204" s="58"/>
      <c r="CL204" s="56"/>
      <c r="CM204" s="58"/>
      <c r="CN204" s="56"/>
      <c r="CO204" s="58"/>
      <c r="CP204" s="56"/>
      <c r="CQ204" s="58"/>
      <c r="CR204" s="56"/>
      <c r="CS204" s="58"/>
      <c r="CT204" s="56"/>
      <c r="CU204" s="58"/>
      <c r="CV204" s="56"/>
      <c r="CW204" s="58"/>
      <c r="CX204" s="56"/>
      <c r="CY204" s="58"/>
      <c r="CZ204" s="56"/>
      <c r="DA204" s="58"/>
      <c r="DB204" s="56"/>
      <c r="DC204" s="58"/>
      <c r="DD204" s="56"/>
      <c r="DE204" s="58"/>
      <c r="DF204" s="56"/>
      <c r="DG204" s="58"/>
      <c r="DH204" s="56"/>
      <c r="DI204" s="58"/>
      <c r="DJ204" s="56"/>
      <c r="DK204" s="58"/>
      <c r="DL204" s="56"/>
      <c r="DM204" s="58"/>
      <c r="DN204" s="56"/>
      <c r="DO204" s="58"/>
      <c r="DP204" s="56"/>
      <c r="DQ204" s="58"/>
      <c r="DR204" s="56"/>
      <c r="DS204" s="58"/>
      <c r="DT204" s="56"/>
      <c r="DU204" s="58"/>
      <c r="DV204" s="56"/>
      <c r="DW204" s="58"/>
      <c r="DX204" s="56"/>
      <c r="DY204" s="58"/>
      <c r="DZ204" s="56"/>
      <c r="EA204" s="58"/>
      <c r="EB204" s="56"/>
      <c r="EC204" s="58"/>
      <c r="ED204" s="56"/>
      <c r="EE204" s="217"/>
      <c r="EF204" s="8">
        <v>37000</v>
      </c>
      <c r="EG204" s="324">
        <v>30000</v>
      </c>
      <c r="EH204" s="8">
        <v>35000</v>
      </c>
      <c r="EI204" s="58"/>
      <c r="EJ204" s="58"/>
      <c r="EK204" s="58"/>
      <c r="EL204" s="228"/>
      <c r="EM204" s="228"/>
      <c r="EN204" s="208" t="s">
        <v>209</v>
      </c>
      <c r="EO204" s="246" t="s">
        <v>209</v>
      </c>
      <c r="EP204" s="246" t="s">
        <v>209</v>
      </c>
      <c r="EQ204" s="246" t="s">
        <v>209</v>
      </c>
      <c r="ER204" s="246"/>
      <c r="ES204" s="246"/>
      <c r="ET204" s="246"/>
      <c r="EU204" s="246"/>
      <c r="EV204" s="246"/>
      <c r="EW204" s="246"/>
      <c r="EX204" s="246"/>
      <c r="EY204" s="246"/>
      <c r="EZ204" s="246"/>
      <c r="FA204" s="246"/>
      <c r="FB204" s="59">
        <f>MEDIAN(G204,I204,K204,M204,O204,Q204,S204,U204,W204,Y204,AA204,AC204,AE204,AG204,AI204,AK204,AM204,AO204,AQ204,AS204,AU204,AW204,AY204,BA204,BC204,BE204,BG204,BI204,BK204,BM204,BO204,BQ204,BS204,BU204,BW204,BY204,CA204,CC204,CE204,CG204,CI204,CK204,CM204,CO204,CQ204,CS204,CU204,CW204,CY204,DA204,DC204,DE204,DG204,DI204,DK204,DM204,DO204,DQ204,DS204,DU204,DW204,DY204,EA204,EC204,EE204,EF204,EG204,EH204,EI204,EK204,EM204,EO204,EQ204)</f>
        <v>35000</v>
      </c>
      <c r="FC204" s="59">
        <f t="shared" ref="FC204:FC218" si="305">AVERAGE(G204,I204,K204,M204,O204,Q204,S204,U204,W204,Y204,AA204,AC204,AE204,AG204,AI204,AK204,AM204,AO204,AQ204,AS204,AU204,AW204,AY204,BA204,BC204,BE204,BG204,BI204,BK204,BM204,BO204,BQ204,BS204,BU204,BW204,BY204,CA204,CC204,CE204,CG204,CI204,CK204,CM204,CO204,CQ204,CS204,CU204,CW204,CY204,DA204,DC204,DE204,DG204,DI204,DK204,DM204,DO204,DQ204,DS204,DU204,DW204,DY204,EA204,EC204,EE204,EF204,EG204,EH204,EI204,EK204,EM204,EO204,EQ204)</f>
        <v>34000</v>
      </c>
      <c r="FD204" s="60">
        <f t="shared" ref="FD204:FD218" si="306">STDEV(G204,I204,K204,M204,O204,Q204,S204,U204,W204,Y204,AA204,AC204,AE204,AG204,AI204,AK204,AM204,AO204,AQ204,AS204,AU204,AW204,AY204,BA204,BC204,BE204,BG204,BI204,BK204,BM204,BO204,BQ204,BS204,BU204,BW204,BY204,CA204,CC204,CE204,CG204,CI204,CK204,CM204,CO204,CQ204,CS204,CU204,CW204,CY204,DA204,DC204,DE204,DG204,DI204,DK204,DM204,DO204,DQ204,DS204,DU204,DW204,DY204,EA204,EC204,EE204,EF204,EG204,EH204,EI204,EK204,EM204,EO204,EQ204)</f>
        <v>3605.5512754639894</v>
      </c>
      <c r="FE204" s="65">
        <f t="shared" si="274"/>
        <v>0.10604562574894087</v>
      </c>
      <c r="FF204" s="88">
        <f t="shared" si="291"/>
        <v>28571.428571428572</v>
      </c>
      <c r="FG204" s="88">
        <f t="shared" si="283"/>
        <v>5428.5714285714284</v>
      </c>
      <c r="FH204" s="72">
        <f t="shared" si="227"/>
        <v>34000</v>
      </c>
      <c r="FI204" s="260">
        <f t="shared" si="261"/>
        <v>170000</v>
      </c>
      <c r="FJ204" s="60" t="s">
        <v>65</v>
      </c>
    </row>
    <row r="205" spans="1:167" s="40" customFormat="1" ht="159.5" x14ac:dyDescent="0.35">
      <c r="A205" s="37">
        <v>199</v>
      </c>
      <c r="B205" s="219" t="s">
        <v>293</v>
      </c>
      <c r="C205" s="210" t="s">
        <v>425</v>
      </c>
      <c r="D205" s="249" t="s">
        <v>131</v>
      </c>
      <c r="E205" s="220">
        <v>5</v>
      </c>
      <c r="F205" s="56"/>
      <c r="G205" s="58"/>
      <c r="H205" s="56"/>
      <c r="I205" s="58"/>
      <c r="J205" s="56"/>
      <c r="K205" s="58"/>
      <c r="L205" s="56"/>
      <c r="M205" s="58"/>
      <c r="N205" s="56"/>
      <c r="O205" s="58"/>
      <c r="P205" s="56"/>
      <c r="Q205" s="58"/>
      <c r="R205" s="56"/>
      <c r="S205" s="58"/>
      <c r="T205" s="56"/>
      <c r="U205" s="58"/>
      <c r="V205" s="56"/>
      <c r="W205" s="58"/>
      <c r="X205" s="56"/>
      <c r="Y205" s="58"/>
      <c r="Z205" s="56"/>
      <c r="AA205" s="58"/>
      <c r="AB205" s="56"/>
      <c r="AC205" s="58"/>
      <c r="AD205" s="56"/>
      <c r="AE205" s="58"/>
      <c r="AF205" s="56"/>
      <c r="AG205" s="58"/>
      <c r="AH205" s="56"/>
      <c r="AI205" s="58"/>
      <c r="AJ205" s="56"/>
      <c r="AK205" s="58"/>
      <c r="AL205" s="56"/>
      <c r="AM205" s="58"/>
      <c r="AN205" s="56"/>
      <c r="AO205" s="58"/>
      <c r="AP205" s="56"/>
      <c r="AQ205" s="58"/>
      <c r="AR205" s="56"/>
      <c r="AS205" s="58"/>
      <c r="AT205" s="56"/>
      <c r="AU205" s="58"/>
      <c r="AV205" s="56"/>
      <c r="AW205" s="58"/>
      <c r="AX205" s="56"/>
      <c r="AY205" s="58"/>
      <c r="AZ205" s="56"/>
      <c r="BA205" s="58"/>
      <c r="BB205" s="56"/>
      <c r="BC205" s="58"/>
      <c r="BD205" s="56"/>
      <c r="BE205" s="58"/>
      <c r="BF205" s="56"/>
      <c r="BG205" s="58"/>
      <c r="BH205" s="56"/>
      <c r="BI205" s="58"/>
      <c r="BJ205" s="56"/>
      <c r="BK205" s="58"/>
      <c r="BL205" s="56"/>
      <c r="BM205" s="58"/>
      <c r="BN205" s="56"/>
      <c r="BO205" s="58"/>
      <c r="BP205" s="56"/>
      <c r="BQ205" s="58"/>
      <c r="BR205" s="56"/>
      <c r="BS205" s="58"/>
      <c r="BT205" s="56"/>
      <c r="BU205" s="58"/>
      <c r="BV205" s="56"/>
      <c r="BW205" s="58"/>
      <c r="BX205" s="56"/>
      <c r="BY205" s="58"/>
      <c r="BZ205" s="56"/>
      <c r="CA205" s="58"/>
      <c r="CB205" s="56"/>
      <c r="CC205" s="58"/>
      <c r="CD205" s="56"/>
      <c r="CE205" s="58"/>
      <c r="CF205" s="56"/>
      <c r="CG205" s="58"/>
      <c r="CH205" s="56"/>
      <c r="CI205" s="58"/>
      <c r="CJ205" s="56"/>
      <c r="CK205" s="58"/>
      <c r="CL205" s="56"/>
      <c r="CM205" s="58"/>
      <c r="CN205" s="56"/>
      <c r="CO205" s="58"/>
      <c r="CP205" s="56"/>
      <c r="CQ205" s="58"/>
      <c r="CR205" s="56"/>
      <c r="CS205" s="58"/>
      <c r="CT205" s="56"/>
      <c r="CU205" s="58"/>
      <c r="CV205" s="56"/>
      <c r="CW205" s="58"/>
      <c r="CX205" s="56"/>
      <c r="CY205" s="58"/>
      <c r="CZ205" s="56"/>
      <c r="DA205" s="58"/>
      <c r="DB205" s="56"/>
      <c r="DC205" s="58"/>
      <c r="DD205" s="56"/>
      <c r="DE205" s="58"/>
      <c r="DF205" s="56"/>
      <c r="DG205" s="58"/>
      <c r="DH205" s="56"/>
      <c r="DI205" s="58"/>
      <c r="DJ205" s="56"/>
      <c r="DK205" s="58"/>
      <c r="DL205" s="56"/>
      <c r="DM205" s="58"/>
      <c r="DN205" s="56"/>
      <c r="DO205" s="58"/>
      <c r="DP205" s="56"/>
      <c r="DQ205" s="58"/>
      <c r="DR205" s="56"/>
      <c r="DS205" s="58"/>
      <c r="DT205" s="56"/>
      <c r="DU205" s="58"/>
      <c r="DV205" s="56"/>
      <c r="DW205" s="58"/>
      <c r="DX205" s="56"/>
      <c r="DY205" s="58"/>
      <c r="DZ205" s="56"/>
      <c r="EA205" s="58"/>
      <c r="EB205" s="56"/>
      <c r="EC205" s="58"/>
      <c r="ED205" s="56"/>
      <c r="EE205" s="217"/>
      <c r="EF205" s="8">
        <v>82000</v>
      </c>
      <c r="EG205" s="324">
        <v>76000</v>
      </c>
      <c r="EH205" s="8">
        <v>80000</v>
      </c>
      <c r="EI205" s="58"/>
      <c r="EJ205" s="58"/>
      <c r="EK205" s="58"/>
      <c r="EL205" s="228"/>
      <c r="EM205" s="228"/>
      <c r="EN205" s="208" t="s">
        <v>209</v>
      </c>
      <c r="EO205" s="246" t="s">
        <v>209</v>
      </c>
      <c r="EP205" s="246" t="s">
        <v>209</v>
      </c>
      <c r="EQ205" s="246" t="s">
        <v>209</v>
      </c>
      <c r="ER205" s="246"/>
      <c r="ES205" s="246"/>
      <c r="ET205" s="246"/>
      <c r="EU205" s="246"/>
      <c r="EV205" s="246"/>
      <c r="EW205" s="246"/>
      <c r="EX205" s="246"/>
      <c r="EY205" s="246"/>
      <c r="EZ205" s="246"/>
      <c r="FA205" s="246"/>
      <c r="FB205" s="59">
        <f>MEDIAN(G205,I205,K205,M205,O205,Q205,S205,U205,W205,Y205,AA205,AC205,AE205,AG205,AI205,AK205,AM205,AO205,AQ205,AS205,AU205,AW205,AY205,BA205,BC205,BE205,BG205,BI205,BK205,BM205,BO205,BQ205,BS205,BU205,BW205,BY205,CA205,CC205,CE205,CG205,CI205,CK205,CM205,CO205,CQ205,CS205,CU205,CW205,CY205,DA205,DC205,DE205,DG205,DI205,DK205,DM205,DO205,DQ205,DS205,DU205,DW205,DY205,EA205,EC205,EE205,EF205,EG205,EH205,EI205,EK205,EM205,EO205,EQ205)</f>
        <v>80000</v>
      </c>
      <c r="FC205" s="59">
        <f t="shared" si="305"/>
        <v>79333.333333333328</v>
      </c>
      <c r="FD205" s="60">
        <f t="shared" si="306"/>
        <v>3055.0504633038936</v>
      </c>
      <c r="FE205" s="65">
        <f t="shared" ref="FE205:FE218" si="307">FD205/FC205</f>
        <v>3.8509039453410429E-2</v>
      </c>
      <c r="FF205" s="88">
        <f t="shared" ref="FF205:FF218" si="308">FH205/1.19</f>
        <v>66667.226890756312</v>
      </c>
      <c r="FG205" s="88">
        <f t="shared" ref="FG205:FG218" si="309">+FF205*19%</f>
        <v>12666.773109243699</v>
      </c>
      <c r="FH205" s="72">
        <f t="shared" ref="FH205:FH217" si="310">ROUNDUP(IF(FE205&lt;15%,FC205,FB205),0)</f>
        <v>79334</v>
      </c>
      <c r="FI205" s="260">
        <f t="shared" si="261"/>
        <v>396670</v>
      </c>
      <c r="FJ205" s="60" t="s">
        <v>65</v>
      </c>
    </row>
    <row r="206" spans="1:167" s="40" customFormat="1" ht="159.5" x14ac:dyDescent="0.35">
      <c r="A206" s="36">
        <v>200</v>
      </c>
      <c r="B206" s="219" t="s">
        <v>426</v>
      </c>
      <c r="C206" s="210" t="s">
        <v>1109</v>
      </c>
      <c r="D206" s="249" t="s">
        <v>131</v>
      </c>
      <c r="E206" s="220">
        <v>100</v>
      </c>
      <c r="F206" s="56"/>
      <c r="G206" s="58"/>
      <c r="H206" s="56"/>
      <c r="I206" s="58"/>
      <c r="J206" s="56"/>
      <c r="K206" s="58"/>
      <c r="L206" s="56"/>
      <c r="M206" s="58"/>
      <c r="N206" s="56"/>
      <c r="O206" s="58"/>
      <c r="P206" s="56"/>
      <c r="Q206" s="58"/>
      <c r="R206" s="56"/>
      <c r="S206" s="58"/>
      <c r="T206" s="56"/>
      <c r="U206" s="58"/>
      <c r="V206" s="56"/>
      <c r="W206" s="58"/>
      <c r="X206" s="56"/>
      <c r="Y206" s="58"/>
      <c r="Z206" s="56"/>
      <c r="AA206" s="58"/>
      <c r="AB206" s="56"/>
      <c r="AC206" s="58"/>
      <c r="AD206" s="56"/>
      <c r="AE206" s="58"/>
      <c r="AF206" s="56"/>
      <c r="AG206" s="58"/>
      <c r="AH206" s="56"/>
      <c r="AI206" s="58"/>
      <c r="AJ206" s="56"/>
      <c r="AK206" s="58"/>
      <c r="AL206" s="56"/>
      <c r="AM206" s="58"/>
      <c r="AN206" s="56"/>
      <c r="AO206" s="58"/>
      <c r="AP206" s="56"/>
      <c r="AQ206" s="58"/>
      <c r="AR206" s="56"/>
      <c r="AS206" s="58"/>
      <c r="AT206" s="56"/>
      <c r="AU206" s="58"/>
      <c r="AV206" s="56"/>
      <c r="AW206" s="58"/>
      <c r="AX206" s="56"/>
      <c r="AY206" s="58"/>
      <c r="AZ206" s="56"/>
      <c r="BA206" s="58"/>
      <c r="BB206" s="56"/>
      <c r="BC206" s="58"/>
      <c r="BD206" s="56"/>
      <c r="BE206" s="58"/>
      <c r="BF206" s="56"/>
      <c r="BG206" s="58"/>
      <c r="BH206" s="56"/>
      <c r="BI206" s="58"/>
      <c r="BJ206" s="56"/>
      <c r="BK206" s="58"/>
      <c r="BL206" s="56"/>
      <c r="BM206" s="58"/>
      <c r="BN206" s="56"/>
      <c r="BO206" s="58"/>
      <c r="BP206" s="56"/>
      <c r="BQ206" s="58"/>
      <c r="BR206" s="56"/>
      <c r="BS206" s="58"/>
      <c r="BT206" s="56"/>
      <c r="BU206" s="58"/>
      <c r="BV206" s="56"/>
      <c r="BW206" s="58"/>
      <c r="BX206" s="56"/>
      <c r="BY206" s="58"/>
      <c r="BZ206" s="56"/>
      <c r="CA206" s="58"/>
      <c r="CB206" s="56"/>
      <c r="CC206" s="58"/>
      <c r="CD206" s="56"/>
      <c r="CE206" s="58"/>
      <c r="CF206" s="56"/>
      <c r="CG206" s="58"/>
      <c r="CH206" s="56"/>
      <c r="CI206" s="58"/>
      <c r="CJ206" s="56"/>
      <c r="CK206" s="58"/>
      <c r="CL206" s="56"/>
      <c r="CM206" s="58"/>
      <c r="CN206" s="56"/>
      <c r="CO206" s="58"/>
      <c r="CP206" s="56"/>
      <c r="CQ206" s="58"/>
      <c r="CR206" s="56"/>
      <c r="CS206" s="58"/>
      <c r="CT206" s="56"/>
      <c r="CU206" s="58"/>
      <c r="CV206" s="56"/>
      <c r="CW206" s="58"/>
      <c r="CX206" s="56"/>
      <c r="CY206" s="58"/>
      <c r="CZ206" s="56"/>
      <c r="DA206" s="58"/>
      <c r="DB206" s="56"/>
      <c r="DC206" s="58"/>
      <c r="DD206" s="56"/>
      <c r="DE206" s="58"/>
      <c r="DF206" s="56"/>
      <c r="DG206" s="58"/>
      <c r="DH206" s="56"/>
      <c r="DI206" s="58"/>
      <c r="DJ206" s="56"/>
      <c r="DK206" s="58"/>
      <c r="DL206" s="56"/>
      <c r="DM206" s="58"/>
      <c r="DN206" s="56"/>
      <c r="DO206" s="58"/>
      <c r="DP206" s="56"/>
      <c r="DQ206" s="58"/>
      <c r="DR206" s="56"/>
      <c r="DS206" s="58"/>
      <c r="DT206" s="56"/>
      <c r="DU206" s="58"/>
      <c r="DV206" s="56"/>
      <c r="DW206" s="58"/>
      <c r="DX206" s="56"/>
      <c r="DY206" s="58"/>
      <c r="DZ206" s="56"/>
      <c r="EA206" s="58"/>
      <c r="EB206" s="56"/>
      <c r="EC206" s="58"/>
      <c r="ED206" s="56"/>
      <c r="EE206" s="217"/>
      <c r="EF206" s="8">
        <v>26000</v>
      </c>
      <c r="EG206" s="324">
        <v>22000</v>
      </c>
      <c r="EH206" s="8">
        <v>25000</v>
      </c>
      <c r="EI206" s="58"/>
      <c r="EJ206" s="58"/>
      <c r="EK206" s="58"/>
      <c r="EL206" s="228"/>
      <c r="EM206" s="228"/>
      <c r="EN206" s="208" t="s">
        <v>209</v>
      </c>
      <c r="EO206" s="246" t="s">
        <v>209</v>
      </c>
      <c r="EP206" s="246" t="s">
        <v>209</v>
      </c>
      <c r="EQ206" s="246" t="s">
        <v>209</v>
      </c>
      <c r="ER206" s="246"/>
      <c r="ES206" s="246"/>
      <c r="ET206" s="246"/>
      <c r="EU206" s="246"/>
      <c r="EV206" s="246"/>
      <c r="EW206" s="246"/>
      <c r="EX206" s="246"/>
      <c r="EY206" s="246"/>
      <c r="EZ206" s="246"/>
      <c r="FA206" s="246"/>
      <c r="FB206" s="59">
        <f t="shared" ref="FB206:FB217" si="311">MEDIAN(G206,I206,K206,M206,O206,Q206,S206,U206,W206,Y206,AA206,AC206,AE206,AG206,AI206,AK206,AM206,AO206,AQ206,AS206,AU206,AW206,AY206,BA206,BC206,BE206,BG206,BI206,BK206,BM206,BO206,BQ206,BS206,BU206,BW206,BY206,CA206,CC206,CE206,CG206,CI206,CK206,CM206,CO206,CQ206,CS206,CU206,CW206,CY206,DA206,DC206,DE206,DG206,DI206,DK206,DM206,DO206,DQ206,DS206,DU206,DW206,DY206,EA206,EC206,EE206,EF206,EG206,EH206,EI206,EK206,EM206,EO206,EQ206)</f>
        <v>25000</v>
      </c>
      <c r="FC206" s="59">
        <f t="shared" si="305"/>
        <v>24333.333333333332</v>
      </c>
      <c r="FD206" s="60">
        <f t="shared" si="306"/>
        <v>2081.6659994661327</v>
      </c>
      <c r="FE206" s="65">
        <f t="shared" si="307"/>
        <v>8.5547917786279432E-2</v>
      </c>
      <c r="FF206" s="88">
        <f t="shared" si="308"/>
        <v>20448.73949579832</v>
      </c>
      <c r="FG206" s="88">
        <f t="shared" si="309"/>
        <v>3885.2605042016808</v>
      </c>
      <c r="FH206" s="72">
        <f t="shared" si="310"/>
        <v>24334</v>
      </c>
      <c r="FI206" s="260">
        <f t="shared" si="261"/>
        <v>2433400</v>
      </c>
      <c r="FJ206" s="60" t="s">
        <v>65</v>
      </c>
    </row>
    <row r="207" spans="1:167" s="40" customFormat="1" ht="188.5" x14ac:dyDescent="0.35">
      <c r="A207" s="36">
        <v>201</v>
      </c>
      <c r="B207" s="219" t="s">
        <v>427</v>
      </c>
      <c r="C207" s="210" t="s">
        <v>428</v>
      </c>
      <c r="D207" s="249" t="s">
        <v>131</v>
      </c>
      <c r="E207" s="220">
        <v>100</v>
      </c>
      <c r="F207" s="56"/>
      <c r="G207" s="58"/>
      <c r="H207" s="56"/>
      <c r="I207" s="58"/>
      <c r="J207" s="56"/>
      <c r="K207" s="58"/>
      <c r="L207" s="56"/>
      <c r="M207" s="58"/>
      <c r="N207" s="56"/>
      <c r="O207" s="58"/>
      <c r="P207" s="56"/>
      <c r="Q207" s="58"/>
      <c r="R207" s="56"/>
      <c r="S207" s="58"/>
      <c r="T207" s="56"/>
      <c r="U207" s="58"/>
      <c r="V207" s="56"/>
      <c r="W207" s="58"/>
      <c r="X207" s="56"/>
      <c r="Y207" s="58"/>
      <c r="Z207" s="56"/>
      <c r="AA207" s="58"/>
      <c r="AB207" s="56"/>
      <c r="AC207" s="58"/>
      <c r="AD207" s="56"/>
      <c r="AE207" s="58"/>
      <c r="AF207" s="56"/>
      <c r="AG207" s="58"/>
      <c r="AH207" s="56"/>
      <c r="AI207" s="58"/>
      <c r="AJ207" s="56"/>
      <c r="AK207" s="58"/>
      <c r="AL207" s="56"/>
      <c r="AM207" s="58"/>
      <c r="AN207" s="56"/>
      <c r="AO207" s="58"/>
      <c r="AP207" s="56"/>
      <c r="AQ207" s="58"/>
      <c r="AR207" s="56"/>
      <c r="AS207" s="58"/>
      <c r="AT207" s="56"/>
      <c r="AU207" s="58"/>
      <c r="AV207" s="56"/>
      <c r="AW207" s="58"/>
      <c r="AX207" s="56"/>
      <c r="AY207" s="58"/>
      <c r="AZ207" s="56"/>
      <c r="BA207" s="58"/>
      <c r="BB207" s="56"/>
      <c r="BC207" s="58"/>
      <c r="BD207" s="56"/>
      <c r="BE207" s="58"/>
      <c r="BF207" s="56"/>
      <c r="BG207" s="58"/>
      <c r="BH207" s="56"/>
      <c r="BI207" s="58"/>
      <c r="BJ207" s="56"/>
      <c r="BK207" s="58"/>
      <c r="BL207" s="56"/>
      <c r="BM207" s="58"/>
      <c r="BN207" s="56"/>
      <c r="BO207" s="58"/>
      <c r="BP207" s="56"/>
      <c r="BQ207" s="58"/>
      <c r="BR207" s="56"/>
      <c r="BS207" s="58"/>
      <c r="BT207" s="56"/>
      <c r="BU207" s="58"/>
      <c r="BV207" s="56"/>
      <c r="BW207" s="58"/>
      <c r="BX207" s="56"/>
      <c r="BY207" s="58"/>
      <c r="BZ207" s="56"/>
      <c r="CA207" s="58"/>
      <c r="CB207" s="56"/>
      <c r="CC207" s="58"/>
      <c r="CD207" s="56"/>
      <c r="CE207" s="58"/>
      <c r="CF207" s="56"/>
      <c r="CG207" s="58"/>
      <c r="CH207" s="56"/>
      <c r="CI207" s="58"/>
      <c r="CJ207" s="56"/>
      <c r="CK207" s="58"/>
      <c r="CL207" s="56"/>
      <c r="CM207" s="58"/>
      <c r="CN207" s="56"/>
      <c r="CO207" s="58"/>
      <c r="CP207" s="56"/>
      <c r="CQ207" s="58"/>
      <c r="CR207" s="56"/>
      <c r="CS207" s="58"/>
      <c r="CT207" s="56"/>
      <c r="CU207" s="58"/>
      <c r="CV207" s="56"/>
      <c r="CW207" s="58"/>
      <c r="CX207" s="56"/>
      <c r="CY207" s="58"/>
      <c r="CZ207" s="56"/>
      <c r="DA207" s="58"/>
      <c r="DB207" s="56"/>
      <c r="DC207" s="58"/>
      <c r="DD207" s="56"/>
      <c r="DE207" s="58"/>
      <c r="DF207" s="56"/>
      <c r="DG207" s="58"/>
      <c r="DH207" s="56"/>
      <c r="DI207" s="58"/>
      <c r="DJ207" s="56"/>
      <c r="DK207" s="58"/>
      <c r="DL207" s="56"/>
      <c r="DM207" s="58"/>
      <c r="DN207" s="56"/>
      <c r="DO207" s="58"/>
      <c r="DP207" s="56"/>
      <c r="DQ207" s="58"/>
      <c r="DR207" s="56"/>
      <c r="DS207" s="58"/>
      <c r="DT207" s="56"/>
      <c r="DU207" s="58"/>
      <c r="DV207" s="56"/>
      <c r="DW207" s="58"/>
      <c r="DX207" s="56"/>
      <c r="DY207" s="58"/>
      <c r="DZ207" s="56"/>
      <c r="EA207" s="58"/>
      <c r="EB207" s="56"/>
      <c r="EC207" s="58"/>
      <c r="ED207" s="56"/>
      <c r="EE207" s="217"/>
      <c r="EF207" s="12">
        <v>176000</v>
      </c>
      <c r="EG207" s="325">
        <v>158000</v>
      </c>
      <c r="EH207" s="318">
        <v>170000</v>
      </c>
      <c r="EI207" s="218"/>
      <c r="EJ207" s="228"/>
      <c r="EK207" s="228"/>
      <c r="EL207" s="228"/>
      <c r="EM207" s="228"/>
      <c r="EN207" s="254" t="s">
        <v>209</v>
      </c>
      <c r="EO207" s="253" t="s">
        <v>209</v>
      </c>
      <c r="EP207" s="253" t="s">
        <v>209</v>
      </c>
      <c r="EQ207" s="253" t="s">
        <v>209</v>
      </c>
      <c r="ER207" s="253"/>
      <c r="ES207" s="253"/>
      <c r="ET207" s="253"/>
      <c r="EU207" s="253"/>
      <c r="EV207" s="253"/>
      <c r="EW207" s="253"/>
      <c r="EX207" s="253"/>
      <c r="EY207" s="253"/>
      <c r="EZ207" s="253"/>
      <c r="FA207" s="253"/>
      <c r="FB207" s="59">
        <f t="shared" si="311"/>
        <v>170000</v>
      </c>
      <c r="FC207" s="59">
        <f t="shared" si="305"/>
        <v>168000</v>
      </c>
      <c r="FD207" s="60">
        <f t="shared" si="306"/>
        <v>9165.1513899116799</v>
      </c>
      <c r="FE207" s="65">
        <f t="shared" si="307"/>
        <v>5.4554472558998097E-2</v>
      </c>
      <c r="FF207" s="88">
        <f t="shared" si="308"/>
        <v>141176.4705882353</v>
      </c>
      <c r="FG207" s="88">
        <f t="shared" si="309"/>
        <v>26823.529411764706</v>
      </c>
      <c r="FH207" s="72">
        <f t="shared" si="310"/>
        <v>168000</v>
      </c>
      <c r="FI207" s="260">
        <f t="shared" si="261"/>
        <v>16800000</v>
      </c>
      <c r="FJ207" s="60" t="s">
        <v>65</v>
      </c>
    </row>
    <row r="208" spans="1:167" s="40" customFormat="1" ht="29" x14ac:dyDescent="0.35">
      <c r="A208" s="37">
        <v>202</v>
      </c>
      <c r="B208" s="210" t="s">
        <v>429</v>
      </c>
      <c r="C208" s="210" t="s">
        <v>430</v>
      </c>
      <c r="D208" s="249" t="s">
        <v>131</v>
      </c>
      <c r="E208" s="220">
        <v>100</v>
      </c>
      <c r="F208" s="56"/>
      <c r="G208" s="58"/>
      <c r="H208" s="56"/>
      <c r="I208" s="58"/>
      <c r="J208" s="56"/>
      <c r="K208" s="58"/>
      <c r="L208" s="56"/>
      <c r="M208" s="58"/>
      <c r="N208" s="56"/>
      <c r="O208" s="58"/>
      <c r="P208" s="56"/>
      <c r="Q208" s="58"/>
      <c r="R208" s="56"/>
      <c r="S208" s="58"/>
      <c r="T208" s="56"/>
      <c r="U208" s="58"/>
      <c r="V208" s="56"/>
      <c r="W208" s="58"/>
      <c r="X208" s="56"/>
      <c r="Y208" s="58"/>
      <c r="Z208" s="56"/>
      <c r="AA208" s="58"/>
      <c r="AB208" s="56"/>
      <c r="AC208" s="58"/>
      <c r="AD208" s="56"/>
      <c r="AE208" s="58"/>
      <c r="AF208" s="56"/>
      <c r="AG208" s="58"/>
      <c r="AH208" s="56"/>
      <c r="AI208" s="58"/>
      <c r="AJ208" s="56"/>
      <c r="AK208" s="58"/>
      <c r="AL208" s="56"/>
      <c r="AM208" s="58"/>
      <c r="AN208" s="56"/>
      <c r="AO208" s="58"/>
      <c r="AP208" s="56"/>
      <c r="AQ208" s="58"/>
      <c r="AR208" s="56"/>
      <c r="AS208" s="58"/>
      <c r="AT208" s="56"/>
      <c r="AU208" s="58"/>
      <c r="AV208" s="56"/>
      <c r="AW208" s="58"/>
      <c r="AX208" s="56"/>
      <c r="AY208" s="58"/>
      <c r="AZ208" s="56"/>
      <c r="BA208" s="58"/>
      <c r="BB208" s="56"/>
      <c r="BC208" s="58"/>
      <c r="BD208" s="56"/>
      <c r="BE208" s="58"/>
      <c r="BF208" s="56"/>
      <c r="BG208" s="58"/>
      <c r="BH208" s="56"/>
      <c r="BI208" s="58"/>
      <c r="BJ208" s="56"/>
      <c r="BK208" s="58"/>
      <c r="BL208" s="56"/>
      <c r="BM208" s="58"/>
      <c r="BN208" s="56"/>
      <c r="BO208" s="58"/>
      <c r="BP208" s="56"/>
      <c r="BQ208" s="58"/>
      <c r="BR208" s="56"/>
      <c r="BS208" s="58"/>
      <c r="BT208" s="56"/>
      <c r="BU208" s="58"/>
      <c r="BV208" s="56"/>
      <c r="BW208" s="58"/>
      <c r="BX208" s="56"/>
      <c r="BY208" s="58"/>
      <c r="BZ208" s="56"/>
      <c r="CA208" s="58"/>
      <c r="CB208" s="56"/>
      <c r="CC208" s="58"/>
      <c r="CD208" s="56"/>
      <c r="CE208" s="58"/>
      <c r="CF208" s="56"/>
      <c r="CG208" s="58"/>
      <c r="CH208" s="56"/>
      <c r="CI208" s="58"/>
      <c r="CJ208" s="56"/>
      <c r="CK208" s="58"/>
      <c r="CL208" s="56"/>
      <c r="CM208" s="58"/>
      <c r="CN208" s="56"/>
      <c r="CO208" s="58"/>
      <c r="CP208" s="56"/>
      <c r="CQ208" s="58"/>
      <c r="CR208" s="56"/>
      <c r="CS208" s="58"/>
      <c r="CT208" s="56"/>
      <c r="CU208" s="58"/>
      <c r="CV208" s="56"/>
      <c r="CW208" s="58"/>
      <c r="CX208" s="56"/>
      <c r="CY208" s="58"/>
      <c r="CZ208" s="56"/>
      <c r="DA208" s="58"/>
      <c r="DB208" s="56"/>
      <c r="DC208" s="58"/>
      <c r="DD208" s="56"/>
      <c r="DE208" s="58"/>
      <c r="DF208" s="56"/>
      <c r="DG208" s="58"/>
      <c r="DH208" s="56"/>
      <c r="DI208" s="58"/>
      <c r="DJ208" s="56"/>
      <c r="DK208" s="58"/>
      <c r="DL208" s="56"/>
      <c r="DM208" s="58"/>
      <c r="DN208" s="56"/>
      <c r="DO208" s="58"/>
      <c r="DP208" s="56"/>
      <c r="DQ208" s="58"/>
      <c r="DR208" s="56"/>
      <c r="DS208" s="58"/>
      <c r="DT208" s="56"/>
      <c r="DU208" s="58"/>
      <c r="DV208" s="56"/>
      <c r="DW208" s="58"/>
      <c r="DX208" s="56"/>
      <c r="DY208" s="58"/>
      <c r="DZ208" s="56"/>
      <c r="EA208" s="58"/>
      <c r="EB208" s="56"/>
      <c r="EC208" s="58"/>
      <c r="ED208" s="56"/>
      <c r="EE208" s="217"/>
      <c r="EF208" s="8">
        <v>298000</v>
      </c>
      <c r="EG208" s="312">
        <v>295000</v>
      </c>
      <c r="EH208" s="223" t="s">
        <v>431</v>
      </c>
      <c r="EI208" s="224"/>
      <c r="EJ208" s="228"/>
      <c r="EK208" s="228"/>
      <c r="EL208" s="228"/>
      <c r="EM208" s="228"/>
      <c r="EN208" s="251" t="s">
        <v>209</v>
      </c>
      <c r="EO208" s="247" t="s">
        <v>209</v>
      </c>
      <c r="EP208" s="247" t="s">
        <v>209</v>
      </c>
      <c r="EQ208" s="247" t="s">
        <v>209</v>
      </c>
      <c r="ER208" s="246"/>
      <c r="ES208" s="246"/>
      <c r="ET208" s="246"/>
      <c r="EU208" s="246"/>
      <c r="EV208" s="246"/>
      <c r="EW208" s="246"/>
      <c r="EX208" s="246"/>
      <c r="EY208" s="246"/>
      <c r="EZ208" s="246"/>
      <c r="FA208" s="246"/>
      <c r="FB208" s="59">
        <f t="shared" si="311"/>
        <v>296500</v>
      </c>
      <c r="FC208" s="59">
        <f t="shared" si="305"/>
        <v>296500</v>
      </c>
      <c r="FD208" s="60">
        <f t="shared" si="306"/>
        <v>2121.3203435596424</v>
      </c>
      <c r="FE208" s="65">
        <f t="shared" si="307"/>
        <v>7.1545374150409529E-3</v>
      </c>
      <c r="FF208" s="88">
        <f t="shared" si="308"/>
        <v>249159.66386554623</v>
      </c>
      <c r="FG208" s="88">
        <f t="shared" si="309"/>
        <v>47340.336134453784</v>
      </c>
      <c r="FH208" s="72">
        <f t="shared" si="310"/>
        <v>296500</v>
      </c>
      <c r="FI208" s="260">
        <f t="shared" si="261"/>
        <v>29650000</v>
      </c>
      <c r="FJ208" s="60" t="s">
        <v>65</v>
      </c>
    </row>
    <row r="209" spans="1:167" s="40" customFormat="1" ht="130.5" x14ac:dyDescent="0.35">
      <c r="A209" s="37">
        <v>203</v>
      </c>
      <c r="B209" s="210" t="s">
        <v>432</v>
      </c>
      <c r="C209" s="210" t="s">
        <v>433</v>
      </c>
      <c r="D209" s="249" t="s">
        <v>131</v>
      </c>
      <c r="E209" s="220">
        <v>100</v>
      </c>
      <c r="F209" s="56"/>
      <c r="G209" s="58"/>
      <c r="H209" s="56"/>
      <c r="I209" s="58"/>
      <c r="J209" s="56"/>
      <c r="K209" s="58"/>
      <c r="L209" s="56"/>
      <c r="M209" s="58"/>
      <c r="N209" s="56"/>
      <c r="O209" s="58"/>
      <c r="P209" s="56"/>
      <c r="Q209" s="58"/>
      <c r="R209" s="56"/>
      <c r="S209" s="58"/>
      <c r="T209" s="56"/>
      <c r="U209" s="58"/>
      <c r="V209" s="56"/>
      <c r="W209" s="58"/>
      <c r="X209" s="56"/>
      <c r="Y209" s="58"/>
      <c r="Z209" s="56"/>
      <c r="AA209" s="58"/>
      <c r="AB209" s="56"/>
      <c r="AC209" s="58"/>
      <c r="AD209" s="56"/>
      <c r="AE209" s="58"/>
      <c r="AF209" s="56"/>
      <c r="AG209" s="58"/>
      <c r="AH209" s="56"/>
      <c r="AI209" s="58"/>
      <c r="AJ209" s="56"/>
      <c r="AK209" s="58"/>
      <c r="AL209" s="56"/>
      <c r="AM209" s="58"/>
      <c r="AN209" s="56"/>
      <c r="AO209" s="58"/>
      <c r="AP209" s="56"/>
      <c r="AQ209" s="58"/>
      <c r="AR209" s="56"/>
      <c r="AS209" s="58"/>
      <c r="AT209" s="56"/>
      <c r="AU209" s="58"/>
      <c r="AV209" s="56"/>
      <c r="AW209" s="58"/>
      <c r="AX209" s="56"/>
      <c r="AY209" s="58"/>
      <c r="AZ209" s="56"/>
      <c r="BA209" s="58"/>
      <c r="BB209" s="56"/>
      <c r="BC209" s="58"/>
      <c r="BD209" s="56"/>
      <c r="BE209" s="58"/>
      <c r="BF209" s="56"/>
      <c r="BG209" s="58"/>
      <c r="BH209" s="56"/>
      <c r="BI209" s="58"/>
      <c r="BJ209" s="56"/>
      <c r="BK209" s="58"/>
      <c r="BL209" s="56"/>
      <c r="BM209" s="58"/>
      <c r="BN209" s="56"/>
      <c r="BO209" s="58"/>
      <c r="BP209" s="56"/>
      <c r="BQ209" s="58"/>
      <c r="BR209" s="56"/>
      <c r="BS209" s="58"/>
      <c r="BT209" s="56"/>
      <c r="BU209" s="58"/>
      <c r="BV209" s="56"/>
      <c r="BW209" s="58"/>
      <c r="BX209" s="56"/>
      <c r="BY209" s="58"/>
      <c r="BZ209" s="56"/>
      <c r="CA209" s="58"/>
      <c r="CB209" s="56"/>
      <c r="CC209" s="58"/>
      <c r="CD209" s="56"/>
      <c r="CE209" s="58"/>
      <c r="CF209" s="56"/>
      <c r="CG209" s="58"/>
      <c r="CH209" s="56"/>
      <c r="CI209" s="58"/>
      <c r="CJ209" s="56"/>
      <c r="CK209" s="58"/>
      <c r="CL209" s="56"/>
      <c r="CM209" s="58"/>
      <c r="CN209" s="56"/>
      <c r="CO209" s="58"/>
      <c r="CP209" s="56"/>
      <c r="CQ209" s="58"/>
      <c r="CR209" s="56"/>
      <c r="CS209" s="58"/>
      <c r="CT209" s="56"/>
      <c r="CU209" s="58"/>
      <c r="CV209" s="56"/>
      <c r="CW209" s="58"/>
      <c r="CX209" s="56"/>
      <c r="CY209" s="58"/>
      <c r="CZ209" s="56"/>
      <c r="DA209" s="58"/>
      <c r="DB209" s="56"/>
      <c r="DC209" s="58"/>
      <c r="DD209" s="56"/>
      <c r="DE209" s="58"/>
      <c r="DF209" s="56"/>
      <c r="DG209" s="58"/>
      <c r="DH209" s="56"/>
      <c r="DI209" s="58"/>
      <c r="DJ209" s="56"/>
      <c r="DK209" s="58"/>
      <c r="DL209" s="56"/>
      <c r="DM209" s="58"/>
      <c r="DN209" s="56"/>
      <c r="DO209" s="58"/>
      <c r="DP209" s="56"/>
      <c r="DQ209" s="58"/>
      <c r="DR209" s="56"/>
      <c r="DS209" s="58"/>
      <c r="DT209" s="56"/>
      <c r="DU209" s="58"/>
      <c r="DV209" s="56"/>
      <c r="DW209" s="58"/>
      <c r="DX209" s="56"/>
      <c r="DY209" s="58"/>
      <c r="DZ209" s="56"/>
      <c r="EA209" s="58"/>
      <c r="EB209" s="244"/>
      <c r="EC209" s="230"/>
      <c r="ED209" s="244"/>
      <c r="EE209" s="231"/>
      <c r="EF209" s="53">
        <v>2000000</v>
      </c>
      <c r="EG209" s="315">
        <v>1900000</v>
      </c>
      <c r="EH209" s="323">
        <v>1930000</v>
      </c>
      <c r="EI209" s="225"/>
      <c r="EJ209" s="245"/>
      <c r="EK209" s="245"/>
      <c r="EL209" s="228"/>
      <c r="EM209" s="228"/>
      <c r="EN209" s="208" t="s">
        <v>209</v>
      </c>
      <c r="EO209" s="246" t="s">
        <v>209</v>
      </c>
      <c r="EP209" s="246" t="s">
        <v>209</v>
      </c>
      <c r="EQ209" s="246" t="s">
        <v>209</v>
      </c>
      <c r="ER209" s="246"/>
      <c r="ES209" s="246"/>
      <c r="ET209" s="246"/>
      <c r="EU209" s="246"/>
      <c r="EV209" s="246"/>
      <c r="EW209" s="246"/>
      <c r="EX209" s="246"/>
      <c r="EY209" s="246"/>
      <c r="EZ209" s="246"/>
      <c r="FA209" s="246"/>
      <c r="FB209" s="59">
        <f t="shared" si="311"/>
        <v>1930000</v>
      </c>
      <c r="FC209" s="59">
        <f t="shared" si="305"/>
        <v>1943333.3333333333</v>
      </c>
      <c r="FD209" s="60">
        <f t="shared" si="306"/>
        <v>51316.014394468846</v>
      </c>
      <c r="FE209" s="65">
        <f t="shared" si="307"/>
        <v>2.6406182364220678E-2</v>
      </c>
      <c r="FF209" s="88">
        <f t="shared" si="308"/>
        <v>1633053.781512605</v>
      </c>
      <c r="FG209" s="88">
        <f t="shared" si="309"/>
        <v>310280.21848739497</v>
      </c>
      <c r="FH209" s="72">
        <f t="shared" si="310"/>
        <v>1943334</v>
      </c>
      <c r="FI209" s="260">
        <f t="shared" si="261"/>
        <v>194333400</v>
      </c>
      <c r="FJ209" s="60" t="s">
        <v>65</v>
      </c>
    </row>
    <row r="210" spans="1:167" s="40" customFormat="1" ht="232" x14ac:dyDescent="0.35">
      <c r="A210" s="37">
        <v>204</v>
      </c>
      <c r="B210" s="219" t="s">
        <v>434</v>
      </c>
      <c r="C210" s="210" t="s">
        <v>435</v>
      </c>
      <c r="D210" s="249" t="s">
        <v>131</v>
      </c>
      <c r="E210" s="220">
        <v>100</v>
      </c>
      <c r="F210" s="56"/>
      <c r="G210" s="58"/>
      <c r="H210" s="56"/>
      <c r="I210" s="58"/>
      <c r="J210" s="56"/>
      <c r="K210" s="58"/>
      <c r="L210" s="56"/>
      <c r="M210" s="58"/>
      <c r="N210" s="56"/>
      <c r="O210" s="58"/>
      <c r="P210" s="56"/>
      <c r="Q210" s="58"/>
      <c r="R210" s="56"/>
      <c r="S210" s="58"/>
      <c r="T210" s="56"/>
      <c r="U210" s="58"/>
      <c r="V210" s="56"/>
      <c r="W210" s="58"/>
      <c r="X210" s="56"/>
      <c r="Y210" s="58"/>
      <c r="Z210" s="56"/>
      <c r="AA210" s="58"/>
      <c r="AB210" s="56"/>
      <c r="AC210" s="58"/>
      <c r="AD210" s="56"/>
      <c r="AE210" s="58"/>
      <c r="AF210" s="56"/>
      <c r="AG210" s="58"/>
      <c r="AH210" s="56"/>
      <c r="AI210" s="58"/>
      <c r="AJ210" s="56"/>
      <c r="AK210" s="58"/>
      <c r="AL210" s="56"/>
      <c r="AM210" s="58"/>
      <c r="AN210" s="56"/>
      <c r="AO210" s="58"/>
      <c r="AP210" s="56"/>
      <c r="AQ210" s="58"/>
      <c r="AR210" s="56"/>
      <c r="AS210" s="58"/>
      <c r="AT210" s="56"/>
      <c r="AU210" s="58"/>
      <c r="AV210" s="56"/>
      <c r="AW210" s="58"/>
      <c r="AX210" s="56"/>
      <c r="AY210" s="58"/>
      <c r="AZ210" s="56"/>
      <c r="BA210" s="58"/>
      <c r="BB210" s="56"/>
      <c r="BC210" s="58"/>
      <c r="BD210" s="56"/>
      <c r="BE210" s="58"/>
      <c r="BF210" s="56"/>
      <c r="BG210" s="58"/>
      <c r="BH210" s="56"/>
      <c r="BI210" s="58"/>
      <c r="BJ210" s="56"/>
      <c r="BK210" s="58"/>
      <c r="BL210" s="56"/>
      <c r="BM210" s="58"/>
      <c r="BN210" s="56"/>
      <c r="BO210" s="58"/>
      <c r="BP210" s="56"/>
      <c r="BQ210" s="58"/>
      <c r="BR210" s="56"/>
      <c r="BS210" s="58"/>
      <c r="BT210" s="56"/>
      <c r="BU210" s="58"/>
      <c r="BV210" s="56"/>
      <c r="BW210" s="58"/>
      <c r="BX210" s="56"/>
      <c r="BY210" s="58"/>
      <c r="BZ210" s="56"/>
      <c r="CA210" s="58"/>
      <c r="CB210" s="56"/>
      <c r="CC210" s="58"/>
      <c r="CD210" s="56"/>
      <c r="CE210" s="58"/>
      <c r="CF210" s="56"/>
      <c r="CG210" s="58"/>
      <c r="CH210" s="56"/>
      <c r="CI210" s="58"/>
      <c r="CJ210" s="56"/>
      <c r="CK210" s="58"/>
      <c r="CL210" s="56"/>
      <c r="CM210" s="58"/>
      <c r="CN210" s="56"/>
      <c r="CO210" s="58"/>
      <c r="CP210" s="56"/>
      <c r="CQ210" s="58"/>
      <c r="CR210" s="56"/>
      <c r="CS210" s="58"/>
      <c r="CT210" s="56"/>
      <c r="CU210" s="58"/>
      <c r="CV210" s="56"/>
      <c r="CW210" s="58"/>
      <c r="CX210" s="56"/>
      <c r="CY210" s="58"/>
      <c r="CZ210" s="56"/>
      <c r="DA210" s="58"/>
      <c r="DB210" s="56"/>
      <c r="DC210" s="58"/>
      <c r="DD210" s="56"/>
      <c r="DE210" s="58"/>
      <c r="DF210" s="56"/>
      <c r="DG210" s="58"/>
      <c r="DH210" s="56"/>
      <c r="DI210" s="58"/>
      <c r="DJ210" s="56"/>
      <c r="DK210" s="58"/>
      <c r="DL210" s="56"/>
      <c r="DM210" s="58"/>
      <c r="DN210" s="56"/>
      <c r="DO210" s="58"/>
      <c r="DP210" s="56"/>
      <c r="DQ210" s="58"/>
      <c r="DR210" s="56"/>
      <c r="DS210" s="58"/>
      <c r="DT210" s="56"/>
      <c r="DU210" s="58"/>
      <c r="DV210" s="56"/>
      <c r="DW210" s="58"/>
      <c r="DX210" s="56"/>
      <c r="DY210" s="58"/>
      <c r="DZ210" s="56"/>
      <c r="EA210" s="58"/>
      <c r="EB210" s="56"/>
      <c r="EC210" s="58"/>
      <c r="ED210" s="56"/>
      <c r="EE210" s="58"/>
      <c r="EF210" s="8">
        <v>330000</v>
      </c>
      <c r="EG210" s="324">
        <v>300000</v>
      </c>
      <c r="EH210" s="8">
        <v>320000</v>
      </c>
      <c r="EI210" s="58"/>
      <c r="EJ210" s="58"/>
      <c r="EK210" s="58"/>
      <c r="EL210" s="228"/>
      <c r="EM210" s="228"/>
      <c r="EN210" s="208" t="s">
        <v>209</v>
      </c>
      <c r="EO210" s="246" t="s">
        <v>209</v>
      </c>
      <c r="EP210" s="246" t="s">
        <v>209</v>
      </c>
      <c r="EQ210" s="246" t="s">
        <v>209</v>
      </c>
      <c r="ER210" s="246"/>
      <c r="ES210" s="246"/>
      <c r="ET210" s="246"/>
      <c r="EU210" s="246"/>
      <c r="EV210" s="246"/>
      <c r="EW210" s="246"/>
      <c r="EX210" s="246"/>
      <c r="EY210" s="246"/>
      <c r="EZ210" s="246"/>
      <c r="FA210" s="246"/>
      <c r="FB210" s="59">
        <f t="shared" si="311"/>
        <v>320000</v>
      </c>
      <c r="FC210" s="59">
        <f t="shared" si="305"/>
        <v>316666.66666666669</v>
      </c>
      <c r="FD210" s="60">
        <f t="shared" si="306"/>
        <v>15275.252316519467</v>
      </c>
      <c r="FE210" s="65">
        <f t="shared" si="307"/>
        <v>4.8237638894271996E-2</v>
      </c>
      <c r="FF210" s="88">
        <f t="shared" si="308"/>
        <v>266106.72268907563</v>
      </c>
      <c r="FG210" s="88">
        <f t="shared" si="309"/>
        <v>50560.277310924372</v>
      </c>
      <c r="FH210" s="72">
        <f t="shared" si="310"/>
        <v>316667</v>
      </c>
      <c r="FI210" s="260">
        <f t="shared" si="261"/>
        <v>31666700</v>
      </c>
      <c r="FJ210" s="60" t="s">
        <v>65</v>
      </c>
    </row>
    <row r="211" spans="1:167" s="40" customFormat="1" ht="188.5" x14ac:dyDescent="0.35">
      <c r="A211" s="37">
        <v>205</v>
      </c>
      <c r="B211" s="210" t="s">
        <v>436</v>
      </c>
      <c r="C211" s="210" t="s">
        <v>437</v>
      </c>
      <c r="D211" s="249" t="s">
        <v>131</v>
      </c>
      <c r="E211" s="220">
        <v>70</v>
      </c>
      <c r="F211" s="56"/>
      <c r="G211" s="58"/>
      <c r="H211" s="56"/>
      <c r="I211" s="58"/>
      <c r="J211" s="56"/>
      <c r="K211" s="58"/>
      <c r="L211" s="56"/>
      <c r="M211" s="58"/>
      <c r="N211" s="56"/>
      <c r="O211" s="58"/>
      <c r="P211" s="56"/>
      <c r="Q211" s="58"/>
      <c r="R211" s="56"/>
      <c r="S211" s="58"/>
      <c r="T211" s="56"/>
      <c r="U211" s="58"/>
      <c r="V211" s="56"/>
      <c r="W211" s="58"/>
      <c r="X211" s="56"/>
      <c r="Y211" s="58"/>
      <c r="Z211" s="56"/>
      <c r="AA211" s="58"/>
      <c r="AB211" s="56"/>
      <c r="AC211" s="58"/>
      <c r="AD211" s="56"/>
      <c r="AE211" s="58"/>
      <c r="AF211" s="56"/>
      <c r="AG211" s="58"/>
      <c r="AH211" s="56"/>
      <c r="AI211" s="58"/>
      <c r="AJ211" s="56"/>
      <c r="AK211" s="58"/>
      <c r="AL211" s="56"/>
      <c r="AM211" s="58"/>
      <c r="AN211" s="56"/>
      <c r="AO211" s="58"/>
      <c r="AP211" s="56"/>
      <c r="AQ211" s="58"/>
      <c r="AR211" s="56"/>
      <c r="AS211" s="58"/>
      <c r="AT211" s="56"/>
      <c r="AU211" s="58"/>
      <c r="AV211" s="56"/>
      <c r="AW211" s="58"/>
      <c r="AX211" s="56"/>
      <c r="AY211" s="58"/>
      <c r="AZ211" s="56"/>
      <c r="BA211" s="58"/>
      <c r="BB211" s="56"/>
      <c r="BC211" s="58"/>
      <c r="BD211" s="56"/>
      <c r="BE211" s="58"/>
      <c r="BF211" s="56"/>
      <c r="BG211" s="58"/>
      <c r="BH211" s="56"/>
      <c r="BI211" s="58"/>
      <c r="BJ211" s="56"/>
      <c r="BK211" s="58"/>
      <c r="BL211" s="56"/>
      <c r="BM211" s="58"/>
      <c r="BN211" s="56"/>
      <c r="BO211" s="58"/>
      <c r="BP211" s="56"/>
      <c r="BQ211" s="58"/>
      <c r="BR211" s="56"/>
      <c r="BS211" s="58"/>
      <c r="BT211" s="56"/>
      <c r="BU211" s="58"/>
      <c r="BV211" s="56"/>
      <c r="BW211" s="58"/>
      <c r="BX211" s="56"/>
      <c r="BY211" s="58"/>
      <c r="BZ211" s="56"/>
      <c r="CA211" s="58"/>
      <c r="CB211" s="56"/>
      <c r="CC211" s="58"/>
      <c r="CD211" s="56"/>
      <c r="CE211" s="58"/>
      <c r="CF211" s="56"/>
      <c r="CG211" s="58"/>
      <c r="CH211" s="56"/>
      <c r="CI211" s="58"/>
      <c r="CJ211" s="56"/>
      <c r="CK211" s="58"/>
      <c r="CL211" s="56"/>
      <c r="CM211" s="58"/>
      <c r="CN211" s="56"/>
      <c r="CO211" s="58"/>
      <c r="CP211" s="56"/>
      <c r="CQ211" s="58"/>
      <c r="CR211" s="56"/>
      <c r="CS211" s="58"/>
      <c r="CT211" s="56"/>
      <c r="CU211" s="58"/>
      <c r="CV211" s="56"/>
      <c r="CW211" s="58"/>
      <c r="CX211" s="56"/>
      <c r="CY211" s="58"/>
      <c r="CZ211" s="56"/>
      <c r="DA211" s="58"/>
      <c r="DB211" s="56"/>
      <c r="DC211" s="58"/>
      <c r="DD211" s="56"/>
      <c r="DE211" s="58"/>
      <c r="DF211" s="56"/>
      <c r="DG211" s="58"/>
      <c r="DH211" s="56"/>
      <c r="DI211" s="58"/>
      <c r="DJ211" s="56"/>
      <c r="DK211" s="58"/>
      <c r="DL211" s="56"/>
      <c r="DM211" s="58"/>
      <c r="DN211" s="56"/>
      <c r="DO211" s="58"/>
      <c r="DP211" s="56"/>
      <c r="DQ211" s="58"/>
      <c r="DR211" s="56"/>
      <c r="DS211" s="58"/>
      <c r="DT211" s="56"/>
      <c r="DU211" s="58"/>
      <c r="DV211" s="56"/>
      <c r="DW211" s="58"/>
      <c r="DX211" s="56"/>
      <c r="DY211" s="58"/>
      <c r="DZ211" s="56"/>
      <c r="EA211" s="58"/>
      <c r="EB211" s="56"/>
      <c r="EC211" s="58"/>
      <c r="ED211" s="56"/>
      <c r="EE211" s="58"/>
      <c r="EF211" s="8"/>
      <c r="EG211" s="324">
        <v>120000</v>
      </c>
      <c r="EH211" s="8">
        <v>140000</v>
      </c>
      <c r="EI211" s="58"/>
      <c r="EJ211" s="58"/>
      <c r="EK211" s="58"/>
      <c r="EL211" s="228"/>
      <c r="EM211" s="228"/>
      <c r="EN211" s="237" t="s">
        <v>209</v>
      </c>
      <c r="EO211" s="250" t="s">
        <v>209</v>
      </c>
      <c r="EP211" s="250" t="s">
        <v>209</v>
      </c>
      <c r="EQ211" s="250" t="s">
        <v>209</v>
      </c>
      <c r="ER211" s="250"/>
      <c r="ES211" s="250"/>
      <c r="ET211" s="250"/>
      <c r="EU211" s="250"/>
      <c r="EV211" s="250"/>
      <c r="EW211" s="250"/>
      <c r="EX211" s="250"/>
      <c r="EY211" s="250"/>
      <c r="EZ211" s="250"/>
      <c r="FA211" s="250"/>
      <c r="FB211" s="59">
        <f t="shared" si="311"/>
        <v>130000</v>
      </c>
      <c r="FC211" s="59">
        <f t="shared" si="305"/>
        <v>130000</v>
      </c>
      <c r="FD211" s="60">
        <f t="shared" si="306"/>
        <v>14142.13562373095</v>
      </c>
      <c r="FE211" s="65">
        <f t="shared" si="307"/>
        <v>0.10878565864408424</v>
      </c>
      <c r="FF211" s="88">
        <f t="shared" si="308"/>
        <v>109243.6974789916</v>
      </c>
      <c r="FG211" s="88">
        <f t="shared" si="309"/>
        <v>20756.302521008405</v>
      </c>
      <c r="FH211" s="72">
        <f t="shared" si="310"/>
        <v>130000</v>
      </c>
      <c r="FI211" s="260">
        <f t="shared" si="261"/>
        <v>9100000</v>
      </c>
      <c r="FJ211" s="60" t="s">
        <v>65</v>
      </c>
    </row>
    <row r="212" spans="1:167" s="40" customFormat="1" ht="101.5" x14ac:dyDescent="0.35">
      <c r="A212" s="37">
        <v>206</v>
      </c>
      <c r="B212" s="210" t="s">
        <v>438</v>
      </c>
      <c r="C212" s="210" t="s">
        <v>1111</v>
      </c>
      <c r="D212" s="249" t="s">
        <v>131</v>
      </c>
      <c r="E212" s="237">
        <v>70</v>
      </c>
      <c r="F212" s="56"/>
      <c r="G212" s="58"/>
      <c r="H212" s="56"/>
      <c r="I212" s="58"/>
      <c r="J212" s="56"/>
      <c r="K212" s="58"/>
      <c r="L212" s="56"/>
      <c r="M212" s="58"/>
      <c r="N212" s="56"/>
      <c r="O212" s="58"/>
      <c r="P212" s="56"/>
      <c r="Q212" s="58"/>
      <c r="R212" s="56"/>
      <c r="S212" s="58"/>
      <c r="T212" s="56"/>
      <c r="U212" s="58"/>
      <c r="V212" s="56"/>
      <c r="W212" s="58"/>
      <c r="X212" s="56"/>
      <c r="Y212" s="58"/>
      <c r="Z212" s="56"/>
      <c r="AA212" s="58"/>
      <c r="AB212" s="56"/>
      <c r="AC212" s="58"/>
      <c r="AD212" s="56"/>
      <c r="AE212" s="58"/>
      <c r="AF212" s="56"/>
      <c r="AG212" s="58"/>
      <c r="AH212" s="56"/>
      <c r="AI212" s="58"/>
      <c r="AJ212" s="56"/>
      <c r="AK212" s="58"/>
      <c r="AL212" s="56"/>
      <c r="AM212" s="58"/>
      <c r="AN212" s="56"/>
      <c r="AO212" s="58"/>
      <c r="AP212" s="56"/>
      <c r="AQ212" s="58"/>
      <c r="AR212" s="56"/>
      <c r="AS212" s="58"/>
      <c r="AT212" s="56"/>
      <c r="AU212" s="58"/>
      <c r="AV212" s="56"/>
      <c r="AW212" s="58"/>
      <c r="AX212" s="56"/>
      <c r="AY212" s="58"/>
      <c r="AZ212" s="56"/>
      <c r="BA212" s="58"/>
      <c r="BB212" s="56"/>
      <c r="BC212" s="58"/>
      <c r="BD212" s="56"/>
      <c r="BE212" s="58"/>
      <c r="BF212" s="56"/>
      <c r="BG212" s="58"/>
      <c r="BH212" s="56"/>
      <c r="BI212" s="58"/>
      <c r="BJ212" s="56"/>
      <c r="BK212" s="58"/>
      <c r="BL212" s="56"/>
      <c r="BM212" s="58"/>
      <c r="BN212" s="56"/>
      <c r="BO212" s="58"/>
      <c r="BP212" s="56"/>
      <c r="BQ212" s="58"/>
      <c r="BR212" s="56"/>
      <c r="BS212" s="58"/>
      <c r="BT212" s="56"/>
      <c r="BU212" s="58"/>
      <c r="BV212" s="56"/>
      <c r="BW212" s="58"/>
      <c r="BX212" s="56"/>
      <c r="BY212" s="58"/>
      <c r="BZ212" s="56"/>
      <c r="CA212" s="58"/>
      <c r="CB212" s="56"/>
      <c r="CC212" s="58"/>
      <c r="CD212" s="56"/>
      <c r="CE212" s="58"/>
      <c r="CF212" s="56"/>
      <c r="CG212" s="58"/>
      <c r="CH212" s="56"/>
      <c r="CI212" s="58"/>
      <c r="CJ212" s="56"/>
      <c r="CK212" s="58"/>
      <c r="CL212" s="56"/>
      <c r="CM212" s="58"/>
      <c r="CN212" s="56"/>
      <c r="CO212" s="58"/>
      <c r="CP212" s="56"/>
      <c r="CQ212" s="58"/>
      <c r="CR212" s="56"/>
      <c r="CS212" s="58"/>
      <c r="CT212" s="56"/>
      <c r="CU212" s="58"/>
      <c r="CV212" s="56"/>
      <c r="CW212" s="58"/>
      <c r="CX212" s="56"/>
      <c r="CY212" s="58"/>
      <c r="CZ212" s="56"/>
      <c r="DA212" s="58"/>
      <c r="DB212" s="56"/>
      <c r="DC212" s="58"/>
      <c r="DD212" s="56"/>
      <c r="DE212" s="58"/>
      <c r="DF212" s="56"/>
      <c r="DG212" s="58"/>
      <c r="DH212" s="56"/>
      <c r="DI212" s="58"/>
      <c r="DJ212" s="56"/>
      <c r="DK212" s="58"/>
      <c r="DL212" s="56"/>
      <c r="DM212" s="58"/>
      <c r="DN212" s="56"/>
      <c r="DO212" s="58"/>
      <c r="DP212" s="56"/>
      <c r="DQ212" s="58"/>
      <c r="DR212" s="56"/>
      <c r="DS212" s="58"/>
      <c r="DT212" s="56"/>
      <c r="DU212" s="58"/>
      <c r="DV212" s="56"/>
      <c r="DW212" s="58"/>
      <c r="DX212" s="56"/>
      <c r="DY212" s="58"/>
      <c r="DZ212" s="56"/>
      <c r="EA212" s="58"/>
      <c r="EB212" s="56"/>
      <c r="EC212" s="58"/>
      <c r="ED212" s="56"/>
      <c r="EE212" s="58"/>
      <c r="EF212" s="8"/>
      <c r="EG212" s="324"/>
      <c r="EH212" s="222"/>
      <c r="EI212" s="58"/>
      <c r="EJ212" s="8">
        <v>80000</v>
      </c>
      <c r="EK212" s="8">
        <f>+(EJ212*5.1%)+EJ212</f>
        <v>84080</v>
      </c>
      <c r="EL212" s="8">
        <v>111226.68199999999</v>
      </c>
      <c r="EM212" s="12">
        <f>+(EL212*5.1%)+EL212</f>
        <v>116899.24278199999</v>
      </c>
      <c r="EN212" s="208" t="s">
        <v>209</v>
      </c>
      <c r="EO212" s="246" t="s">
        <v>209</v>
      </c>
      <c r="EP212" s="246" t="s">
        <v>209</v>
      </c>
      <c r="EQ212" s="246" t="s">
        <v>209</v>
      </c>
      <c r="ER212" s="246"/>
      <c r="ES212" s="246"/>
      <c r="ET212" s="246"/>
      <c r="EU212" s="246"/>
      <c r="EV212" s="246"/>
      <c r="EW212" s="246"/>
      <c r="EX212" s="246"/>
      <c r="EY212" s="246"/>
      <c r="EZ212" s="246"/>
      <c r="FA212" s="246"/>
      <c r="FB212" s="59">
        <f>MEDIAN(G212,I212,K212,M212,O212,Q212,S212,U212,W212,Y212,AA212,AC212,AE212,AG212,AI212,AK212,AM212,AO212,AQ212,AS212,AU212,AW212,AY212,BA212,BC212,BE212,BG212,BI212,BK212,BM212,BO212,BQ212,BS212,BU212,BW212,BY212,CA212,CC212,CE212,CG212,CI212,CK212,CM212,CO212,CQ212,CS212,CU212,CW212,CY212,DA212,DC212,DE212,DG212,DI212,DK212,DM212,DO212,DQ212,DS212,DU212,DW212,DY212,EA212,EC212,EE212,EF212,EG212,EH212,EI212,EK212,EM212,EO212,EQ212)</f>
        <v>100489.62139099999</v>
      </c>
      <c r="FC212" s="59">
        <f t="shared" si="305"/>
        <v>100489.62139099999</v>
      </c>
      <c r="FD212" s="60">
        <f t="shared" si="306"/>
        <v>23206.709124559773</v>
      </c>
      <c r="FE212" s="65">
        <f t="shared" si="307"/>
        <v>0.23093637734252825</v>
      </c>
      <c r="FF212" s="88">
        <f t="shared" si="308"/>
        <v>84445.378151260506</v>
      </c>
      <c r="FG212" s="88">
        <f t="shared" si="309"/>
        <v>16044.621848739496</v>
      </c>
      <c r="FH212" s="72">
        <f t="shared" si="310"/>
        <v>100490</v>
      </c>
      <c r="FI212" s="260">
        <f t="shared" si="261"/>
        <v>7034300</v>
      </c>
      <c r="FJ212" s="60" t="s">
        <v>66</v>
      </c>
    </row>
    <row r="213" spans="1:167" s="40" customFormat="1" ht="58" x14ac:dyDescent="0.35">
      <c r="A213" s="37">
        <v>207</v>
      </c>
      <c r="B213" s="210" t="s">
        <v>439</v>
      </c>
      <c r="C213" s="210" t="s">
        <v>440</v>
      </c>
      <c r="D213" s="249" t="s">
        <v>64</v>
      </c>
      <c r="E213" s="220">
        <v>100</v>
      </c>
      <c r="F213" s="56"/>
      <c r="G213" s="58"/>
      <c r="H213" s="56"/>
      <c r="I213" s="58"/>
      <c r="J213" s="56"/>
      <c r="K213" s="58"/>
      <c r="L213" s="56"/>
      <c r="M213" s="58"/>
      <c r="N213" s="56"/>
      <c r="O213" s="58"/>
      <c r="P213" s="56"/>
      <c r="Q213" s="58"/>
      <c r="R213" s="56"/>
      <c r="S213" s="58"/>
      <c r="T213" s="56"/>
      <c r="U213" s="58"/>
      <c r="V213" s="56"/>
      <c r="W213" s="58"/>
      <c r="X213" s="56"/>
      <c r="Y213" s="58"/>
      <c r="Z213" s="56"/>
      <c r="AA213" s="58"/>
      <c r="AB213" s="56"/>
      <c r="AC213" s="58"/>
      <c r="AD213" s="56"/>
      <c r="AE213" s="58"/>
      <c r="AF213" s="56"/>
      <c r="AG213" s="58"/>
      <c r="AH213" s="56"/>
      <c r="AI213" s="58"/>
      <c r="AJ213" s="56"/>
      <c r="AK213" s="58"/>
      <c r="AL213" s="56"/>
      <c r="AM213" s="58"/>
      <c r="AN213" s="56"/>
      <c r="AO213" s="58"/>
      <c r="AP213" s="56"/>
      <c r="AQ213" s="58"/>
      <c r="AR213" s="56"/>
      <c r="AS213" s="58"/>
      <c r="AT213" s="56"/>
      <c r="AU213" s="58"/>
      <c r="AV213" s="56"/>
      <c r="AW213" s="58"/>
      <c r="AX213" s="56"/>
      <c r="AY213" s="58"/>
      <c r="AZ213" s="56"/>
      <c r="BA213" s="58"/>
      <c r="BB213" s="56"/>
      <c r="BC213" s="58"/>
      <c r="BD213" s="56"/>
      <c r="BE213" s="58"/>
      <c r="BF213" s="56"/>
      <c r="BG213" s="58"/>
      <c r="BH213" s="56"/>
      <c r="BI213" s="58"/>
      <c r="BJ213" s="56"/>
      <c r="BK213" s="58"/>
      <c r="BL213" s="56"/>
      <c r="BM213" s="58"/>
      <c r="BN213" s="56"/>
      <c r="BO213" s="58"/>
      <c r="BP213" s="56"/>
      <c r="BQ213" s="58"/>
      <c r="BR213" s="56"/>
      <c r="BS213" s="58"/>
      <c r="BT213" s="56"/>
      <c r="BU213" s="58"/>
      <c r="BV213" s="56"/>
      <c r="BW213" s="58"/>
      <c r="BX213" s="56"/>
      <c r="BY213" s="58"/>
      <c r="BZ213" s="56"/>
      <c r="CA213" s="58"/>
      <c r="CB213" s="56"/>
      <c r="CC213" s="58"/>
      <c r="CD213" s="56"/>
      <c r="CE213" s="58"/>
      <c r="CF213" s="56"/>
      <c r="CG213" s="58"/>
      <c r="CH213" s="56"/>
      <c r="CI213" s="58"/>
      <c r="CJ213" s="56"/>
      <c r="CK213" s="58"/>
      <c r="CL213" s="56"/>
      <c r="CM213" s="58"/>
      <c r="CN213" s="56"/>
      <c r="CO213" s="58"/>
      <c r="CP213" s="56"/>
      <c r="CQ213" s="58"/>
      <c r="CR213" s="56"/>
      <c r="CS213" s="58"/>
      <c r="CT213" s="56"/>
      <c r="CU213" s="58"/>
      <c r="CV213" s="56"/>
      <c r="CW213" s="58"/>
      <c r="CX213" s="56"/>
      <c r="CY213" s="58"/>
      <c r="CZ213" s="56"/>
      <c r="DA213" s="58"/>
      <c r="DB213" s="56"/>
      <c r="DC213" s="58"/>
      <c r="DD213" s="56"/>
      <c r="DE213" s="58"/>
      <c r="DF213" s="56"/>
      <c r="DG213" s="58"/>
      <c r="DH213" s="56"/>
      <c r="DI213" s="58"/>
      <c r="DJ213" s="56"/>
      <c r="DK213" s="58"/>
      <c r="DL213" s="56"/>
      <c r="DM213" s="58"/>
      <c r="DN213" s="56"/>
      <c r="DO213" s="58"/>
      <c r="DP213" s="56"/>
      <c r="DQ213" s="58"/>
      <c r="DR213" s="56"/>
      <c r="DS213" s="58"/>
      <c r="DT213" s="56"/>
      <c r="DU213" s="58"/>
      <c r="DV213" s="56"/>
      <c r="DW213" s="58"/>
      <c r="DX213" s="56"/>
      <c r="DY213" s="58"/>
      <c r="DZ213" s="56"/>
      <c r="EA213" s="58"/>
      <c r="EB213" s="56"/>
      <c r="EC213" s="58"/>
      <c r="ED213" s="56"/>
      <c r="EE213" s="58"/>
      <c r="EF213" s="8">
        <v>8000</v>
      </c>
      <c r="EG213" s="324">
        <v>7300</v>
      </c>
      <c r="EH213" s="8">
        <v>7900</v>
      </c>
      <c r="EI213" s="58"/>
      <c r="EJ213" s="58"/>
      <c r="EK213" s="58"/>
      <c r="EL213" s="228"/>
      <c r="EM213" s="228"/>
      <c r="EN213" s="208" t="s">
        <v>209</v>
      </c>
      <c r="EO213" s="246" t="s">
        <v>209</v>
      </c>
      <c r="EP213" s="246" t="s">
        <v>209</v>
      </c>
      <c r="EQ213" s="246" t="s">
        <v>209</v>
      </c>
      <c r="ER213" s="246"/>
      <c r="ES213" s="246"/>
      <c r="ET213" s="246"/>
      <c r="EU213" s="246"/>
      <c r="EV213" s="246"/>
      <c r="EW213" s="246"/>
      <c r="EX213" s="246"/>
      <c r="EY213" s="246"/>
      <c r="EZ213" s="246"/>
      <c r="FA213" s="246"/>
      <c r="FB213" s="59">
        <f>MEDIAN(G213,I213,K213,M213,O213,Q213,S213,U213,W213,Y213,AA213,AC213,AE213,AG213,AI213,AK213,AM213,AO213,AQ213,AS213,AU213,AW213,AY213,BA213,BC213,BE213,BG213,BI213,BK213,BM213,BO213,BQ213,BS213,BU213,BW213,BY213,CA213,CC213,CE213,CG213,CI213,CK213,CM213,CO213,CQ213,CS213,CU213,CW213,CY213,DA213,DC213,DE213,DG213,DI213,DK213,DM213,DO213,DQ213,DS213,DU213,DW213,DY213,EA213,EC213,EE213,EF213,EG213,EH213,EI213,EK213,EM213,EO213,EQ213)</f>
        <v>7900</v>
      </c>
      <c r="FC213" s="59">
        <f t="shared" si="305"/>
        <v>7733.333333333333</v>
      </c>
      <c r="FD213" s="60">
        <f t="shared" si="306"/>
        <v>378.59388972001824</v>
      </c>
      <c r="FE213" s="65">
        <f t="shared" si="307"/>
        <v>4.8956106429312703E-2</v>
      </c>
      <c r="FF213" s="88">
        <f t="shared" si="308"/>
        <v>6499.1596638655465</v>
      </c>
      <c r="FG213" s="88">
        <f t="shared" si="309"/>
        <v>1234.8403361344538</v>
      </c>
      <c r="FH213" s="72">
        <f t="shared" si="310"/>
        <v>7734</v>
      </c>
      <c r="FI213" s="260">
        <f t="shared" si="261"/>
        <v>773400</v>
      </c>
      <c r="FJ213" s="60" t="s">
        <v>65</v>
      </c>
    </row>
    <row r="214" spans="1:167" s="40" customFormat="1" ht="87" x14ac:dyDescent="0.35">
      <c r="A214" s="36">
        <v>208</v>
      </c>
      <c r="B214" s="219" t="s">
        <v>441</v>
      </c>
      <c r="C214" s="36" t="s">
        <v>442</v>
      </c>
      <c r="D214" s="249" t="s">
        <v>127</v>
      </c>
      <c r="E214" s="220">
        <v>100</v>
      </c>
      <c r="F214" s="56"/>
      <c r="G214" s="58"/>
      <c r="H214" s="56"/>
      <c r="I214" s="58"/>
      <c r="J214" s="56"/>
      <c r="K214" s="58"/>
      <c r="L214" s="56"/>
      <c r="M214" s="58"/>
      <c r="N214" s="56"/>
      <c r="O214" s="58"/>
      <c r="P214" s="56"/>
      <c r="Q214" s="58"/>
      <c r="R214" s="56"/>
      <c r="S214" s="58"/>
      <c r="T214" s="56"/>
      <c r="U214" s="58"/>
      <c r="V214" s="56"/>
      <c r="W214" s="58"/>
      <c r="X214" s="56"/>
      <c r="Y214" s="58"/>
      <c r="Z214" s="56"/>
      <c r="AA214" s="58"/>
      <c r="AB214" s="56"/>
      <c r="AC214" s="58"/>
      <c r="AD214" s="56"/>
      <c r="AE214" s="58"/>
      <c r="AF214" s="56"/>
      <c r="AG214" s="58"/>
      <c r="AH214" s="56"/>
      <c r="AI214" s="58"/>
      <c r="AJ214" s="56"/>
      <c r="AK214" s="58"/>
      <c r="AL214" s="56"/>
      <c r="AM214" s="58"/>
      <c r="AN214" s="56"/>
      <c r="AO214" s="58"/>
      <c r="AP214" s="56"/>
      <c r="AQ214" s="58"/>
      <c r="AR214" s="56"/>
      <c r="AS214" s="58"/>
      <c r="AT214" s="56"/>
      <c r="AU214" s="58"/>
      <c r="AV214" s="56"/>
      <c r="AW214" s="58"/>
      <c r="AX214" s="56"/>
      <c r="AY214" s="58"/>
      <c r="AZ214" s="56"/>
      <c r="BA214" s="58"/>
      <c r="BB214" s="56"/>
      <c r="BC214" s="58"/>
      <c r="BD214" s="56"/>
      <c r="BE214" s="58"/>
      <c r="BF214" s="56"/>
      <c r="BG214" s="58"/>
      <c r="BH214" s="56"/>
      <c r="BI214" s="58"/>
      <c r="BJ214" s="56"/>
      <c r="BK214" s="58"/>
      <c r="BL214" s="56"/>
      <c r="BM214" s="58"/>
      <c r="BN214" s="56"/>
      <c r="BO214" s="58"/>
      <c r="BP214" s="56"/>
      <c r="BQ214" s="58"/>
      <c r="BR214" s="56"/>
      <c r="BS214" s="58"/>
      <c r="BT214" s="56"/>
      <c r="BU214" s="58"/>
      <c r="BV214" s="56"/>
      <c r="BW214" s="58"/>
      <c r="BX214" s="56"/>
      <c r="BY214" s="58"/>
      <c r="BZ214" s="56"/>
      <c r="CA214" s="58"/>
      <c r="CB214" s="56"/>
      <c r="CC214" s="58"/>
      <c r="CD214" s="56"/>
      <c r="CE214" s="58"/>
      <c r="CF214" s="56"/>
      <c r="CG214" s="58"/>
      <c r="CH214" s="56"/>
      <c r="CI214" s="58"/>
      <c r="CJ214" s="56"/>
      <c r="CK214" s="58"/>
      <c r="CL214" s="56"/>
      <c r="CM214" s="58"/>
      <c r="CN214" s="56"/>
      <c r="CO214" s="58"/>
      <c r="CP214" s="56"/>
      <c r="CQ214" s="58"/>
      <c r="CR214" s="56"/>
      <c r="CS214" s="58"/>
      <c r="CT214" s="56"/>
      <c r="CU214" s="58"/>
      <c r="CV214" s="56"/>
      <c r="CW214" s="58"/>
      <c r="CX214" s="56"/>
      <c r="CY214" s="58"/>
      <c r="CZ214" s="56"/>
      <c r="DA214" s="58"/>
      <c r="DB214" s="56"/>
      <c r="DC214" s="58"/>
      <c r="DD214" s="56"/>
      <c r="DE214" s="58"/>
      <c r="DF214" s="56"/>
      <c r="DG214" s="58"/>
      <c r="DH214" s="56"/>
      <c r="DI214" s="58"/>
      <c r="DJ214" s="56"/>
      <c r="DK214" s="58"/>
      <c r="DL214" s="56"/>
      <c r="DM214" s="58"/>
      <c r="DN214" s="56"/>
      <c r="DO214" s="58"/>
      <c r="DP214" s="56"/>
      <c r="DQ214" s="58"/>
      <c r="DR214" s="56"/>
      <c r="DS214" s="58"/>
      <c r="DT214" s="56"/>
      <c r="DU214" s="58"/>
      <c r="DV214" s="56"/>
      <c r="DW214" s="58"/>
      <c r="DX214" s="56"/>
      <c r="DY214" s="58"/>
      <c r="DZ214" s="56"/>
      <c r="EA214" s="58"/>
      <c r="EB214" s="257"/>
      <c r="EC214" s="228"/>
      <c r="ED214" s="257"/>
      <c r="EE214" s="258"/>
      <c r="EF214" s="107">
        <v>350000</v>
      </c>
      <c r="EG214" s="258">
        <v>326000</v>
      </c>
      <c r="EH214" s="352">
        <v>345000</v>
      </c>
      <c r="EI214" s="229"/>
      <c r="EJ214" s="245"/>
      <c r="EK214" s="245"/>
      <c r="EL214" s="245"/>
      <c r="EM214" s="245"/>
      <c r="EN214" s="254" t="s">
        <v>209</v>
      </c>
      <c r="EO214" s="253" t="s">
        <v>209</v>
      </c>
      <c r="EP214" s="246" t="s">
        <v>209</v>
      </c>
      <c r="EQ214" s="246" t="s">
        <v>209</v>
      </c>
      <c r="ER214" s="246"/>
      <c r="ES214" s="246"/>
      <c r="ET214" s="246"/>
      <c r="EU214" s="246"/>
      <c r="EV214" s="246"/>
      <c r="EW214" s="246"/>
      <c r="EX214" s="246"/>
      <c r="EY214" s="246"/>
      <c r="EZ214" s="246"/>
      <c r="FA214" s="246"/>
      <c r="FB214" s="59">
        <f t="shared" si="311"/>
        <v>345000</v>
      </c>
      <c r="FC214" s="59">
        <f t="shared" si="305"/>
        <v>340333.33333333331</v>
      </c>
      <c r="FD214" s="60">
        <f t="shared" si="306"/>
        <v>12662.279942148387</v>
      </c>
      <c r="FE214" s="65">
        <f t="shared" si="307"/>
        <v>3.7205523826097125E-2</v>
      </c>
      <c r="FF214" s="88">
        <f t="shared" si="308"/>
        <v>285994.95798319328</v>
      </c>
      <c r="FG214" s="88">
        <f t="shared" si="309"/>
        <v>54339.042016806721</v>
      </c>
      <c r="FH214" s="72">
        <f t="shared" si="310"/>
        <v>340334</v>
      </c>
      <c r="FI214" s="260">
        <f t="shared" si="261"/>
        <v>34033400</v>
      </c>
      <c r="FJ214" s="60" t="s">
        <v>65</v>
      </c>
      <c r="FK214" s="343"/>
    </row>
    <row r="215" spans="1:167" s="40" customFormat="1" ht="58" x14ac:dyDescent="0.35">
      <c r="A215" s="37">
        <v>209</v>
      </c>
      <c r="B215" s="210" t="s">
        <v>1019</v>
      </c>
      <c r="C215" s="210" t="s">
        <v>1020</v>
      </c>
      <c r="D215" s="249" t="s">
        <v>64</v>
      </c>
      <c r="E215" s="220">
        <v>50</v>
      </c>
      <c r="F215" s="56"/>
      <c r="G215" s="58"/>
      <c r="H215" s="56"/>
      <c r="I215" s="58"/>
      <c r="J215" s="56"/>
      <c r="K215" s="58"/>
      <c r="L215" s="56"/>
      <c r="M215" s="58"/>
      <c r="N215" s="56"/>
      <c r="O215" s="58"/>
      <c r="P215" s="56"/>
      <c r="Q215" s="58"/>
      <c r="R215" s="56"/>
      <c r="S215" s="58"/>
      <c r="T215" s="56"/>
      <c r="U215" s="58"/>
      <c r="V215" s="56"/>
      <c r="W215" s="58"/>
      <c r="X215" s="56"/>
      <c r="Y215" s="58"/>
      <c r="Z215" s="56"/>
      <c r="AA215" s="58"/>
      <c r="AB215" s="56"/>
      <c r="AC215" s="58"/>
      <c r="AD215" s="56"/>
      <c r="AE215" s="58"/>
      <c r="AF215" s="56"/>
      <c r="AG215" s="58"/>
      <c r="AH215" s="56"/>
      <c r="AI215" s="58"/>
      <c r="AJ215" s="56"/>
      <c r="AK215" s="58"/>
      <c r="AL215" s="56"/>
      <c r="AM215" s="58"/>
      <c r="AN215" s="56"/>
      <c r="AO215" s="58"/>
      <c r="AP215" s="56"/>
      <c r="AQ215" s="58"/>
      <c r="AR215" s="56"/>
      <c r="AS215" s="58"/>
      <c r="AT215" s="56"/>
      <c r="AU215" s="58"/>
      <c r="AV215" s="56"/>
      <c r="AW215" s="58"/>
      <c r="AX215" s="56"/>
      <c r="AY215" s="58"/>
      <c r="AZ215" s="56"/>
      <c r="BA215" s="58"/>
      <c r="BB215" s="56"/>
      <c r="BC215" s="58"/>
      <c r="BD215" s="56"/>
      <c r="BE215" s="58"/>
      <c r="BF215" s="56"/>
      <c r="BG215" s="58"/>
      <c r="BH215" s="56"/>
      <c r="BI215" s="58"/>
      <c r="BJ215" s="56"/>
      <c r="BK215" s="58"/>
      <c r="BL215" s="56"/>
      <c r="BM215" s="58"/>
      <c r="BN215" s="56"/>
      <c r="BO215" s="58"/>
      <c r="BP215" s="56"/>
      <c r="BQ215" s="58"/>
      <c r="BR215" s="56"/>
      <c r="BS215" s="58"/>
      <c r="BT215" s="56"/>
      <c r="BU215" s="58"/>
      <c r="BV215" s="56"/>
      <c r="BW215" s="58"/>
      <c r="BX215" s="56"/>
      <c r="BY215" s="58"/>
      <c r="BZ215" s="56"/>
      <c r="CA215" s="58"/>
      <c r="CB215" s="56"/>
      <c r="CC215" s="58"/>
      <c r="CD215" s="56"/>
      <c r="CE215" s="58"/>
      <c r="CF215" s="56"/>
      <c r="CG215" s="58"/>
      <c r="CH215" s="56"/>
      <c r="CI215" s="58"/>
      <c r="CJ215" s="56"/>
      <c r="CK215" s="58"/>
      <c r="CL215" s="56"/>
      <c r="CM215" s="58"/>
      <c r="CN215" s="56"/>
      <c r="CO215" s="58"/>
      <c r="CP215" s="56"/>
      <c r="CQ215" s="58"/>
      <c r="CR215" s="56"/>
      <c r="CS215" s="58"/>
      <c r="CT215" s="56"/>
      <c r="CU215" s="58"/>
      <c r="CV215" s="56"/>
      <c r="CW215" s="58"/>
      <c r="CX215" s="56"/>
      <c r="CY215" s="58"/>
      <c r="CZ215" s="56"/>
      <c r="DA215" s="58"/>
      <c r="DB215" s="56"/>
      <c r="DC215" s="58"/>
      <c r="DD215" s="56"/>
      <c r="DE215" s="58"/>
      <c r="DF215" s="56"/>
      <c r="DG215" s="58"/>
      <c r="DH215" s="56"/>
      <c r="DI215" s="58"/>
      <c r="DJ215" s="56"/>
      <c r="DK215" s="58"/>
      <c r="DL215" s="56"/>
      <c r="DM215" s="58"/>
      <c r="DN215" s="56"/>
      <c r="DO215" s="58"/>
      <c r="DP215" s="56"/>
      <c r="DQ215" s="58"/>
      <c r="DR215" s="56"/>
      <c r="DS215" s="58"/>
      <c r="DT215" s="56"/>
      <c r="DU215" s="58"/>
      <c r="DV215" s="56"/>
      <c r="DW215" s="58"/>
      <c r="DX215" s="56"/>
      <c r="DY215" s="58"/>
      <c r="DZ215" s="56"/>
      <c r="EA215" s="58"/>
      <c r="EB215" s="56"/>
      <c r="EC215" s="230"/>
      <c r="ED215" s="244"/>
      <c r="EE215" s="58"/>
      <c r="EF215" s="8">
        <v>35000</v>
      </c>
      <c r="EG215" s="324">
        <v>32000</v>
      </c>
      <c r="EH215" s="8">
        <v>33200</v>
      </c>
      <c r="EI215" s="58"/>
      <c r="EJ215" s="58"/>
      <c r="EK215" s="58"/>
      <c r="EL215" s="58"/>
      <c r="EM215" s="58"/>
      <c r="EN215" s="251" t="s">
        <v>209</v>
      </c>
      <c r="EO215" s="251" t="s">
        <v>209</v>
      </c>
      <c r="EP215" s="246" t="s">
        <v>209</v>
      </c>
      <c r="EQ215" s="246" t="s">
        <v>209</v>
      </c>
      <c r="ER215" s="246"/>
      <c r="ES215" s="246"/>
      <c r="ET215" s="246"/>
      <c r="EU215" s="246"/>
      <c r="EV215" s="246"/>
      <c r="EW215" s="246"/>
      <c r="EX215" s="246"/>
      <c r="EY215" s="246"/>
      <c r="EZ215" s="246"/>
      <c r="FA215" s="246"/>
      <c r="FB215" s="59">
        <f t="shared" si="311"/>
        <v>33200</v>
      </c>
      <c r="FC215" s="59">
        <f t="shared" si="305"/>
        <v>33400</v>
      </c>
      <c r="FD215" s="60">
        <f t="shared" si="306"/>
        <v>1509.96688705415</v>
      </c>
      <c r="FE215" s="65">
        <f t="shared" si="307"/>
        <v>4.5208589432758982E-2</v>
      </c>
      <c r="FF215" s="88">
        <f t="shared" si="308"/>
        <v>28067.226890756305</v>
      </c>
      <c r="FG215" s="88">
        <f t="shared" si="309"/>
        <v>5332.7731092436979</v>
      </c>
      <c r="FH215" s="72">
        <f t="shared" si="310"/>
        <v>33400</v>
      </c>
      <c r="FI215" s="260">
        <f t="shared" si="261"/>
        <v>1670000</v>
      </c>
      <c r="FJ215" s="60" t="s">
        <v>65</v>
      </c>
    </row>
    <row r="216" spans="1:167" s="40" customFormat="1" ht="130.5" x14ac:dyDescent="0.35">
      <c r="A216" s="37">
        <v>210</v>
      </c>
      <c r="B216" s="210" t="s">
        <v>1021</v>
      </c>
      <c r="C216" s="36" t="s">
        <v>1110</v>
      </c>
      <c r="D216" s="249" t="s">
        <v>64</v>
      </c>
      <c r="E216" s="220">
        <v>50</v>
      </c>
      <c r="F216" s="263"/>
      <c r="G216" s="58"/>
      <c r="H216" s="263"/>
      <c r="I216" s="58"/>
      <c r="J216" s="263"/>
      <c r="K216" s="58"/>
      <c r="L216" s="263"/>
      <c r="M216" s="58"/>
      <c r="N216" s="263"/>
      <c r="O216" s="58"/>
      <c r="P216" s="263"/>
      <c r="Q216" s="58"/>
      <c r="R216" s="263"/>
      <c r="S216" s="58"/>
      <c r="T216" s="263"/>
      <c r="U216" s="58"/>
      <c r="V216" s="263"/>
      <c r="W216" s="58"/>
      <c r="X216" s="263"/>
      <c r="Y216" s="58"/>
      <c r="Z216" s="263"/>
      <c r="AA216" s="58"/>
      <c r="AB216" s="263"/>
      <c r="AC216" s="58"/>
      <c r="AD216" s="263"/>
      <c r="AE216" s="58"/>
      <c r="AF216" s="263"/>
      <c r="AG216" s="58"/>
      <c r="AH216" s="263"/>
      <c r="AI216" s="58"/>
      <c r="AJ216" s="263"/>
      <c r="AK216" s="58"/>
      <c r="AL216" s="263"/>
      <c r="AM216" s="58"/>
      <c r="AN216" s="263"/>
      <c r="AO216" s="58"/>
      <c r="AP216" s="263"/>
      <c r="AQ216" s="58"/>
      <c r="AR216" s="263"/>
      <c r="AS216" s="58"/>
      <c r="AT216" s="263"/>
      <c r="AU216" s="58"/>
      <c r="AV216" s="263"/>
      <c r="AW216" s="58"/>
      <c r="AX216" s="263"/>
      <c r="AY216" s="58"/>
      <c r="AZ216" s="263"/>
      <c r="BA216" s="58"/>
      <c r="BB216" s="263"/>
      <c r="BC216" s="58"/>
      <c r="BD216" s="263"/>
      <c r="BE216" s="58"/>
      <c r="BF216" s="263"/>
      <c r="BG216" s="58"/>
      <c r="BH216" s="263"/>
      <c r="BI216" s="58"/>
      <c r="BJ216" s="263"/>
      <c r="BK216" s="58"/>
      <c r="BL216" s="263"/>
      <c r="BM216" s="58"/>
      <c r="BN216" s="263"/>
      <c r="BO216" s="58"/>
      <c r="BP216" s="263"/>
      <c r="BQ216" s="58"/>
      <c r="BR216" s="263"/>
      <c r="BS216" s="58"/>
      <c r="BT216" s="263"/>
      <c r="BU216" s="58"/>
      <c r="BV216" s="263"/>
      <c r="BW216" s="58"/>
      <c r="BX216" s="263"/>
      <c r="BY216" s="58"/>
      <c r="BZ216" s="263"/>
      <c r="CA216" s="58"/>
      <c r="CB216" s="263"/>
      <c r="CC216" s="58"/>
      <c r="CD216" s="263"/>
      <c r="CE216" s="58"/>
      <c r="CF216" s="263"/>
      <c r="CG216" s="58"/>
      <c r="CH216" s="263"/>
      <c r="CI216" s="58"/>
      <c r="CJ216" s="263"/>
      <c r="CK216" s="58"/>
      <c r="CL216" s="263"/>
      <c r="CM216" s="58"/>
      <c r="CN216" s="263"/>
      <c r="CO216" s="58"/>
      <c r="CP216" s="263"/>
      <c r="CQ216" s="58"/>
      <c r="CR216" s="263"/>
      <c r="CS216" s="58"/>
      <c r="CT216" s="263"/>
      <c r="CU216" s="58"/>
      <c r="CV216" s="263"/>
      <c r="CW216" s="58"/>
      <c r="CX216" s="263"/>
      <c r="CY216" s="58"/>
      <c r="CZ216" s="263"/>
      <c r="DA216" s="58"/>
      <c r="DB216" s="263"/>
      <c r="DC216" s="58"/>
      <c r="DD216" s="263"/>
      <c r="DE216" s="58"/>
      <c r="DF216" s="263"/>
      <c r="DG216" s="58"/>
      <c r="DH216" s="263"/>
      <c r="DI216" s="58"/>
      <c r="DJ216" s="263"/>
      <c r="DK216" s="58"/>
      <c r="DL216" s="263"/>
      <c r="DM216" s="58"/>
      <c r="DN216" s="263"/>
      <c r="DO216" s="58"/>
      <c r="DP216" s="263"/>
      <c r="DQ216" s="58"/>
      <c r="DR216" s="263"/>
      <c r="DS216" s="58"/>
      <c r="DT216" s="263"/>
      <c r="DU216" s="58"/>
      <c r="DV216" s="263"/>
      <c r="DW216" s="58"/>
      <c r="DX216" s="263"/>
      <c r="DY216" s="58"/>
      <c r="DZ216" s="263"/>
      <c r="EA216" s="58"/>
      <c r="EB216" s="263"/>
      <c r="EC216" s="58"/>
      <c r="ED216" s="263"/>
      <c r="EE216" s="58"/>
      <c r="EF216" s="10">
        <v>324000</v>
      </c>
      <c r="EG216" s="353">
        <v>302000</v>
      </c>
      <c r="EH216" s="222">
        <v>325000</v>
      </c>
      <c r="EI216" s="58"/>
      <c r="EJ216" s="58"/>
      <c r="EK216" s="58"/>
      <c r="EL216" s="58"/>
      <c r="EM216" s="58"/>
      <c r="EN216" s="118"/>
      <c r="EO216" s="118"/>
      <c r="EP216" s="344"/>
      <c r="EQ216" s="344"/>
      <c r="ER216" s="344"/>
      <c r="ES216" s="344"/>
      <c r="ET216" s="344"/>
      <c r="EU216" s="344"/>
      <c r="EV216" s="344"/>
      <c r="EW216" s="344"/>
      <c r="EX216" s="344"/>
      <c r="EY216" s="344"/>
      <c r="EZ216" s="344"/>
      <c r="FA216" s="344"/>
      <c r="FB216" s="59">
        <f t="shared" si="311"/>
        <v>324000</v>
      </c>
      <c r="FC216" s="59">
        <f t="shared" si="305"/>
        <v>317000</v>
      </c>
      <c r="FD216" s="60">
        <f t="shared" si="306"/>
        <v>13000</v>
      </c>
      <c r="FE216" s="65">
        <f t="shared" si="307"/>
        <v>4.1009463722397478E-2</v>
      </c>
      <c r="FF216" s="88">
        <f t="shared" si="308"/>
        <v>266386.55462184874</v>
      </c>
      <c r="FG216" s="88">
        <f t="shared" si="309"/>
        <v>50613.445378151264</v>
      </c>
      <c r="FH216" s="72">
        <f t="shared" si="310"/>
        <v>317000</v>
      </c>
      <c r="FI216" s="260">
        <f t="shared" si="261"/>
        <v>15850000</v>
      </c>
      <c r="FJ216" s="60" t="s">
        <v>65</v>
      </c>
    </row>
    <row r="217" spans="1:167" s="40" customFormat="1" ht="101.5" x14ac:dyDescent="0.35">
      <c r="A217" s="36">
        <v>211</v>
      </c>
      <c r="B217" s="210" t="s">
        <v>1022</v>
      </c>
      <c r="C217" s="36" t="s">
        <v>1112</v>
      </c>
      <c r="D217" s="249" t="s">
        <v>64</v>
      </c>
      <c r="E217" s="220">
        <v>70</v>
      </c>
      <c r="F217" s="263"/>
      <c r="G217" s="58"/>
      <c r="H217" s="263"/>
      <c r="I217" s="58"/>
      <c r="J217" s="263"/>
      <c r="K217" s="58"/>
      <c r="L217" s="263"/>
      <c r="M217" s="58"/>
      <c r="N217" s="263"/>
      <c r="O217" s="58"/>
      <c r="P217" s="263"/>
      <c r="Q217" s="58"/>
      <c r="R217" s="263"/>
      <c r="S217" s="58"/>
      <c r="T217" s="263"/>
      <c r="U217" s="58"/>
      <c r="V217" s="263"/>
      <c r="W217" s="58"/>
      <c r="X217" s="263"/>
      <c r="Y217" s="58"/>
      <c r="Z217" s="263"/>
      <c r="AA217" s="58"/>
      <c r="AB217" s="263"/>
      <c r="AC217" s="58"/>
      <c r="AD217" s="263"/>
      <c r="AE217" s="58"/>
      <c r="AF217" s="263"/>
      <c r="AG217" s="58"/>
      <c r="AH217" s="263"/>
      <c r="AI217" s="58"/>
      <c r="AJ217" s="263"/>
      <c r="AK217" s="58"/>
      <c r="AL217" s="263"/>
      <c r="AM217" s="58"/>
      <c r="AN217" s="263"/>
      <c r="AO217" s="58"/>
      <c r="AP217" s="263"/>
      <c r="AQ217" s="58"/>
      <c r="AR217" s="263"/>
      <c r="AS217" s="58"/>
      <c r="AT217" s="263"/>
      <c r="AU217" s="58"/>
      <c r="AV217" s="263"/>
      <c r="AW217" s="58"/>
      <c r="AX217" s="263"/>
      <c r="AY217" s="58"/>
      <c r="AZ217" s="263"/>
      <c r="BA217" s="58"/>
      <c r="BB217" s="263"/>
      <c r="BC217" s="58"/>
      <c r="BD217" s="263"/>
      <c r="BE217" s="58"/>
      <c r="BF217" s="263"/>
      <c r="BG217" s="58"/>
      <c r="BH217" s="263"/>
      <c r="BI217" s="58"/>
      <c r="BJ217" s="263"/>
      <c r="BK217" s="58"/>
      <c r="BL217" s="263"/>
      <c r="BM217" s="58"/>
      <c r="BN217" s="263"/>
      <c r="BO217" s="58"/>
      <c r="BP217" s="263"/>
      <c r="BQ217" s="58"/>
      <c r="BR217" s="263"/>
      <c r="BS217" s="58"/>
      <c r="BT217" s="263"/>
      <c r="BU217" s="58"/>
      <c r="BV217" s="263"/>
      <c r="BW217" s="58"/>
      <c r="BX217" s="263"/>
      <c r="BY217" s="58"/>
      <c r="BZ217" s="263"/>
      <c r="CA217" s="58"/>
      <c r="CB217" s="263"/>
      <c r="CC217" s="58"/>
      <c r="CD217" s="263"/>
      <c r="CE217" s="58"/>
      <c r="CF217" s="263"/>
      <c r="CG217" s="58"/>
      <c r="CH217" s="263"/>
      <c r="CI217" s="58"/>
      <c r="CJ217" s="263"/>
      <c r="CK217" s="58"/>
      <c r="CL217" s="263"/>
      <c r="CM217" s="58"/>
      <c r="CN217" s="263"/>
      <c r="CO217" s="58"/>
      <c r="CP217" s="263"/>
      <c r="CQ217" s="58"/>
      <c r="CR217" s="263"/>
      <c r="CS217" s="58"/>
      <c r="CT217" s="263"/>
      <c r="CU217" s="58"/>
      <c r="CV217" s="263"/>
      <c r="CW217" s="58"/>
      <c r="CX217" s="263"/>
      <c r="CY217" s="58"/>
      <c r="CZ217" s="263"/>
      <c r="DA217" s="58"/>
      <c r="DB217" s="263"/>
      <c r="DC217" s="58"/>
      <c r="DD217" s="263"/>
      <c r="DE217" s="58"/>
      <c r="DF217" s="263"/>
      <c r="DG217" s="58"/>
      <c r="DH217" s="263"/>
      <c r="DI217" s="58"/>
      <c r="DJ217" s="263"/>
      <c r="DK217" s="58"/>
      <c r="DL217" s="263"/>
      <c r="DM217" s="58"/>
      <c r="DN217" s="263"/>
      <c r="DO217" s="58"/>
      <c r="DP217" s="263"/>
      <c r="DQ217" s="58"/>
      <c r="DR217" s="263"/>
      <c r="DS217" s="58"/>
      <c r="DT217" s="263"/>
      <c r="DU217" s="58"/>
      <c r="DV217" s="263"/>
      <c r="DW217" s="58"/>
      <c r="DX217" s="263"/>
      <c r="DY217" s="58"/>
      <c r="DZ217" s="263"/>
      <c r="EA217" s="58"/>
      <c r="EB217" s="263"/>
      <c r="EC217" s="58"/>
      <c r="ED217" s="263"/>
      <c r="EE217" s="58"/>
      <c r="EF217" s="10">
        <v>324000</v>
      </c>
      <c r="EG217" s="353">
        <v>302000</v>
      </c>
      <c r="EH217" s="222">
        <v>325000</v>
      </c>
      <c r="EI217" s="58"/>
      <c r="EJ217" s="58"/>
      <c r="EK217" s="58"/>
      <c r="EL217" s="58"/>
      <c r="EM217" s="58"/>
      <c r="EN217" s="118"/>
      <c r="EO217" s="118"/>
      <c r="EP217" s="344"/>
      <c r="EQ217" s="344"/>
      <c r="ER217" s="344"/>
      <c r="ES217" s="344"/>
      <c r="ET217" s="344"/>
      <c r="EU217" s="344"/>
      <c r="EV217" s="344"/>
      <c r="EW217" s="344"/>
      <c r="EX217" s="344"/>
      <c r="EY217" s="344"/>
      <c r="EZ217" s="344"/>
      <c r="FA217" s="344"/>
      <c r="FB217" s="59">
        <f t="shared" si="311"/>
        <v>324000</v>
      </c>
      <c r="FC217" s="59">
        <f t="shared" si="305"/>
        <v>317000</v>
      </c>
      <c r="FD217" s="60">
        <f t="shared" si="306"/>
        <v>13000</v>
      </c>
      <c r="FE217" s="65">
        <f t="shared" si="307"/>
        <v>4.1009463722397478E-2</v>
      </c>
      <c r="FF217" s="88">
        <f t="shared" si="308"/>
        <v>266386.55462184874</v>
      </c>
      <c r="FG217" s="88">
        <f t="shared" si="309"/>
        <v>50613.445378151264</v>
      </c>
      <c r="FH217" s="72">
        <f t="shared" si="310"/>
        <v>317000</v>
      </c>
      <c r="FI217" s="260">
        <f t="shared" si="261"/>
        <v>22190000</v>
      </c>
      <c r="FJ217" s="60" t="s">
        <v>65</v>
      </c>
    </row>
    <row r="218" spans="1:167" s="40" customFormat="1" ht="63.75" customHeight="1" x14ac:dyDescent="0.35">
      <c r="A218" s="37">
        <v>212</v>
      </c>
      <c r="B218" s="262" t="s">
        <v>443</v>
      </c>
      <c r="C218" s="345" t="s">
        <v>444</v>
      </c>
      <c r="D218" s="326" t="s">
        <v>64</v>
      </c>
      <c r="E218" s="252">
        <v>900</v>
      </c>
      <c r="F218" s="346" t="s">
        <v>209</v>
      </c>
      <c r="G218" s="347" t="s">
        <v>209</v>
      </c>
      <c r="H218" s="346" t="s">
        <v>209</v>
      </c>
      <c r="I218" s="347" t="s">
        <v>209</v>
      </c>
      <c r="J218" s="346" t="s">
        <v>209</v>
      </c>
      <c r="K218" s="347" t="s">
        <v>209</v>
      </c>
      <c r="L218" s="346" t="s">
        <v>209</v>
      </c>
      <c r="M218" s="347" t="s">
        <v>209</v>
      </c>
      <c r="N218" s="346" t="s">
        <v>209</v>
      </c>
      <c r="O218" s="347" t="s">
        <v>209</v>
      </c>
      <c r="P218" s="346" t="s">
        <v>209</v>
      </c>
      <c r="Q218" s="347" t="s">
        <v>209</v>
      </c>
      <c r="R218" s="346" t="s">
        <v>209</v>
      </c>
      <c r="S218" s="347" t="s">
        <v>209</v>
      </c>
      <c r="T218" s="346" t="s">
        <v>209</v>
      </c>
      <c r="U218" s="347" t="s">
        <v>209</v>
      </c>
      <c r="V218" s="346" t="s">
        <v>209</v>
      </c>
      <c r="W218" s="347" t="s">
        <v>209</v>
      </c>
      <c r="X218" s="346" t="s">
        <v>209</v>
      </c>
      <c r="Y218" s="347" t="s">
        <v>209</v>
      </c>
      <c r="Z218" s="346" t="s">
        <v>209</v>
      </c>
      <c r="AA218" s="347" t="s">
        <v>209</v>
      </c>
      <c r="AB218" s="346" t="s">
        <v>209</v>
      </c>
      <c r="AC218" s="347" t="s">
        <v>209</v>
      </c>
      <c r="AD218" s="346" t="s">
        <v>209</v>
      </c>
      <c r="AE218" s="347" t="s">
        <v>209</v>
      </c>
      <c r="AF218" s="346" t="s">
        <v>209</v>
      </c>
      <c r="AG218" s="347" t="s">
        <v>209</v>
      </c>
      <c r="AH218" s="346" t="s">
        <v>209</v>
      </c>
      <c r="AI218" s="347" t="s">
        <v>209</v>
      </c>
      <c r="AJ218" s="346" t="s">
        <v>209</v>
      </c>
      <c r="AK218" s="347" t="s">
        <v>209</v>
      </c>
      <c r="AL218" s="346" t="s">
        <v>209</v>
      </c>
      <c r="AM218" s="347" t="s">
        <v>209</v>
      </c>
      <c r="AN218" s="346" t="s">
        <v>209</v>
      </c>
      <c r="AO218" s="347" t="s">
        <v>209</v>
      </c>
      <c r="AP218" s="346" t="s">
        <v>209</v>
      </c>
      <c r="AQ218" s="347" t="s">
        <v>209</v>
      </c>
      <c r="AR218" s="346" t="s">
        <v>209</v>
      </c>
      <c r="AS218" s="347" t="s">
        <v>209</v>
      </c>
      <c r="AT218" s="346" t="s">
        <v>209</v>
      </c>
      <c r="AU218" s="347" t="s">
        <v>209</v>
      </c>
      <c r="AV218" s="346" t="s">
        <v>209</v>
      </c>
      <c r="AW218" s="347" t="s">
        <v>209</v>
      </c>
      <c r="AX218" s="346" t="s">
        <v>209</v>
      </c>
      <c r="AY218" s="347" t="s">
        <v>209</v>
      </c>
      <c r="AZ218" s="346" t="s">
        <v>209</v>
      </c>
      <c r="BA218" s="347" t="s">
        <v>209</v>
      </c>
      <c r="BB218" s="346" t="s">
        <v>209</v>
      </c>
      <c r="BC218" s="347" t="s">
        <v>209</v>
      </c>
      <c r="BD218" s="346" t="s">
        <v>209</v>
      </c>
      <c r="BE218" s="347" t="s">
        <v>209</v>
      </c>
      <c r="BF218" s="346" t="s">
        <v>209</v>
      </c>
      <c r="BG218" s="347" t="s">
        <v>209</v>
      </c>
      <c r="BH218" s="346" t="s">
        <v>209</v>
      </c>
      <c r="BI218" s="347" t="s">
        <v>209</v>
      </c>
      <c r="BJ218" s="346" t="s">
        <v>209</v>
      </c>
      <c r="BK218" s="347" t="s">
        <v>209</v>
      </c>
      <c r="BL218" s="346" t="s">
        <v>209</v>
      </c>
      <c r="BM218" s="347" t="s">
        <v>209</v>
      </c>
      <c r="BN218" s="346" t="s">
        <v>209</v>
      </c>
      <c r="BO218" s="347" t="s">
        <v>209</v>
      </c>
      <c r="BP218" s="346" t="s">
        <v>209</v>
      </c>
      <c r="BQ218" s="347" t="s">
        <v>209</v>
      </c>
      <c r="BR218" s="346" t="s">
        <v>209</v>
      </c>
      <c r="BS218" s="347" t="s">
        <v>209</v>
      </c>
      <c r="BT218" s="346" t="s">
        <v>209</v>
      </c>
      <c r="BU218" s="347" t="s">
        <v>209</v>
      </c>
      <c r="BV218" s="346" t="s">
        <v>209</v>
      </c>
      <c r="BW218" s="347" t="s">
        <v>209</v>
      </c>
      <c r="BX218" s="346" t="s">
        <v>209</v>
      </c>
      <c r="BY218" s="347" t="s">
        <v>209</v>
      </c>
      <c r="BZ218" s="346" t="s">
        <v>209</v>
      </c>
      <c r="CA218" s="347" t="s">
        <v>209</v>
      </c>
      <c r="CB218" s="346" t="s">
        <v>209</v>
      </c>
      <c r="CC218" s="347" t="s">
        <v>209</v>
      </c>
      <c r="CD218" s="346" t="s">
        <v>209</v>
      </c>
      <c r="CE218" s="347" t="s">
        <v>209</v>
      </c>
      <c r="CF218" s="346" t="s">
        <v>209</v>
      </c>
      <c r="CG218" s="347" t="s">
        <v>209</v>
      </c>
      <c r="CH218" s="346" t="s">
        <v>209</v>
      </c>
      <c r="CI218" s="347" t="s">
        <v>209</v>
      </c>
      <c r="CJ218" s="346" t="s">
        <v>209</v>
      </c>
      <c r="CK218" s="347" t="s">
        <v>209</v>
      </c>
      <c r="CL218" s="346" t="s">
        <v>209</v>
      </c>
      <c r="CM218" s="347" t="s">
        <v>209</v>
      </c>
      <c r="CN218" s="346" t="s">
        <v>209</v>
      </c>
      <c r="CO218" s="347" t="s">
        <v>209</v>
      </c>
      <c r="CP218" s="346" t="s">
        <v>209</v>
      </c>
      <c r="CQ218" s="347" t="s">
        <v>209</v>
      </c>
      <c r="CR218" s="346" t="s">
        <v>209</v>
      </c>
      <c r="CS218" s="347" t="s">
        <v>209</v>
      </c>
      <c r="CT218" s="346" t="s">
        <v>209</v>
      </c>
      <c r="CU218" s="347" t="s">
        <v>209</v>
      </c>
      <c r="CV218" s="346" t="s">
        <v>209</v>
      </c>
      <c r="CW218" s="347" t="s">
        <v>209</v>
      </c>
      <c r="CX218" s="346" t="s">
        <v>209</v>
      </c>
      <c r="CY218" s="347" t="s">
        <v>209</v>
      </c>
      <c r="CZ218" s="346" t="s">
        <v>209</v>
      </c>
      <c r="DA218" s="347" t="s">
        <v>209</v>
      </c>
      <c r="DB218" s="346" t="s">
        <v>209</v>
      </c>
      <c r="DC218" s="347" t="s">
        <v>209</v>
      </c>
      <c r="DD218" s="346" t="s">
        <v>209</v>
      </c>
      <c r="DE218" s="347" t="s">
        <v>209</v>
      </c>
      <c r="DF218" s="346" t="s">
        <v>209</v>
      </c>
      <c r="DG218" s="347" t="s">
        <v>209</v>
      </c>
      <c r="DH218" s="346" t="s">
        <v>209</v>
      </c>
      <c r="DI218" s="347" t="s">
        <v>209</v>
      </c>
      <c r="DJ218" s="346" t="s">
        <v>209</v>
      </c>
      <c r="DK218" s="347" t="s">
        <v>209</v>
      </c>
      <c r="DL218" s="346" t="s">
        <v>209</v>
      </c>
      <c r="DM218" s="347" t="s">
        <v>209</v>
      </c>
      <c r="DN218" s="346" t="s">
        <v>209</v>
      </c>
      <c r="DO218" s="347" t="s">
        <v>209</v>
      </c>
      <c r="DP218" s="346" t="s">
        <v>209</v>
      </c>
      <c r="DQ218" s="347" t="s">
        <v>209</v>
      </c>
      <c r="DR218" s="346" t="s">
        <v>209</v>
      </c>
      <c r="DS218" s="347" t="s">
        <v>209</v>
      </c>
      <c r="DT218" s="346" t="s">
        <v>209</v>
      </c>
      <c r="DU218" s="347" t="s">
        <v>209</v>
      </c>
      <c r="DV218" s="346" t="s">
        <v>209</v>
      </c>
      <c r="DW218" s="347" t="s">
        <v>209</v>
      </c>
      <c r="DX218" s="346" t="s">
        <v>209</v>
      </c>
      <c r="DY218" s="347" t="s">
        <v>209</v>
      </c>
      <c r="DZ218" s="346" t="s">
        <v>209</v>
      </c>
      <c r="EA218" s="347" t="s">
        <v>209</v>
      </c>
      <c r="EB218" s="346" t="s">
        <v>209</v>
      </c>
      <c r="EC218" s="347" t="s">
        <v>209</v>
      </c>
      <c r="ED218" s="346" t="s">
        <v>209</v>
      </c>
      <c r="EE218" s="347" t="s">
        <v>209</v>
      </c>
      <c r="EF218" s="346" t="s">
        <v>209</v>
      </c>
      <c r="EG218" s="346" t="s">
        <v>209</v>
      </c>
      <c r="EH218" s="347" t="s">
        <v>209</v>
      </c>
      <c r="EI218" s="347" t="s">
        <v>209</v>
      </c>
      <c r="EJ218" s="347" t="s">
        <v>209</v>
      </c>
      <c r="EK218" s="347" t="s">
        <v>209</v>
      </c>
      <c r="EL218" s="347" t="s">
        <v>209</v>
      </c>
      <c r="EM218" s="347" t="s">
        <v>209</v>
      </c>
      <c r="EN218" s="348">
        <v>2200</v>
      </c>
      <c r="EO218" s="348">
        <f>+(EN218*5.1%)+EN218</f>
        <v>2312.1999999999998</v>
      </c>
      <c r="EP218" s="348">
        <v>1428</v>
      </c>
      <c r="EQ218" s="348">
        <f>+(EP218*5.1%)+EP218</f>
        <v>1500.828</v>
      </c>
      <c r="ER218" s="349"/>
      <c r="ES218" s="349"/>
      <c r="ET218" s="349"/>
      <c r="EU218" s="349"/>
      <c r="EV218" s="349"/>
      <c r="EW218" s="349"/>
      <c r="EX218" s="349"/>
      <c r="EY218" s="349"/>
      <c r="EZ218" s="349"/>
      <c r="FA218" s="349"/>
      <c r="FB218" s="59">
        <f>MEDIAN(G218,I218,K218,M218,O218,Q218,S218,U218,W218,Y218,AA218,AC218,AE218,AG218,AI218,AK218,AM218,AO218,AQ218,AS218,AU218,AW218,AY218,BA218,BC218,BE218,BG218,BI218,BK218,BM218,BO218,BQ218,BS218,BU218,BW218,BY218,CA218,CC218,CE218,CG218,CI218,CK218,CM218,CO218,CQ218,CS218,CU218,CW218,CY218,DA218,DC218,DE218,DG218,DI218,DK218,DM218,DO218,DQ218,DS218,DU218,DW218,DY218,EA218,EC218,EE218,EF218,EG218,EH218,EI218,EK218,EM218,EO218,EQ218)</f>
        <v>1906.5139999999999</v>
      </c>
      <c r="FC218" s="59">
        <f t="shared" si="305"/>
        <v>1906.5139999999999</v>
      </c>
      <c r="FD218" s="60">
        <f t="shared" si="306"/>
        <v>573.72664326489189</v>
      </c>
      <c r="FE218" s="65">
        <f t="shared" si="307"/>
        <v>0.30092967755017375</v>
      </c>
      <c r="FF218" s="88">
        <f t="shared" si="308"/>
        <v>1602.5210084033615</v>
      </c>
      <c r="FG218" s="88">
        <f t="shared" si="309"/>
        <v>304.47899159663871</v>
      </c>
      <c r="FH218" s="72">
        <f>ROUNDUP(IF(FE218&lt;15%,FC218,FB218),0)</f>
        <v>1907</v>
      </c>
      <c r="FI218" s="260">
        <f t="shared" si="261"/>
        <v>1716300</v>
      </c>
      <c r="FJ218" s="60" t="s">
        <v>66</v>
      </c>
      <c r="FK218" s="350"/>
    </row>
    <row r="219" spans="1:167" x14ac:dyDescent="0.35">
      <c r="A219" s="507" t="s">
        <v>138</v>
      </c>
      <c r="B219" s="507"/>
      <c r="C219" s="507"/>
      <c r="D219" s="507"/>
      <c r="E219" s="507"/>
      <c r="F219" s="259">
        <f t="shared" ref="F219:AK219" si="312">+SUM(F7:F218)</f>
        <v>585000</v>
      </c>
      <c r="G219" s="259">
        <f t="shared" si="312"/>
        <v>614835</v>
      </c>
      <c r="H219" s="259">
        <f t="shared" si="312"/>
        <v>15000</v>
      </c>
      <c r="I219" s="259">
        <f t="shared" si="312"/>
        <v>15765</v>
      </c>
      <c r="J219" s="259">
        <f t="shared" si="312"/>
        <v>180850</v>
      </c>
      <c r="K219" s="259">
        <f t="shared" si="312"/>
        <v>190073.35</v>
      </c>
      <c r="L219" s="259">
        <f t="shared" si="312"/>
        <v>137000</v>
      </c>
      <c r="M219" s="259">
        <f t="shared" si="312"/>
        <v>143987</v>
      </c>
      <c r="N219" s="259">
        <f t="shared" si="312"/>
        <v>40000</v>
      </c>
      <c r="O219" s="259">
        <f t="shared" si="312"/>
        <v>42040</v>
      </c>
      <c r="P219" s="259">
        <f t="shared" si="312"/>
        <v>96500</v>
      </c>
      <c r="Q219" s="259">
        <f t="shared" si="312"/>
        <v>101421.5</v>
      </c>
      <c r="R219" s="259">
        <f t="shared" si="312"/>
        <v>0</v>
      </c>
      <c r="S219" s="259">
        <f t="shared" si="312"/>
        <v>0</v>
      </c>
      <c r="T219" s="259">
        <f t="shared" si="312"/>
        <v>2810000</v>
      </c>
      <c r="U219" s="259">
        <f t="shared" si="312"/>
        <v>2953310</v>
      </c>
      <c r="V219" s="259">
        <f t="shared" si="312"/>
        <v>137000</v>
      </c>
      <c r="W219" s="259">
        <f t="shared" si="312"/>
        <v>143987</v>
      </c>
      <c r="X219" s="259">
        <f t="shared" si="312"/>
        <v>136000</v>
      </c>
      <c r="Y219" s="259">
        <f t="shared" si="312"/>
        <v>142936</v>
      </c>
      <c r="Z219" s="259">
        <f t="shared" si="312"/>
        <v>64077</v>
      </c>
      <c r="AA219" s="259">
        <f t="shared" si="312"/>
        <v>67344.926999999996</v>
      </c>
      <c r="AB219" s="259">
        <f t="shared" si="312"/>
        <v>99642</v>
      </c>
      <c r="AC219" s="259">
        <f t="shared" si="312"/>
        <v>104723.742</v>
      </c>
      <c r="AD219" s="259">
        <f t="shared" si="312"/>
        <v>6776285.8534000004</v>
      </c>
      <c r="AE219" s="259">
        <f t="shared" si="312"/>
        <v>7121876.4319233978</v>
      </c>
      <c r="AF219" s="259">
        <f t="shared" si="312"/>
        <v>6160000</v>
      </c>
      <c r="AG219" s="259">
        <f t="shared" si="312"/>
        <v>6474160</v>
      </c>
      <c r="AH219" s="259">
        <f t="shared" si="312"/>
        <v>1324000</v>
      </c>
      <c r="AI219" s="259">
        <f t="shared" si="312"/>
        <v>1391524</v>
      </c>
      <c r="AJ219" s="259">
        <f t="shared" si="312"/>
        <v>19000</v>
      </c>
      <c r="AK219" s="259">
        <f t="shared" si="312"/>
        <v>19969</v>
      </c>
      <c r="AL219" s="259">
        <f t="shared" ref="AL219:BQ219" si="313">+SUM(AL7:AL218)</f>
        <v>19000</v>
      </c>
      <c r="AM219" s="259">
        <f t="shared" si="313"/>
        <v>19969</v>
      </c>
      <c r="AN219" s="259">
        <f t="shared" si="313"/>
        <v>233000</v>
      </c>
      <c r="AO219" s="259">
        <f t="shared" si="313"/>
        <v>244883</v>
      </c>
      <c r="AP219" s="259">
        <f t="shared" si="313"/>
        <v>0</v>
      </c>
      <c r="AQ219" s="259">
        <f t="shared" si="313"/>
        <v>0</v>
      </c>
      <c r="AR219" s="259">
        <f t="shared" si="313"/>
        <v>546265</v>
      </c>
      <c r="AS219" s="259">
        <f t="shared" si="313"/>
        <v>574124.51500000001</v>
      </c>
      <c r="AT219" s="259">
        <f t="shared" si="313"/>
        <v>33600</v>
      </c>
      <c r="AU219" s="259">
        <f t="shared" si="313"/>
        <v>35313.599999999999</v>
      </c>
      <c r="AV219" s="259">
        <f t="shared" si="313"/>
        <v>30000</v>
      </c>
      <c r="AW219" s="259">
        <f t="shared" si="313"/>
        <v>31530</v>
      </c>
      <c r="AX219" s="259">
        <f t="shared" si="313"/>
        <v>40000</v>
      </c>
      <c r="AY219" s="259">
        <f t="shared" si="313"/>
        <v>42040</v>
      </c>
      <c r="AZ219" s="259">
        <f t="shared" si="313"/>
        <v>29000</v>
      </c>
      <c r="BA219" s="259">
        <f t="shared" si="313"/>
        <v>30479</v>
      </c>
      <c r="BB219" s="259">
        <f t="shared" si="313"/>
        <v>35000</v>
      </c>
      <c r="BC219" s="259">
        <f t="shared" si="313"/>
        <v>36785</v>
      </c>
      <c r="BD219" s="259">
        <f t="shared" si="313"/>
        <v>25000</v>
      </c>
      <c r="BE219" s="259">
        <f t="shared" si="313"/>
        <v>26275</v>
      </c>
      <c r="BF219" s="259">
        <f t="shared" si="313"/>
        <v>0</v>
      </c>
      <c r="BG219" s="259">
        <f t="shared" si="313"/>
        <v>0</v>
      </c>
      <c r="BH219" s="259">
        <f t="shared" si="313"/>
        <v>25000</v>
      </c>
      <c r="BI219" s="259">
        <f t="shared" si="313"/>
        <v>26275</v>
      </c>
      <c r="BJ219" s="259">
        <f t="shared" si="313"/>
        <v>23200</v>
      </c>
      <c r="BK219" s="259">
        <f t="shared" si="313"/>
        <v>24383.200000000001</v>
      </c>
      <c r="BL219" s="259">
        <f t="shared" si="313"/>
        <v>18000</v>
      </c>
      <c r="BM219" s="259">
        <f t="shared" si="313"/>
        <v>18918</v>
      </c>
      <c r="BN219" s="259">
        <f t="shared" si="313"/>
        <v>0</v>
      </c>
      <c r="BO219" s="259">
        <f t="shared" si="313"/>
        <v>0</v>
      </c>
      <c r="BP219" s="259">
        <f t="shared" si="313"/>
        <v>45000</v>
      </c>
      <c r="BQ219" s="259">
        <f t="shared" si="313"/>
        <v>47295</v>
      </c>
      <c r="BR219" s="259">
        <f t="shared" ref="BR219:CW219" si="314">+SUM(BR7:BR218)</f>
        <v>0</v>
      </c>
      <c r="BS219" s="259">
        <f t="shared" si="314"/>
        <v>0</v>
      </c>
      <c r="BT219" s="259">
        <f t="shared" si="314"/>
        <v>70000</v>
      </c>
      <c r="BU219" s="259">
        <f t="shared" si="314"/>
        <v>73570</v>
      </c>
      <c r="BV219" s="259">
        <f t="shared" si="314"/>
        <v>0</v>
      </c>
      <c r="BW219" s="259">
        <f t="shared" si="314"/>
        <v>0</v>
      </c>
      <c r="BX219" s="259">
        <f t="shared" si="314"/>
        <v>300000</v>
      </c>
      <c r="BY219" s="259">
        <f t="shared" si="314"/>
        <v>315300</v>
      </c>
      <c r="BZ219" s="259">
        <f t="shared" si="314"/>
        <v>310666</v>
      </c>
      <c r="CA219" s="259">
        <f t="shared" si="314"/>
        <v>326509.96600000001</v>
      </c>
      <c r="CB219" s="259">
        <f t="shared" si="314"/>
        <v>85000</v>
      </c>
      <c r="CC219" s="259">
        <f t="shared" si="314"/>
        <v>89335</v>
      </c>
      <c r="CD219" s="259">
        <f t="shared" si="314"/>
        <v>240000</v>
      </c>
      <c r="CE219" s="259">
        <f t="shared" si="314"/>
        <v>252240</v>
      </c>
      <c r="CF219" s="259">
        <f t="shared" si="314"/>
        <v>0</v>
      </c>
      <c r="CG219" s="259">
        <f t="shared" si="314"/>
        <v>0</v>
      </c>
      <c r="CH219" s="259">
        <f t="shared" si="314"/>
        <v>200000</v>
      </c>
      <c r="CI219" s="259">
        <f t="shared" si="314"/>
        <v>210200</v>
      </c>
      <c r="CJ219" s="259">
        <f t="shared" si="314"/>
        <v>1088429</v>
      </c>
      <c r="CK219" s="259">
        <f t="shared" si="314"/>
        <v>1143938.879</v>
      </c>
      <c r="CL219" s="259">
        <f t="shared" si="314"/>
        <v>180372</v>
      </c>
      <c r="CM219" s="259">
        <f t="shared" si="314"/>
        <v>189570.97200000001</v>
      </c>
      <c r="CN219" s="259">
        <f t="shared" si="314"/>
        <v>24800</v>
      </c>
      <c r="CO219" s="259">
        <f t="shared" si="314"/>
        <v>26064.800000000003</v>
      </c>
      <c r="CP219" s="259">
        <f t="shared" si="314"/>
        <v>12400</v>
      </c>
      <c r="CQ219" s="259">
        <f t="shared" si="314"/>
        <v>13032.4</v>
      </c>
      <c r="CR219" s="259">
        <f t="shared" si="314"/>
        <v>558700</v>
      </c>
      <c r="CS219" s="259">
        <f t="shared" si="314"/>
        <v>587193.70000000007</v>
      </c>
      <c r="CT219" s="259">
        <f t="shared" si="314"/>
        <v>400000</v>
      </c>
      <c r="CU219" s="259">
        <f t="shared" si="314"/>
        <v>420400</v>
      </c>
      <c r="CV219" s="259">
        <f t="shared" si="314"/>
        <v>540000</v>
      </c>
      <c r="CW219" s="259">
        <f t="shared" si="314"/>
        <v>567540</v>
      </c>
      <c r="CX219" s="259">
        <f t="shared" ref="CX219:DT219" si="315">+SUM(CX7:CX218)</f>
        <v>200000</v>
      </c>
      <c r="CY219" s="259">
        <f t="shared" si="315"/>
        <v>210200</v>
      </c>
      <c r="CZ219" s="259">
        <f t="shared" si="315"/>
        <v>52800</v>
      </c>
      <c r="DA219" s="259">
        <f t="shared" si="315"/>
        <v>55492.800000000003</v>
      </c>
      <c r="DB219" s="259">
        <f t="shared" si="315"/>
        <v>24000</v>
      </c>
      <c r="DC219" s="259">
        <f t="shared" si="315"/>
        <v>25224</v>
      </c>
      <c r="DD219" s="259">
        <f t="shared" si="315"/>
        <v>23000</v>
      </c>
      <c r="DE219" s="259">
        <f t="shared" si="315"/>
        <v>24173</v>
      </c>
      <c r="DF219" s="259">
        <f t="shared" si="315"/>
        <v>61000</v>
      </c>
      <c r="DG219" s="259">
        <f t="shared" si="315"/>
        <v>64111</v>
      </c>
      <c r="DH219" s="259">
        <f t="shared" si="315"/>
        <v>71000</v>
      </c>
      <c r="DI219" s="259">
        <f t="shared" si="315"/>
        <v>74621</v>
      </c>
      <c r="DJ219" s="259">
        <f t="shared" si="315"/>
        <v>31500</v>
      </c>
      <c r="DK219" s="259">
        <f t="shared" si="315"/>
        <v>33106.5</v>
      </c>
      <c r="DL219" s="259">
        <f t="shared" si="315"/>
        <v>3500</v>
      </c>
      <c r="DM219" s="259">
        <f t="shared" si="315"/>
        <v>3678.5</v>
      </c>
      <c r="DN219" s="259">
        <f t="shared" si="315"/>
        <v>131500</v>
      </c>
      <c r="DO219" s="259">
        <f t="shared" si="315"/>
        <v>138206.5</v>
      </c>
      <c r="DP219" s="259">
        <f t="shared" si="315"/>
        <v>92000</v>
      </c>
      <c r="DQ219" s="259">
        <f t="shared" si="315"/>
        <v>96692</v>
      </c>
      <c r="DR219" s="259">
        <f t="shared" si="315"/>
        <v>85330</v>
      </c>
      <c r="DS219" s="259">
        <f t="shared" si="315"/>
        <v>89681.83</v>
      </c>
      <c r="DT219" s="259">
        <f t="shared" si="315"/>
        <v>455395</v>
      </c>
      <c r="DU219" s="259">
        <f t="shared" ref="DU219:EQ219" si="316">+SUM(DU7:DU218)</f>
        <v>478620.14500000002</v>
      </c>
      <c r="DV219" s="259">
        <f t="shared" si="316"/>
        <v>73605</v>
      </c>
      <c r="DW219" s="259">
        <f t="shared" si="316"/>
        <v>77358.854999999996</v>
      </c>
      <c r="DX219" s="259">
        <f t="shared" si="316"/>
        <v>135355</v>
      </c>
      <c r="DY219" s="259">
        <f t="shared" si="316"/>
        <v>142258.10500000001</v>
      </c>
      <c r="DZ219" s="259">
        <f t="shared" si="316"/>
        <v>627000</v>
      </c>
      <c r="EA219" s="259">
        <f t="shared" si="316"/>
        <v>658977</v>
      </c>
      <c r="EB219" s="259">
        <f t="shared" si="316"/>
        <v>75900</v>
      </c>
      <c r="EC219" s="259">
        <f t="shared" si="316"/>
        <v>79770.899999999994</v>
      </c>
      <c r="ED219" s="259">
        <f t="shared" si="316"/>
        <v>84006</v>
      </c>
      <c r="EE219" s="259">
        <f t="shared" si="316"/>
        <v>88290.305999999997</v>
      </c>
      <c r="EF219" s="259">
        <f t="shared" si="316"/>
        <v>66447140</v>
      </c>
      <c r="EG219" s="259">
        <f t="shared" si="316"/>
        <v>64328440</v>
      </c>
      <c r="EH219" s="259">
        <f t="shared" si="316"/>
        <v>64999200</v>
      </c>
      <c r="EI219" s="259">
        <f t="shared" si="316"/>
        <v>0</v>
      </c>
      <c r="EJ219" s="259">
        <f t="shared" si="316"/>
        <v>80000</v>
      </c>
      <c r="EK219" s="259">
        <f t="shared" si="316"/>
        <v>84080</v>
      </c>
      <c r="EL219" s="259">
        <f t="shared" si="316"/>
        <v>111226.68199999999</v>
      </c>
      <c r="EM219" s="259">
        <f t="shared" si="316"/>
        <v>116899.24278199999</v>
      </c>
      <c r="EN219" s="259">
        <f t="shared" si="316"/>
        <v>2200</v>
      </c>
      <c r="EO219" s="259">
        <f t="shared" si="316"/>
        <v>2312.1999999999998</v>
      </c>
      <c r="EP219" s="259">
        <f t="shared" si="316"/>
        <v>1428</v>
      </c>
      <c r="EQ219" s="259">
        <f t="shared" si="316"/>
        <v>1500.828</v>
      </c>
      <c r="ER219" s="259"/>
      <c r="ES219" s="259"/>
      <c r="ET219" s="259"/>
      <c r="EU219" s="259"/>
      <c r="EV219" s="259"/>
      <c r="EW219" s="259"/>
      <c r="EX219" s="259"/>
      <c r="EY219" s="259"/>
      <c r="EZ219" s="259"/>
      <c r="FA219" s="259"/>
      <c r="FB219" s="112"/>
      <c r="FC219" s="112"/>
      <c r="FD219" s="112"/>
      <c r="FE219" s="112"/>
      <c r="FF219" s="112"/>
      <c r="FG219" s="112"/>
      <c r="FH219" s="206">
        <f>+SUM(FH7:FH218)</f>
        <v>77344453</v>
      </c>
      <c r="FI219" s="206">
        <f>+SUM(FI7:FI218)</f>
        <v>2185477404</v>
      </c>
      <c r="FJ219" s="112"/>
    </row>
    <row r="220" spans="1:167" ht="15" thickBot="1" x14ac:dyDescent="0.4"/>
    <row r="221" spans="1:167" ht="88.5" customHeight="1" thickBot="1" x14ac:dyDescent="0.4">
      <c r="A221" s="486" t="s">
        <v>1040</v>
      </c>
      <c r="B221" s="487"/>
      <c r="C221" s="487"/>
      <c r="D221" s="487"/>
      <c r="E221" s="487"/>
      <c r="F221" s="487"/>
      <c r="G221" s="487"/>
      <c r="H221" s="487"/>
      <c r="I221" s="487"/>
      <c r="J221" s="487"/>
      <c r="K221" s="487"/>
      <c r="L221" s="487"/>
      <c r="M221" s="487"/>
      <c r="N221" s="487"/>
      <c r="O221" s="487"/>
      <c r="P221" s="487"/>
      <c r="Q221" s="487"/>
      <c r="R221" s="487"/>
      <c r="S221" s="487"/>
      <c r="T221" s="487"/>
      <c r="U221" s="487"/>
      <c r="V221" s="487"/>
      <c r="W221" s="487"/>
      <c r="X221" s="487"/>
      <c r="Y221" s="487"/>
      <c r="Z221" s="487"/>
      <c r="AA221" s="487"/>
      <c r="AB221" s="487"/>
      <c r="AC221" s="487"/>
      <c r="AD221" s="487"/>
      <c r="AE221" s="487"/>
      <c r="AF221" s="487"/>
      <c r="AG221" s="487"/>
      <c r="AH221" s="487"/>
      <c r="AI221" s="487"/>
      <c r="AJ221" s="487"/>
      <c r="AK221" s="487"/>
      <c r="AL221" s="487"/>
      <c r="AM221" s="487"/>
      <c r="AN221" s="487"/>
      <c r="AO221" s="487"/>
      <c r="AP221" s="487"/>
      <c r="AQ221" s="487"/>
      <c r="AR221" s="487"/>
      <c r="AS221" s="487"/>
      <c r="AT221" s="487"/>
      <c r="AU221" s="487"/>
      <c r="AV221" s="487"/>
      <c r="AW221" s="487"/>
      <c r="AX221" s="487"/>
      <c r="AY221" s="487"/>
      <c r="AZ221" s="487"/>
      <c r="BA221" s="487"/>
      <c r="BB221" s="487"/>
      <c r="BC221" s="487"/>
      <c r="BD221" s="487"/>
      <c r="BE221" s="487"/>
      <c r="BF221" s="487"/>
      <c r="BG221" s="487"/>
      <c r="BH221" s="487"/>
      <c r="BI221" s="487"/>
      <c r="BJ221" s="487"/>
      <c r="BK221" s="487"/>
      <c r="BL221" s="487"/>
      <c r="BM221" s="487"/>
      <c r="BN221" s="487"/>
      <c r="BO221" s="487"/>
      <c r="BP221" s="487"/>
      <c r="BQ221" s="487"/>
      <c r="BR221" s="487"/>
      <c r="BS221" s="487"/>
      <c r="BT221" s="487"/>
      <c r="BU221" s="487"/>
      <c r="BV221" s="487"/>
      <c r="BW221" s="487"/>
      <c r="BX221" s="487"/>
      <c r="BY221" s="487"/>
      <c r="BZ221" s="487"/>
      <c r="CA221" s="487"/>
      <c r="CB221" s="487"/>
      <c r="CC221" s="488"/>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c r="DU221" s="27"/>
      <c r="DV221" s="27"/>
      <c r="DW221" s="27"/>
      <c r="DX221" s="27"/>
      <c r="DY221" s="27"/>
      <c r="DZ221" s="27"/>
      <c r="EA221" s="27"/>
      <c r="EB221" s="27"/>
      <c r="EC221" s="27"/>
      <c r="ED221" s="27"/>
      <c r="EE221" s="27"/>
      <c r="EF221" s="27"/>
      <c r="EG221" s="27"/>
      <c r="EH221" s="27"/>
      <c r="EI221" s="27"/>
      <c r="EJ221" s="27"/>
      <c r="EK221" s="27"/>
      <c r="EL221" s="27"/>
      <c r="EM221" s="27"/>
      <c r="EN221" s="27"/>
      <c r="EO221" s="27"/>
      <c r="EP221" s="27"/>
      <c r="EQ221" s="27"/>
      <c r="ER221" s="27"/>
      <c r="ES221" s="27"/>
      <c r="ET221" s="27"/>
      <c r="EU221" s="27"/>
      <c r="EV221" s="27"/>
      <c r="EW221" s="27"/>
      <c r="EX221" s="27"/>
      <c r="EY221" s="27"/>
      <c r="EZ221" s="27"/>
      <c r="FA221" s="27"/>
      <c r="FI221" s="284"/>
      <c r="FJ221" s="351"/>
    </row>
    <row r="222" spans="1:167" x14ac:dyDescent="0.35">
      <c r="FI222" s="54"/>
    </row>
    <row r="223" spans="1:167" x14ac:dyDescent="0.35">
      <c r="FJ223" s="351"/>
    </row>
    <row r="225" spans="166:166" x14ac:dyDescent="0.35">
      <c r="FJ225" s="358"/>
    </row>
  </sheetData>
  <autoFilter ref="A6:FJ219" xr:uid="{ECBCC608-D1C4-4730-AC19-D5B1C88CBE38}"/>
  <mergeCells count="86">
    <mergeCell ref="EX4:EX5"/>
    <mergeCell ref="EY4:EY5"/>
    <mergeCell ref="ER4:ET5"/>
    <mergeCell ref="EU4:EW5"/>
    <mergeCell ref="EZ4:EZ5"/>
    <mergeCell ref="FA4:FA5"/>
    <mergeCell ref="A219:E219"/>
    <mergeCell ref="EB4:EC5"/>
    <mergeCell ref="ED4:EE5"/>
    <mergeCell ref="EF4:EF5"/>
    <mergeCell ref="BZ4:CA5"/>
    <mergeCell ref="CB4:CC5"/>
    <mergeCell ref="CD4:CE5"/>
    <mergeCell ref="CP4:CQ5"/>
    <mergeCell ref="CR4:CS5"/>
    <mergeCell ref="CT4:CU5"/>
    <mergeCell ref="CX4:CY5"/>
    <mergeCell ref="CF4:CG5"/>
    <mergeCell ref="BB4:BC5"/>
    <mergeCell ref="BD4:BE5"/>
    <mergeCell ref="AZ4:BA5"/>
    <mergeCell ref="AT4:AU5"/>
    <mergeCell ref="AN4:AO5"/>
    <mergeCell ref="AP4:AQ5"/>
    <mergeCell ref="V4:W5"/>
    <mergeCell ref="X4:Y5"/>
    <mergeCell ref="Z4:AA5"/>
    <mergeCell ref="AB4:AC5"/>
    <mergeCell ref="AD4:AE5"/>
    <mergeCell ref="AL4:AM5"/>
    <mergeCell ref="AF4:AG5"/>
    <mergeCell ref="AJ4:AK5"/>
    <mergeCell ref="A1:J1"/>
    <mergeCell ref="A2:FJ3"/>
    <mergeCell ref="FB4:FE5"/>
    <mergeCell ref="FH4:FJ5"/>
    <mergeCell ref="A4:E5"/>
    <mergeCell ref="J4:K5"/>
    <mergeCell ref="F4:G5"/>
    <mergeCell ref="L4:M5"/>
    <mergeCell ref="N4:O5"/>
    <mergeCell ref="P4:Q5"/>
    <mergeCell ref="R4:S5"/>
    <mergeCell ref="T4:U5"/>
    <mergeCell ref="AH4:AI5"/>
    <mergeCell ref="H4:I5"/>
    <mergeCell ref="EN4:EO5"/>
    <mergeCell ref="AR4:AS5"/>
    <mergeCell ref="EP4:EQ5"/>
    <mergeCell ref="CL4:CM5"/>
    <mergeCell ref="A221:CC221"/>
    <mergeCell ref="AV4:AW5"/>
    <mergeCell ref="AX4:AY5"/>
    <mergeCell ref="CN4:CO5"/>
    <mergeCell ref="BF4:BG5"/>
    <mergeCell ref="BH4:BI5"/>
    <mergeCell ref="BJ4:BK5"/>
    <mergeCell ref="BL4:BM5"/>
    <mergeCell ref="BN4:BO5"/>
    <mergeCell ref="BP4:BQ5"/>
    <mergeCell ref="BR4:BS5"/>
    <mergeCell ref="BT4:BU5"/>
    <mergeCell ref="BV4:BW5"/>
    <mergeCell ref="EL4:EM5"/>
    <mergeCell ref="DN4:DO5"/>
    <mergeCell ref="DP4:DQ5"/>
    <mergeCell ref="DR4:DS5"/>
    <mergeCell ref="DV4:DW5"/>
    <mergeCell ref="DX4:DY5"/>
    <mergeCell ref="DT4:DU5"/>
    <mergeCell ref="BX4:BY5"/>
    <mergeCell ref="CH4:CI5"/>
    <mergeCell ref="CJ4:CK5"/>
    <mergeCell ref="EJ4:EK5"/>
    <mergeCell ref="CZ4:DA5"/>
    <mergeCell ref="DB4:DC5"/>
    <mergeCell ref="DF4:DG5"/>
    <mergeCell ref="DH4:DI5"/>
    <mergeCell ref="CV4:CW5"/>
    <mergeCell ref="DD4:DE5"/>
    <mergeCell ref="EG4:EG5"/>
    <mergeCell ref="EH4:EH5"/>
    <mergeCell ref="EI4:EI5"/>
    <mergeCell ref="DJ4:DK5"/>
    <mergeCell ref="DZ4:EA5"/>
    <mergeCell ref="DL4:DM5"/>
  </mergeCells>
  <conditionalFormatting sqref="B44">
    <cfRule type="duplicateValues" dxfId="2" priority="1"/>
  </conditionalFormatting>
  <conditionalFormatting sqref="FE7:FE218">
    <cfRule type="cellIs" dxfId="1" priority="2" operator="greaterThan">
      <formula>0.3</formula>
    </cfRule>
  </conditionalFormatting>
  <pageMargins left="0.7" right="0.7" top="0.75" bottom="0.75" header="0.3" footer="0.3"/>
  <pageSetup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CO104"/>
  <sheetViews>
    <sheetView topLeftCell="A88" zoomScale="94" zoomScaleNormal="58" workbookViewId="0">
      <pane xSplit="5" topLeftCell="BM1" activePane="topRight" state="frozen"/>
      <selection activeCell="EV1" sqref="EV1:EW1048576"/>
      <selection pane="topRight" activeCell="A94" sqref="A94:XFD105"/>
    </sheetView>
  </sheetViews>
  <sheetFormatPr baseColWidth="10" defaultColWidth="10.81640625" defaultRowHeight="14.5" x14ac:dyDescent="0.35"/>
  <cols>
    <col min="1" max="1" width="10.26953125" style="299" customWidth="1"/>
    <col min="2" max="2" width="19.1796875" style="299" customWidth="1"/>
    <col min="3" max="3" width="18.54296875" style="27" customWidth="1"/>
    <col min="4" max="4" width="75.7265625" style="5" customWidth="1"/>
    <col min="5" max="5" width="10.81640625" style="1"/>
    <col min="6" max="6" width="18.1796875" style="296" customWidth="1"/>
    <col min="7" max="41" width="32.7265625" style="1" customWidth="1"/>
    <col min="42" max="42" width="32.7265625" style="54" customWidth="1"/>
    <col min="43" max="43" width="32.7265625" style="1" customWidth="1"/>
    <col min="44" max="66" width="32.7265625" style="54" customWidth="1"/>
    <col min="67" max="67" width="15.453125" style="1" customWidth="1"/>
    <col min="68" max="68" width="22" style="1" customWidth="1"/>
    <col min="69" max="69" width="15.7265625" style="1" customWidth="1"/>
    <col min="70" max="70" width="14.1796875" style="1" customWidth="1"/>
    <col min="71" max="72" width="16.453125" style="1" customWidth="1"/>
    <col min="73" max="73" width="19" style="1" customWidth="1"/>
    <col min="74" max="74" width="16.453125" style="1" customWidth="1"/>
    <col min="75" max="75" width="53.7265625" style="1" customWidth="1"/>
    <col min="76" max="76" width="24" style="27" customWidth="1"/>
    <col min="77" max="77" width="12.453125" style="1" bestFit="1" customWidth="1"/>
    <col min="78" max="16384" width="10.81640625" style="1"/>
  </cols>
  <sheetData>
    <row r="1" spans="1:76" ht="15" thickBot="1" x14ac:dyDescent="0.4">
      <c r="A1" s="560"/>
      <c r="B1" s="561"/>
      <c r="C1" s="561"/>
      <c r="D1" s="561"/>
      <c r="E1" s="561"/>
      <c r="F1" s="561"/>
      <c r="G1" s="561"/>
      <c r="H1" s="561"/>
      <c r="I1" s="562"/>
      <c r="J1" s="5"/>
    </row>
    <row r="2" spans="1:76" ht="27.75" customHeight="1" x14ac:dyDescent="0.35">
      <c r="A2" s="448" t="s">
        <v>0</v>
      </c>
      <c r="B2" s="449"/>
      <c r="C2" s="449"/>
      <c r="D2" s="44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c r="BS2" s="449"/>
      <c r="BT2" s="449"/>
      <c r="BU2" s="449"/>
      <c r="BV2" s="449"/>
      <c r="BW2" s="449"/>
    </row>
    <row r="3" spans="1:76" ht="27.75" customHeight="1" thickBot="1" x14ac:dyDescent="0.4">
      <c r="A3" s="450"/>
      <c r="B3" s="451"/>
      <c r="C3" s="451"/>
      <c r="D3" s="451"/>
      <c r="E3" s="451"/>
      <c r="F3" s="451"/>
      <c r="G3" s="449"/>
      <c r="H3" s="449"/>
      <c r="I3" s="449"/>
      <c r="J3" s="449"/>
      <c r="K3" s="449"/>
      <c r="L3" s="449"/>
      <c r="M3" s="449"/>
      <c r="N3" s="449"/>
      <c r="O3" s="449"/>
      <c r="P3" s="449"/>
      <c r="Q3" s="449"/>
      <c r="R3" s="449"/>
      <c r="S3" s="449"/>
      <c r="T3" s="449"/>
      <c r="U3" s="449"/>
      <c r="V3" s="449"/>
      <c r="W3" s="449"/>
      <c r="X3" s="449"/>
      <c r="Y3" s="449"/>
      <c r="Z3" s="449"/>
      <c r="AA3" s="449"/>
      <c r="AB3" s="449"/>
      <c r="AC3" s="449"/>
      <c r="AD3" s="449"/>
      <c r="AE3" s="449"/>
      <c r="AF3" s="449"/>
      <c r="AG3" s="449"/>
      <c r="AH3" s="449"/>
      <c r="AI3" s="449"/>
      <c r="AJ3" s="449"/>
      <c r="AK3" s="449"/>
      <c r="AL3" s="449"/>
      <c r="AM3" s="449"/>
      <c r="AN3" s="449"/>
      <c r="AO3" s="449"/>
      <c r="AP3" s="449"/>
      <c r="AQ3" s="449"/>
      <c r="AR3" s="449"/>
      <c r="AS3" s="449"/>
      <c r="AT3" s="449"/>
      <c r="AU3" s="449"/>
      <c r="AV3" s="449"/>
      <c r="AW3" s="449"/>
      <c r="AX3" s="449"/>
      <c r="AY3" s="449"/>
      <c r="AZ3" s="449"/>
      <c r="BA3" s="449"/>
      <c r="BB3" s="449"/>
      <c r="BC3" s="449"/>
      <c r="BD3" s="449"/>
      <c r="BE3" s="449"/>
      <c r="BF3" s="449"/>
      <c r="BG3" s="449"/>
      <c r="BH3" s="449"/>
      <c r="BI3" s="449"/>
      <c r="BJ3" s="449"/>
      <c r="BK3" s="449"/>
      <c r="BL3" s="449"/>
      <c r="BM3" s="449"/>
      <c r="BN3" s="449"/>
      <c r="BO3" s="451"/>
      <c r="BP3" s="451"/>
      <c r="BQ3" s="451"/>
      <c r="BR3" s="451"/>
      <c r="BS3" s="451"/>
      <c r="BT3" s="451"/>
      <c r="BU3" s="451"/>
      <c r="BV3" s="451"/>
      <c r="BW3" s="451"/>
    </row>
    <row r="4" spans="1:76" ht="45.75" customHeight="1" x14ac:dyDescent="0.35">
      <c r="A4" s="563" t="s">
        <v>875</v>
      </c>
      <c r="B4" s="564"/>
      <c r="C4" s="564"/>
      <c r="D4" s="494"/>
      <c r="E4" s="564"/>
      <c r="F4" s="565"/>
      <c r="G4" s="444" t="s">
        <v>445</v>
      </c>
      <c r="H4" s="444"/>
      <c r="I4" s="443" t="s">
        <v>186</v>
      </c>
      <c r="J4" s="443"/>
      <c r="K4" s="444" t="s">
        <v>446</v>
      </c>
      <c r="L4" s="444"/>
      <c r="M4" s="569" t="s">
        <v>187</v>
      </c>
      <c r="N4" s="569"/>
      <c r="O4" s="444" t="s">
        <v>12</v>
      </c>
      <c r="P4" s="444"/>
      <c r="Q4" s="443" t="s">
        <v>447</v>
      </c>
      <c r="R4" s="443"/>
      <c r="S4" s="444" t="s">
        <v>448</v>
      </c>
      <c r="T4" s="444"/>
      <c r="U4" s="443" t="s">
        <v>449</v>
      </c>
      <c r="V4" s="443"/>
      <c r="W4" s="444" t="s">
        <v>450</v>
      </c>
      <c r="X4" s="444"/>
      <c r="Y4" s="462" t="s">
        <v>184</v>
      </c>
      <c r="Z4" s="462"/>
      <c r="AA4" s="444" t="s">
        <v>9</v>
      </c>
      <c r="AB4" s="521"/>
      <c r="AC4" s="443" t="s">
        <v>451</v>
      </c>
      <c r="AD4" s="503"/>
      <c r="AE4" s="444" t="s">
        <v>452</v>
      </c>
      <c r="AF4" s="444"/>
      <c r="AG4" s="544" t="s">
        <v>453</v>
      </c>
      <c r="AH4" s="545"/>
      <c r="AI4" s="522" t="s">
        <v>454</v>
      </c>
      <c r="AJ4" s="523"/>
      <c r="AK4" s="550" t="s">
        <v>455</v>
      </c>
      <c r="AL4" s="545"/>
      <c r="AM4" s="522" t="s">
        <v>456</v>
      </c>
      <c r="AN4" s="548"/>
      <c r="AO4" s="443" t="s">
        <v>457</v>
      </c>
      <c r="AP4" s="444" t="s">
        <v>458</v>
      </c>
      <c r="AQ4" s="443" t="s">
        <v>459</v>
      </c>
      <c r="AR4" s="542" t="s">
        <v>460</v>
      </c>
      <c r="AS4" s="443" t="s">
        <v>461</v>
      </c>
      <c r="AT4" s="444" t="s">
        <v>201</v>
      </c>
      <c r="AU4" s="443" t="s">
        <v>462</v>
      </c>
      <c r="AV4" s="558" t="s">
        <v>561</v>
      </c>
      <c r="AW4" s="515" t="s">
        <v>563</v>
      </c>
      <c r="AX4" s="558" t="s">
        <v>564</v>
      </c>
      <c r="AY4" s="554" t="s">
        <v>565</v>
      </c>
      <c r="AZ4" s="556" t="s">
        <v>566</v>
      </c>
      <c r="BA4" s="474" t="s">
        <v>567</v>
      </c>
      <c r="BB4" s="552" t="s">
        <v>568</v>
      </c>
      <c r="BC4" s="570" t="s">
        <v>561</v>
      </c>
      <c r="BD4" s="571" t="s">
        <v>562</v>
      </c>
      <c r="BE4" s="518" t="s">
        <v>1051</v>
      </c>
      <c r="BF4" s="513" t="s">
        <v>1070</v>
      </c>
      <c r="BG4" s="513"/>
      <c r="BH4" s="513"/>
      <c r="BI4" s="514" t="s">
        <v>1120</v>
      </c>
      <c r="BJ4" s="515"/>
      <c r="BK4" s="515"/>
      <c r="BL4" s="513" t="s">
        <v>1067</v>
      </c>
      <c r="BM4" s="513"/>
      <c r="BN4" s="513"/>
      <c r="BO4" s="465" t="s">
        <v>47</v>
      </c>
      <c r="BP4" s="465"/>
      <c r="BQ4" s="465"/>
      <c r="BR4" s="465"/>
      <c r="BS4" s="465"/>
      <c r="BT4" s="466"/>
      <c r="BU4" s="456" t="s">
        <v>48</v>
      </c>
      <c r="BV4" s="457"/>
      <c r="BW4" s="458"/>
    </row>
    <row r="5" spans="1:76" ht="16.5" customHeight="1" thickBot="1" x14ac:dyDescent="0.4">
      <c r="A5" s="566"/>
      <c r="B5" s="567"/>
      <c r="C5" s="567"/>
      <c r="D5" s="497"/>
      <c r="E5" s="567"/>
      <c r="F5" s="568"/>
      <c r="G5" s="444"/>
      <c r="H5" s="444"/>
      <c r="I5" s="443"/>
      <c r="J5" s="443"/>
      <c r="K5" s="444"/>
      <c r="L5" s="444"/>
      <c r="M5" s="569"/>
      <c r="N5" s="569"/>
      <c r="O5" s="444"/>
      <c r="P5" s="444"/>
      <c r="Q5" s="443"/>
      <c r="R5" s="443"/>
      <c r="S5" s="444"/>
      <c r="T5" s="444"/>
      <c r="U5" s="443"/>
      <c r="V5" s="443"/>
      <c r="W5" s="444"/>
      <c r="X5" s="444"/>
      <c r="Y5" s="462"/>
      <c r="Z5" s="462"/>
      <c r="AA5" s="521"/>
      <c r="AB5" s="521"/>
      <c r="AC5" s="503"/>
      <c r="AD5" s="503"/>
      <c r="AE5" s="444"/>
      <c r="AF5" s="444"/>
      <c r="AG5" s="546"/>
      <c r="AH5" s="547"/>
      <c r="AI5" s="524"/>
      <c r="AJ5" s="525"/>
      <c r="AK5" s="551"/>
      <c r="AL5" s="547"/>
      <c r="AM5" s="524"/>
      <c r="AN5" s="549"/>
      <c r="AO5" s="443"/>
      <c r="AP5" s="444"/>
      <c r="AQ5" s="503"/>
      <c r="AR5" s="543"/>
      <c r="AS5" s="443"/>
      <c r="AT5" s="444"/>
      <c r="AU5" s="443"/>
      <c r="AV5" s="558"/>
      <c r="AW5" s="515"/>
      <c r="AX5" s="559"/>
      <c r="AY5" s="555"/>
      <c r="AZ5" s="557"/>
      <c r="BA5" s="475"/>
      <c r="BB5" s="553"/>
      <c r="BC5" s="570"/>
      <c r="BD5" s="572"/>
      <c r="BE5" s="519"/>
      <c r="BF5" s="513"/>
      <c r="BG5" s="513"/>
      <c r="BH5" s="513"/>
      <c r="BI5" s="516"/>
      <c r="BJ5" s="517"/>
      <c r="BK5" s="517"/>
      <c r="BL5" s="513"/>
      <c r="BM5" s="513"/>
      <c r="BN5" s="513"/>
      <c r="BO5" s="467"/>
      <c r="BP5" s="467"/>
      <c r="BQ5" s="467"/>
      <c r="BR5" s="467"/>
      <c r="BS5" s="467"/>
      <c r="BT5" s="468"/>
      <c r="BU5" s="459"/>
      <c r="BV5" s="460"/>
      <c r="BW5" s="461"/>
    </row>
    <row r="6" spans="1:76" ht="44" thickBot="1" x14ac:dyDescent="0.4">
      <c r="A6" s="77" t="s">
        <v>49</v>
      </c>
      <c r="B6" s="77" t="s">
        <v>463</v>
      </c>
      <c r="C6" s="77" t="s">
        <v>50</v>
      </c>
      <c r="D6" s="77" t="s">
        <v>51</v>
      </c>
      <c r="E6" s="77" t="s">
        <v>52</v>
      </c>
      <c r="F6" s="295" t="s">
        <v>53</v>
      </c>
      <c r="G6" s="78" t="s">
        <v>54</v>
      </c>
      <c r="H6" s="79" t="s">
        <v>55</v>
      </c>
      <c r="I6" s="80" t="s">
        <v>54</v>
      </c>
      <c r="J6" s="79" t="s">
        <v>55</v>
      </c>
      <c r="K6" s="80" t="s">
        <v>54</v>
      </c>
      <c r="L6" s="79" t="s">
        <v>55</v>
      </c>
      <c r="M6" s="80" t="s">
        <v>54</v>
      </c>
      <c r="N6" s="79" t="s">
        <v>55</v>
      </c>
      <c r="O6" s="80" t="s">
        <v>54</v>
      </c>
      <c r="P6" s="79" t="s">
        <v>55</v>
      </c>
      <c r="Q6" s="80" t="s">
        <v>54</v>
      </c>
      <c r="R6" s="79" t="s">
        <v>55</v>
      </c>
      <c r="S6" s="80" t="s">
        <v>54</v>
      </c>
      <c r="T6" s="79" t="s">
        <v>55</v>
      </c>
      <c r="U6" s="80" t="s">
        <v>54</v>
      </c>
      <c r="V6" s="79" t="s">
        <v>55</v>
      </c>
      <c r="W6" s="80" t="s">
        <v>54</v>
      </c>
      <c r="X6" s="79" t="s">
        <v>55</v>
      </c>
      <c r="Y6" s="80" t="s">
        <v>54</v>
      </c>
      <c r="Z6" s="79" t="s">
        <v>55</v>
      </c>
      <c r="AA6" s="80" t="s">
        <v>54</v>
      </c>
      <c r="AB6" s="79" t="s">
        <v>55</v>
      </c>
      <c r="AC6" s="80" t="s">
        <v>54</v>
      </c>
      <c r="AD6" s="79" t="s">
        <v>55</v>
      </c>
      <c r="AE6" s="80" t="s">
        <v>54</v>
      </c>
      <c r="AF6" s="81" t="s">
        <v>55</v>
      </c>
      <c r="AG6" s="80" t="s">
        <v>54</v>
      </c>
      <c r="AH6" s="81" t="s">
        <v>55</v>
      </c>
      <c r="AI6" s="80" t="s">
        <v>54</v>
      </c>
      <c r="AJ6" s="81" t="s">
        <v>55</v>
      </c>
      <c r="AK6" s="80" t="s">
        <v>54</v>
      </c>
      <c r="AL6" s="81" t="s">
        <v>55</v>
      </c>
      <c r="AM6" s="80" t="s">
        <v>54</v>
      </c>
      <c r="AN6" s="99" t="s">
        <v>55</v>
      </c>
      <c r="AO6" s="100" t="s">
        <v>54</v>
      </c>
      <c r="AP6" s="100" t="s">
        <v>54</v>
      </c>
      <c r="AQ6" s="100" t="s">
        <v>54</v>
      </c>
      <c r="AR6" s="100" t="s">
        <v>54</v>
      </c>
      <c r="AS6" s="100" t="s">
        <v>54</v>
      </c>
      <c r="AT6" s="100" t="s">
        <v>54</v>
      </c>
      <c r="AU6" s="100" t="s">
        <v>464</v>
      </c>
      <c r="AV6" s="328" t="s">
        <v>570</v>
      </c>
      <c r="AW6" s="329" t="s">
        <v>570</v>
      </c>
      <c r="AX6" s="330" t="s">
        <v>570</v>
      </c>
      <c r="AY6" s="301" t="s">
        <v>570</v>
      </c>
      <c r="AZ6" s="301" t="s">
        <v>570</v>
      </c>
      <c r="BA6" s="301" t="s">
        <v>570</v>
      </c>
      <c r="BB6" s="301" t="s">
        <v>570</v>
      </c>
      <c r="BC6" s="328" t="s">
        <v>570</v>
      </c>
      <c r="BD6" s="301" t="s">
        <v>570</v>
      </c>
      <c r="BE6" s="301" t="s">
        <v>570</v>
      </c>
      <c r="BF6" s="276" t="s">
        <v>895</v>
      </c>
      <c r="BG6" s="276" t="s">
        <v>896</v>
      </c>
      <c r="BH6" s="276" t="s">
        <v>897</v>
      </c>
      <c r="BI6" s="276" t="s">
        <v>895</v>
      </c>
      <c r="BJ6" s="276" t="s">
        <v>896</v>
      </c>
      <c r="BK6" s="276" t="s">
        <v>897</v>
      </c>
      <c r="BL6" s="276" t="s">
        <v>895</v>
      </c>
      <c r="BM6" s="276" t="s">
        <v>896</v>
      </c>
      <c r="BN6" s="276" t="s">
        <v>897</v>
      </c>
      <c r="BO6" s="82" t="s">
        <v>206</v>
      </c>
      <c r="BP6" s="83" t="s">
        <v>57</v>
      </c>
      <c r="BQ6" s="83" t="s">
        <v>58</v>
      </c>
      <c r="BR6" s="84" t="s">
        <v>59</v>
      </c>
      <c r="BS6" s="85" t="s">
        <v>465</v>
      </c>
      <c r="BT6" s="85" t="s">
        <v>466</v>
      </c>
      <c r="BU6" s="86" t="s">
        <v>60</v>
      </c>
      <c r="BV6" s="86" t="s">
        <v>467</v>
      </c>
      <c r="BW6" s="86" t="s">
        <v>61</v>
      </c>
    </row>
    <row r="7" spans="1:76" s="40" customFormat="1" ht="153.75" hidden="1" customHeight="1" x14ac:dyDescent="0.35">
      <c r="A7" s="297">
        <v>1</v>
      </c>
      <c r="B7" s="527" t="s">
        <v>468</v>
      </c>
      <c r="C7" s="360" t="s">
        <v>583</v>
      </c>
      <c r="D7" s="197" t="s">
        <v>584</v>
      </c>
      <c r="E7" s="38" t="s">
        <v>127</v>
      </c>
      <c r="F7" s="118">
        <v>101</v>
      </c>
      <c r="G7" s="12"/>
      <c r="H7" s="12"/>
      <c r="I7" s="12"/>
      <c r="J7" s="13"/>
      <c r="K7" s="12"/>
      <c r="L7" s="13"/>
      <c r="M7" s="12"/>
      <c r="N7" s="12"/>
      <c r="O7" s="30"/>
      <c r="P7" s="13"/>
      <c r="Q7" s="12"/>
      <c r="R7" s="12"/>
      <c r="S7" s="12"/>
      <c r="T7" s="12"/>
      <c r="U7" s="12"/>
      <c r="V7" s="12"/>
      <c r="W7" s="12"/>
      <c r="X7" s="12"/>
      <c r="Y7" s="12"/>
      <c r="Z7" s="12"/>
      <c r="AA7" s="12"/>
      <c r="AB7" s="12"/>
      <c r="AC7" s="12"/>
      <c r="AD7" s="12"/>
      <c r="AE7" s="12"/>
      <c r="AF7" s="12"/>
      <c r="AG7" s="12"/>
      <c r="AH7" s="12"/>
      <c r="AI7" s="12"/>
      <c r="AJ7" s="12"/>
      <c r="AK7" s="12"/>
      <c r="AL7" s="12"/>
      <c r="AM7" s="12"/>
      <c r="AN7" s="12"/>
      <c r="AO7" s="13"/>
      <c r="AP7" s="13"/>
      <c r="AQ7" s="12"/>
      <c r="AR7" s="12"/>
      <c r="AS7" s="8"/>
      <c r="AT7" s="8"/>
      <c r="AU7" s="8"/>
      <c r="AV7" s="8"/>
      <c r="AW7" s="8"/>
      <c r="AX7" s="8"/>
      <c r="AY7" s="8"/>
      <c r="AZ7" s="8"/>
      <c r="BA7" s="189">
        <v>5200</v>
      </c>
      <c r="BB7" s="331">
        <v>4165</v>
      </c>
      <c r="BC7" s="332">
        <v>5950</v>
      </c>
      <c r="BD7" s="249"/>
      <c r="BE7" s="331">
        <v>3689</v>
      </c>
      <c r="BF7" s="249"/>
      <c r="BG7" s="249"/>
      <c r="BH7" s="249"/>
      <c r="BI7" s="249"/>
      <c r="BJ7" s="249"/>
      <c r="BK7" s="249"/>
      <c r="BL7" s="249"/>
      <c r="BM7" s="249"/>
      <c r="BN7" s="249"/>
      <c r="BO7" s="264">
        <f>MEDIAN(BA7,BB7,BC7,BE7)</f>
        <v>4682.5</v>
      </c>
      <c r="BP7" s="63">
        <f>AVERAGE(BA7,BB7,BC7,BE7)</f>
        <v>4751</v>
      </c>
      <c r="BQ7" s="64">
        <f>STDEV(BA7,BB7,BC7,BE7)</f>
        <v>1018.2406395346828</v>
      </c>
      <c r="BR7" s="65">
        <f t="shared" ref="BR7:BR70" si="0">BQ7/BP7</f>
        <v>0.21432133014832305</v>
      </c>
      <c r="BS7" s="88">
        <f t="shared" ref="BS7:BS70" si="1">BU7/1.19</f>
        <v>3935.294117647059</v>
      </c>
      <c r="BT7" s="88">
        <f t="shared" ref="BT7:BT70" si="2">+BS7*19%</f>
        <v>747.70588235294122</v>
      </c>
      <c r="BU7" s="74">
        <f t="shared" ref="BU7:BU69" si="3">ROUNDUP(IF(BR7&lt;15%,BP7,BO7),0)</f>
        <v>4683</v>
      </c>
      <c r="BV7" s="75">
        <f t="shared" ref="BV7:BV38" si="4">+BU7*F7</f>
        <v>472983</v>
      </c>
      <c r="BW7" s="76" t="s">
        <v>66</v>
      </c>
    </row>
    <row r="8" spans="1:76" s="3" customFormat="1" ht="232" hidden="1" x14ac:dyDescent="0.35">
      <c r="A8" s="297">
        <v>2</v>
      </c>
      <c r="B8" s="528"/>
      <c r="C8" s="360" t="s">
        <v>573</v>
      </c>
      <c r="D8" s="197" t="s">
        <v>574</v>
      </c>
      <c r="E8" s="38" t="s">
        <v>127</v>
      </c>
      <c r="F8" s="117">
        <v>20</v>
      </c>
      <c r="G8" s="9"/>
      <c r="H8" s="8"/>
      <c r="I8" s="8"/>
      <c r="J8" s="10"/>
      <c r="K8" s="8"/>
      <c r="L8" s="10"/>
      <c r="M8" s="10"/>
      <c r="N8" s="13"/>
      <c r="O8" s="30"/>
      <c r="P8" s="12"/>
      <c r="Q8" s="13"/>
      <c r="R8" s="13"/>
      <c r="S8" s="13"/>
      <c r="T8" s="13"/>
      <c r="U8" s="13"/>
      <c r="V8" s="13"/>
      <c r="W8" s="13"/>
      <c r="X8" s="13"/>
      <c r="Y8" s="13"/>
      <c r="Z8" s="13"/>
      <c r="AA8" s="13"/>
      <c r="AB8" s="13"/>
      <c r="AC8" s="13"/>
      <c r="AD8" s="13"/>
      <c r="AE8" s="13"/>
      <c r="AF8" s="13"/>
      <c r="AG8" s="13"/>
      <c r="AH8" s="13"/>
      <c r="AI8" s="13"/>
      <c r="AJ8" s="13"/>
      <c r="AK8" s="13"/>
      <c r="AL8" s="13"/>
      <c r="AM8" s="12"/>
      <c r="AN8" s="12"/>
      <c r="AO8" s="10"/>
      <c r="AP8" s="8"/>
      <c r="AQ8" s="8"/>
      <c r="AR8" s="8"/>
      <c r="AS8" s="10"/>
      <c r="AT8" s="10"/>
      <c r="AU8" s="10"/>
      <c r="AV8" s="332">
        <v>226100</v>
      </c>
      <c r="AW8" s="189">
        <v>139468</v>
      </c>
      <c r="AX8" s="9">
        <v>178000</v>
      </c>
      <c r="AY8" s="189">
        <v>184000</v>
      </c>
      <c r="AZ8" s="189">
        <v>203490</v>
      </c>
      <c r="BA8" s="189"/>
      <c r="BB8" s="331">
        <v>172550</v>
      </c>
      <c r="BC8" s="331"/>
      <c r="BD8" s="331"/>
      <c r="BE8" s="331"/>
      <c r="BF8" s="331"/>
      <c r="BG8" s="331"/>
      <c r="BH8" s="331"/>
      <c r="BI8" s="331"/>
      <c r="BJ8" s="331"/>
      <c r="BK8" s="331"/>
      <c r="BL8" s="331"/>
      <c r="BM8" s="331"/>
      <c r="BN8" s="331"/>
      <c r="BO8" s="63">
        <f>MEDIAN(AV8,AW8,AX8,AY8,AZ8,BB8)</f>
        <v>181000</v>
      </c>
      <c r="BP8" s="63">
        <f>AVERAGE(AV8,AW8,AX8,AY8,AZ8,BB8)</f>
        <v>183934.66666666666</v>
      </c>
      <c r="BQ8" s="64">
        <f>STDEV(AV8,AW8,AX8,AY8,AZ8,BB8)</f>
        <v>29334.096247654685</v>
      </c>
      <c r="BR8" s="65">
        <f t="shared" si="0"/>
        <v>0.15948106346268615</v>
      </c>
      <c r="BS8" s="88">
        <f t="shared" si="1"/>
        <v>152100.84033613445</v>
      </c>
      <c r="BT8" s="88">
        <f t="shared" si="2"/>
        <v>28899.159663865546</v>
      </c>
      <c r="BU8" s="74">
        <f t="shared" si="3"/>
        <v>181000</v>
      </c>
      <c r="BV8" s="75">
        <f t="shared" si="4"/>
        <v>3620000</v>
      </c>
      <c r="BW8" s="76" t="s">
        <v>66</v>
      </c>
      <c r="BX8" s="40"/>
    </row>
    <row r="9" spans="1:76" s="3" customFormat="1" ht="72.5" hidden="1" x14ac:dyDescent="0.35">
      <c r="A9" s="298">
        <v>3</v>
      </c>
      <c r="B9" s="528"/>
      <c r="C9" s="91" t="s">
        <v>487</v>
      </c>
      <c r="D9" s="89" t="s">
        <v>1065</v>
      </c>
      <c r="E9" s="38" t="s">
        <v>127</v>
      </c>
      <c r="F9" s="115">
        <v>10</v>
      </c>
      <c r="G9" s="8"/>
      <c r="H9" s="12"/>
      <c r="I9" s="8">
        <v>40000</v>
      </c>
      <c r="J9" s="10">
        <f>+(I9*5.1%)+I9</f>
        <v>42040</v>
      </c>
      <c r="K9" s="8">
        <v>33000</v>
      </c>
      <c r="L9" s="10">
        <f>+(K9*5.1%)+K9</f>
        <v>34683</v>
      </c>
      <c r="M9" s="10"/>
      <c r="N9" s="13"/>
      <c r="O9" s="30"/>
      <c r="P9" s="12"/>
      <c r="Q9" s="13"/>
      <c r="R9" s="13"/>
      <c r="S9" s="13"/>
      <c r="T9" s="13"/>
      <c r="U9" s="13"/>
      <c r="V9" s="13"/>
      <c r="W9" s="13"/>
      <c r="X9" s="13"/>
      <c r="Y9" s="13"/>
      <c r="Z9" s="13"/>
      <c r="AA9" s="13"/>
      <c r="AB9" s="13"/>
      <c r="AC9" s="13"/>
      <c r="AD9" s="13"/>
      <c r="AE9" s="13"/>
      <c r="AF9" s="13"/>
      <c r="AG9" s="13"/>
      <c r="AH9" s="13"/>
      <c r="AI9" s="13"/>
      <c r="AJ9" s="13"/>
      <c r="AK9" s="13"/>
      <c r="AL9" s="13"/>
      <c r="AM9" s="12"/>
      <c r="AN9" s="12"/>
      <c r="AO9" s="10"/>
      <c r="AP9" s="10"/>
      <c r="AQ9" s="8">
        <v>49900</v>
      </c>
      <c r="AR9" s="10"/>
      <c r="AS9" s="10"/>
      <c r="AT9" s="73"/>
      <c r="AU9" s="10"/>
      <c r="AV9" s="10"/>
      <c r="AW9" s="10"/>
      <c r="AX9" s="10"/>
      <c r="AY9" s="10"/>
      <c r="AZ9" s="10"/>
      <c r="BA9" s="10"/>
      <c r="BB9" s="10"/>
      <c r="BC9" s="10"/>
      <c r="BD9" s="10"/>
      <c r="BE9" s="10"/>
      <c r="BF9" s="10"/>
      <c r="BG9" s="10"/>
      <c r="BH9" s="10"/>
      <c r="BI9" s="10"/>
      <c r="BJ9" s="10"/>
      <c r="BK9" s="10"/>
      <c r="BL9" s="10"/>
      <c r="BM9" s="10"/>
      <c r="BN9" s="10"/>
      <c r="BO9" s="63">
        <f>MEDIAN(J9,L9,AQ9)</f>
        <v>42040</v>
      </c>
      <c r="BP9" s="63">
        <f>AVERAGE(J9,L9,AQ9)</f>
        <v>42207.666666666664</v>
      </c>
      <c r="BQ9" s="64">
        <f>STDEV(J9,L9,AQ9)</f>
        <v>7609.8854349676967</v>
      </c>
      <c r="BR9" s="65">
        <f t="shared" si="0"/>
        <v>0.1802962834943343</v>
      </c>
      <c r="BS9" s="88">
        <f t="shared" si="1"/>
        <v>35327.731092436974</v>
      </c>
      <c r="BT9" s="88">
        <f t="shared" si="2"/>
        <v>6712.2689075630251</v>
      </c>
      <c r="BU9" s="74">
        <f t="shared" si="3"/>
        <v>42040</v>
      </c>
      <c r="BV9" s="75">
        <f t="shared" si="4"/>
        <v>420400</v>
      </c>
      <c r="BW9" s="76" t="s">
        <v>66</v>
      </c>
      <c r="BX9" s="40"/>
    </row>
    <row r="10" spans="1:76" s="3" customFormat="1" ht="87" hidden="1" x14ac:dyDescent="0.35">
      <c r="A10" s="297">
        <v>4</v>
      </c>
      <c r="B10" s="528"/>
      <c r="C10" s="36" t="s">
        <v>469</v>
      </c>
      <c r="D10" s="89" t="s">
        <v>1066</v>
      </c>
      <c r="E10" s="38" t="s">
        <v>127</v>
      </c>
      <c r="F10" s="117">
        <v>100</v>
      </c>
      <c r="G10" s="8">
        <v>26363.076923076922</v>
      </c>
      <c r="H10" s="8">
        <f>+(G10*5.1%)+G10</f>
        <v>27707.593846153846</v>
      </c>
      <c r="I10" s="8">
        <v>21400</v>
      </c>
      <c r="J10" s="8">
        <f>+(I10*5.1%)+I10</f>
        <v>22491.4</v>
      </c>
      <c r="K10" s="8">
        <v>20751</v>
      </c>
      <c r="L10" s="8">
        <f>+(K10*5.1%)+K10</f>
        <v>21809.300999999999</v>
      </c>
      <c r="M10" s="8"/>
      <c r="N10" s="13"/>
      <c r="O10" s="31"/>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0"/>
      <c r="AP10" s="10"/>
      <c r="AQ10" s="8"/>
      <c r="AR10" s="8"/>
      <c r="AS10" s="101"/>
      <c r="AT10" s="101"/>
      <c r="AU10" s="106"/>
      <c r="AV10" s="106"/>
      <c r="AW10" s="106"/>
      <c r="AX10" s="106"/>
      <c r="AY10" s="106"/>
      <c r="AZ10" s="106"/>
      <c r="BA10" s="106"/>
      <c r="BB10" s="106"/>
      <c r="BC10" s="106"/>
      <c r="BD10" s="106"/>
      <c r="BE10" s="106"/>
      <c r="BF10" s="106"/>
      <c r="BG10" s="106"/>
      <c r="BH10" s="106"/>
      <c r="BI10" s="106"/>
      <c r="BJ10" s="106"/>
      <c r="BK10" s="106"/>
      <c r="BL10" s="106"/>
      <c r="BM10" s="106"/>
      <c r="BN10" s="106"/>
      <c r="BO10" s="63">
        <f>MEDIAN(H10,J10,L10)</f>
        <v>22491.4</v>
      </c>
      <c r="BP10" s="63">
        <f>AVERAGE(H10,J10,L10)</f>
        <v>24002.764948717948</v>
      </c>
      <c r="BQ10" s="64">
        <f>STDEV(H10,J10,L10)</f>
        <v>3226.5511976268558</v>
      </c>
      <c r="BR10" s="65">
        <f t="shared" si="0"/>
        <v>0.13442414673977776</v>
      </c>
      <c r="BS10" s="88">
        <f t="shared" si="1"/>
        <v>20170.588235294119</v>
      </c>
      <c r="BT10" s="88">
        <f t="shared" si="2"/>
        <v>3832.4117647058824</v>
      </c>
      <c r="BU10" s="74">
        <f t="shared" si="3"/>
        <v>24003</v>
      </c>
      <c r="BV10" s="75">
        <f t="shared" si="4"/>
        <v>2400300</v>
      </c>
      <c r="BW10" s="76" t="s">
        <v>65</v>
      </c>
      <c r="BX10" s="40"/>
    </row>
    <row r="11" spans="1:76" s="3" customFormat="1" ht="87" hidden="1" x14ac:dyDescent="0.35">
      <c r="A11" s="298">
        <v>5</v>
      </c>
      <c r="B11" s="528"/>
      <c r="C11" s="36" t="s">
        <v>470</v>
      </c>
      <c r="D11" s="93" t="s">
        <v>1055</v>
      </c>
      <c r="E11" s="38" t="s">
        <v>127</v>
      </c>
      <c r="F11" s="117">
        <v>99</v>
      </c>
      <c r="G11" s="8"/>
      <c r="H11" s="12"/>
      <c r="I11" s="8"/>
      <c r="J11" s="12"/>
      <c r="K11" s="8"/>
      <c r="L11" s="12"/>
      <c r="M11" s="10"/>
      <c r="N11" s="13"/>
      <c r="O11" s="30"/>
      <c r="P11" s="12"/>
      <c r="Q11" s="13"/>
      <c r="R11" s="13"/>
      <c r="S11" s="13"/>
      <c r="T11" s="13"/>
      <c r="U11" s="13"/>
      <c r="V11" s="13"/>
      <c r="W11" s="13"/>
      <c r="X11" s="13"/>
      <c r="Y11" s="13"/>
      <c r="Z11" s="13"/>
      <c r="AA11" s="13"/>
      <c r="AB11" s="13"/>
      <c r="AC11" s="13"/>
      <c r="AD11" s="13"/>
      <c r="AE11" s="13"/>
      <c r="AF11" s="13"/>
      <c r="AG11" s="13"/>
      <c r="AH11" s="13"/>
      <c r="AI11" s="13"/>
      <c r="AJ11" s="13"/>
      <c r="AK11" s="13"/>
      <c r="AL11" s="13"/>
      <c r="AM11" s="12"/>
      <c r="AN11" s="12"/>
      <c r="AO11" s="10"/>
      <c r="AP11" s="8"/>
      <c r="AQ11" s="8"/>
      <c r="AR11" s="8"/>
      <c r="AS11" s="8"/>
      <c r="AT11" s="8">
        <v>10000</v>
      </c>
      <c r="AU11" s="8">
        <v>12000</v>
      </c>
      <c r="AV11" s="8"/>
      <c r="AW11" s="8"/>
      <c r="AX11" s="8"/>
      <c r="AY11" s="8"/>
      <c r="AZ11" s="8"/>
      <c r="BA11" s="8"/>
      <c r="BB11" s="8"/>
      <c r="BC11" s="8"/>
      <c r="BD11" s="8"/>
      <c r="BE11" s="8"/>
      <c r="BF11" s="8"/>
      <c r="BG11" s="8"/>
      <c r="BH11" s="8"/>
      <c r="BI11" s="8"/>
      <c r="BJ11" s="8"/>
      <c r="BK11" s="8"/>
      <c r="BL11" s="8"/>
      <c r="BM11" s="8"/>
      <c r="BN11" s="8"/>
      <c r="BO11" s="63">
        <f>MEDIAN(AO11,AT11,AU11)</f>
        <v>11000</v>
      </c>
      <c r="BP11" s="63">
        <f>AVERAGE(AO11,AT11,AU11)</f>
        <v>11000</v>
      </c>
      <c r="BQ11" s="64">
        <f>STDEV(AO11,AT11,AU11)</f>
        <v>1414.2135623730951</v>
      </c>
      <c r="BR11" s="65">
        <f t="shared" si="0"/>
        <v>0.12856486930664501</v>
      </c>
      <c r="BS11" s="88">
        <f t="shared" si="1"/>
        <v>9243.6974789915967</v>
      </c>
      <c r="BT11" s="88">
        <f t="shared" si="2"/>
        <v>1756.3025210084033</v>
      </c>
      <c r="BU11" s="74">
        <f t="shared" si="3"/>
        <v>11000</v>
      </c>
      <c r="BV11" s="75">
        <f t="shared" si="4"/>
        <v>1089000</v>
      </c>
      <c r="BW11" s="76" t="s">
        <v>65</v>
      </c>
      <c r="BX11" s="40"/>
    </row>
    <row r="12" spans="1:76" s="3" customFormat="1" ht="29" hidden="1" x14ac:dyDescent="0.35">
      <c r="A12" s="297">
        <v>6</v>
      </c>
      <c r="B12" s="528"/>
      <c r="C12" s="38" t="s">
        <v>471</v>
      </c>
      <c r="D12" s="89" t="s">
        <v>472</v>
      </c>
      <c r="E12" s="38" t="s">
        <v>127</v>
      </c>
      <c r="F12" s="117">
        <v>100</v>
      </c>
      <c r="G12" s="8"/>
      <c r="H12" s="12"/>
      <c r="I12" s="8"/>
      <c r="J12" s="12"/>
      <c r="K12" s="8">
        <v>6600</v>
      </c>
      <c r="L12" s="8">
        <f>+(K12*5.1%)+K12</f>
        <v>6936.6</v>
      </c>
      <c r="M12" s="8"/>
      <c r="N12" s="12"/>
      <c r="O12" s="31">
        <v>4914.7</v>
      </c>
      <c r="P12" s="12">
        <f>+(O12*5.1%)+O12</f>
        <v>5165.3496999999998</v>
      </c>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0"/>
      <c r="AP12" s="8"/>
      <c r="AQ12" s="8"/>
      <c r="AR12" s="8"/>
      <c r="AS12" s="101"/>
      <c r="AT12" s="101"/>
      <c r="AU12" s="101"/>
      <c r="AV12" s="101"/>
      <c r="AW12" s="101"/>
      <c r="AX12" s="101"/>
      <c r="AY12" s="101"/>
      <c r="AZ12" s="101"/>
      <c r="BA12" s="101"/>
      <c r="BB12" s="101"/>
      <c r="BC12" s="101"/>
      <c r="BD12" s="101"/>
      <c r="BE12" s="101"/>
      <c r="BF12" s="101"/>
      <c r="BG12" s="101"/>
      <c r="BH12" s="101"/>
      <c r="BI12" s="101"/>
      <c r="BJ12" s="101"/>
      <c r="BK12" s="101"/>
      <c r="BL12" s="101"/>
      <c r="BM12" s="101"/>
      <c r="BN12" s="101"/>
      <c r="BO12" s="63">
        <f>MEDIAN(L12,P12)</f>
        <v>6050.9748500000005</v>
      </c>
      <c r="BP12" s="63">
        <f>AVERAGE(L12,P12)</f>
        <v>6050.9748500000005</v>
      </c>
      <c r="BQ12" s="64">
        <f>STDEV(L12,P12)</f>
        <v>1252.463098308697</v>
      </c>
      <c r="BR12" s="65">
        <f t="shared" si="0"/>
        <v>0.20698534192530926</v>
      </c>
      <c r="BS12" s="88">
        <f t="shared" si="1"/>
        <v>5084.8739495798318</v>
      </c>
      <c r="BT12" s="88">
        <f t="shared" si="2"/>
        <v>966.1260504201681</v>
      </c>
      <c r="BU12" s="74">
        <f t="shared" si="3"/>
        <v>6051</v>
      </c>
      <c r="BV12" s="75">
        <f t="shared" si="4"/>
        <v>605100</v>
      </c>
      <c r="BW12" s="76" t="s">
        <v>66</v>
      </c>
      <c r="BX12" s="40"/>
    </row>
    <row r="13" spans="1:76" s="3" customFormat="1" ht="246.5" hidden="1" x14ac:dyDescent="0.35">
      <c r="A13" s="297">
        <v>7</v>
      </c>
      <c r="B13" s="528"/>
      <c r="C13" s="360" t="s">
        <v>586</v>
      </c>
      <c r="D13" s="197" t="s">
        <v>587</v>
      </c>
      <c r="E13" s="87" t="s">
        <v>127</v>
      </c>
      <c r="F13" s="117">
        <v>100</v>
      </c>
      <c r="G13" s="8"/>
      <c r="H13" s="12"/>
      <c r="I13" s="8"/>
      <c r="J13" s="8"/>
      <c r="K13" s="8"/>
      <c r="L13" s="12"/>
      <c r="M13" s="10"/>
      <c r="N13" s="13"/>
      <c r="O13" s="30"/>
      <c r="P13" s="12"/>
      <c r="Q13" s="13"/>
      <c r="R13" s="13"/>
      <c r="S13" s="13"/>
      <c r="T13" s="13"/>
      <c r="U13" s="13"/>
      <c r="V13" s="13"/>
      <c r="W13" s="13"/>
      <c r="X13" s="13"/>
      <c r="Y13" s="13"/>
      <c r="Z13" s="13"/>
      <c r="AA13" s="12"/>
      <c r="AB13" s="12"/>
      <c r="AC13" s="13"/>
      <c r="AD13" s="13"/>
      <c r="AE13" s="13"/>
      <c r="AF13" s="13"/>
      <c r="AG13" s="13"/>
      <c r="AH13" s="13"/>
      <c r="AI13" s="12"/>
      <c r="AJ13" s="12"/>
      <c r="AK13" s="13"/>
      <c r="AL13" s="13"/>
      <c r="AM13" s="12"/>
      <c r="AN13" s="12"/>
      <c r="AO13" s="10"/>
      <c r="AP13" s="8"/>
      <c r="AQ13" s="8"/>
      <c r="AR13" s="8"/>
      <c r="AS13" s="101"/>
      <c r="AT13" s="101"/>
      <c r="AU13" s="101"/>
      <c r="AV13" s="101"/>
      <c r="AW13" s="189">
        <v>53550</v>
      </c>
      <c r="AX13" s="331">
        <v>83300</v>
      </c>
      <c r="AY13" s="189">
        <v>79000</v>
      </c>
      <c r="AZ13" s="101"/>
      <c r="BA13" s="101"/>
      <c r="BB13" s="331">
        <v>77350</v>
      </c>
      <c r="BC13" s="101"/>
      <c r="BD13" s="101"/>
      <c r="BE13" s="101"/>
      <c r="BF13" s="101"/>
      <c r="BG13" s="101"/>
      <c r="BH13" s="101"/>
      <c r="BI13" s="101"/>
      <c r="BJ13" s="101"/>
      <c r="BK13" s="101"/>
      <c r="BL13" s="101"/>
      <c r="BM13" s="101"/>
      <c r="BN13" s="101"/>
      <c r="BO13" s="63">
        <f>MEDIAN(AW13,AX13,AY13,BB13)</f>
        <v>78175</v>
      </c>
      <c r="BP13" s="63">
        <f>AVERAGE(AW13,AX13,AY13,BB13)</f>
        <v>73300</v>
      </c>
      <c r="BQ13" s="64">
        <f>STDEV(AW13,AX13,AY13,BB13)</f>
        <v>13403.419961586918</v>
      </c>
      <c r="BR13" s="65">
        <f t="shared" si="0"/>
        <v>0.18285702539682017</v>
      </c>
      <c r="BS13" s="88">
        <f t="shared" si="1"/>
        <v>65693.277310924372</v>
      </c>
      <c r="BT13" s="88">
        <f t="shared" si="2"/>
        <v>12481.72268907563</v>
      </c>
      <c r="BU13" s="74">
        <f t="shared" si="3"/>
        <v>78175</v>
      </c>
      <c r="BV13" s="75">
        <f t="shared" si="4"/>
        <v>7817500</v>
      </c>
      <c r="BW13" s="76" t="s">
        <v>66</v>
      </c>
      <c r="BX13" s="40"/>
    </row>
    <row r="14" spans="1:76" ht="171" customHeight="1" x14ac:dyDescent="0.35">
      <c r="A14" s="298">
        <v>8</v>
      </c>
      <c r="B14" s="528"/>
      <c r="C14" s="360" t="s">
        <v>581</v>
      </c>
      <c r="D14" s="197" t="s">
        <v>582</v>
      </c>
      <c r="E14" s="87" t="s">
        <v>127</v>
      </c>
      <c r="F14" s="115">
        <v>100</v>
      </c>
      <c r="G14" s="8"/>
      <c r="H14" s="12"/>
      <c r="I14" s="8"/>
      <c r="J14" s="12"/>
      <c r="K14" s="8"/>
      <c r="L14" s="10"/>
      <c r="M14" s="10"/>
      <c r="N14" s="13"/>
      <c r="O14" s="30"/>
      <c r="P14" s="13"/>
      <c r="Q14" s="13"/>
      <c r="R14" s="13"/>
      <c r="S14" s="13"/>
      <c r="T14" s="13"/>
      <c r="U14" s="13"/>
      <c r="V14" s="13"/>
      <c r="W14" s="13"/>
      <c r="X14" s="13"/>
      <c r="Y14" s="13"/>
      <c r="Z14" s="13"/>
      <c r="AA14" s="13"/>
      <c r="AB14" s="13"/>
      <c r="AC14" s="13"/>
      <c r="AD14" s="13"/>
      <c r="AE14" s="13"/>
      <c r="AF14" s="13"/>
      <c r="AG14" s="13"/>
      <c r="AH14" s="13"/>
      <c r="AI14" s="13"/>
      <c r="AJ14" s="13"/>
      <c r="AK14" s="13"/>
      <c r="AL14" s="13"/>
      <c r="AM14" s="12"/>
      <c r="AN14" s="12"/>
      <c r="AO14" s="189"/>
      <c r="AP14" s="8"/>
      <c r="AQ14" s="8"/>
      <c r="AR14" s="8"/>
      <c r="AS14" s="101"/>
      <c r="AT14" s="101"/>
      <c r="AU14" s="101"/>
      <c r="AV14" s="101"/>
      <c r="AW14" s="101"/>
      <c r="AX14" s="331">
        <v>19635</v>
      </c>
      <c r="AY14" s="189"/>
      <c r="AZ14" s="101"/>
      <c r="BA14" s="101"/>
      <c r="BB14" s="101"/>
      <c r="BC14" s="101"/>
      <c r="BD14" s="101"/>
      <c r="BE14" s="101"/>
      <c r="BF14" s="189">
        <v>17900</v>
      </c>
      <c r="BG14" s="34">
        <f>+BF14/1.19</f>
        <v>15042.01680672269</v>
      </c>
      <c r="BH14" s="34">
        <f>+((BG14*36%)+BG14)+5000</f>
        <v>25457.142857142859</v>
      </c>
      <c r="BI14" s="189">
        <v>15400</v>
      </c>
      <c r="BJ14" s="34">
        <f>+BI14/1.19</f>
        <v>12941.176470588236</v>
      </c>
      <c r="BK14" s="34">
        <f>+((BJ14*36%)+BJ14)+5000</f>
        <v>22600</v>
      </c>
      <c r="BL14" s="34"/>
      <c r="BM14" s="34"/>
      <c r="BN14" s="34"/>
      <c r="BO14" s="63">
        <f>MEDIAN(AX14,BH14,BK14)</f>
        <v>22600</v>
      </c>
      <c r="BP14" s="63">
        <f>AVERAGE(AX14,BH14,BK14)</f>
        <v>22564.047619047618</v>
      </c>
      <c r="BQ14" s="64">
        <f>STDEV(AX14,BH14,BK14)</f>
        <v>2911.2379312788826</v>
      </c>
      <c r="BR14" s="65">
        <f t="shared" si="0"/>
        <v>0.12902108612912774</v>
      </c>
      <c r="BS14" s="88">
        <f t="shared" si="1"/>
        <v>18962.18487394958</v>
      </c>
      <c r="BT14" s="88">
        <f t="shared" si="2"/>
        <v>3602.8151260504201</v>
      </c>
      <c r="BU14" s="74">
        <f t="shared" si="3"/>
        <v>22565</v>
      </c>
      <c r="BV14" s="75">
        <f t="shared" si="4"/>
        <v>2256500</v>
      </c>
      <c r="BW14" s="76" t="s">
        <v>1121</v>
      </c>
    </row>
    <row r="15" spans="1:76" ht="58" hidden="1" x14ac:dyDescent="0.35">
      <c r="A15" s="297">
        <v>9</v>
      </c>
      <c r="B15" s="528"/>
      <c r="C15" s="36" t="s">
        <v>473</v>
      </c>
      <c r="D15" s="89" t="s">
        <v>474</v>
      </c>
      <c r="E15" s="38" t="s">
        <v>127</v>
      </c>
      <c r="F15" s="117">
        <v>100</v>
      </c>
      <c r="G15" s="8"/>
      <c r="H15" s="12"/>
      <c r="I15" s="8"/>
      <c r="J15" s="12"/>
      <c r="K15" s="8"/>
      <c r="L15" s="12"/>
      <c r="M15" s="10"/>
      <c r="N15" s="13"/>
      <c r="O15" s="30"/>
      <c r="P15" s="12"/>
      <c r="Q15" s="13"/>
      <c r="R15" s="13"/>
      <c r="S15" s="13"/>
      <c r="T15" s="13"/>
      <c r="U15" s="13"/>
      <c r="V15" s="13"/>
      <c r="W15" s="13"/>
      <c r="X15" s="13"/>
      <c r="Y15" s="13"/>
      <c r="Z15" s="13"/>
      <c r="AA15" s="13"/>
      <c r="AB15" s="13"/>
      <c r="AC15" s="13"/>
      <c r="AD15" s="13"/>
      <c r="AE15" s="13"/>
      <c r="AF15" s="13"/>
      <c r="AG15" s="13"/>
      <c r="AH15" s="13"/>
      <c r="AI15" s="13"/>
      <c r="AJ15" s="13"/>
      <c r="AK15" s="13"/>
      <c r="AL15" s="13"/>
      <c r="AM15" s="12"/>
      <c r="AN15" s="12"/>
      <c r="AO15" s="10"/>
      <c r="AP15" s="8"/>
      <c r="AQ15" s="8"/>
      <c r="AS15" s="8"/>
      <c r="AT15" s="8">
        <v>117215</v>
      </c>
      <c r="AU15" s="8">
        <v>127000</v>
      </c>
      <c r="AV15" s="8"/>
      <c r="AW15" s="8"/>
      <c r="AX15" s="8"/>
      <c r="AY15" s="8"/>
      <c r="AZ15" s="8"/>
      <c r="BA15" s="8"/>
      <c r="BB15" s="8"/>
      <c r="BC15" s="8"/>
      <c r="BD15" s="8"/>
      <c r="BE15" s="8"/>
      <c r="BF15" s="8"/>
      <c r="BG15" s="8"/>
      <c r="BH15" s="8"/>
      <c r="BI15" s="8"/>
      <c r="BJ15" s="8"/>
      <c r="BK15" s="8"/>
      <c r="BL15" s="8"/>
      <c r="BM15" s="8"/>
      <c r="BN15" s="8"/>
      <c r="BO15" s="63">
        <f>MEDIAN(AT15,AU15)</f>
        <v>122107.5</v>
      </c>
      <c r="BP15" s="63">
        <f>AVERAGE(AT15,AU15)</f>
        <v>122107.5</v>
      </c>
      <c r="BQ15" s="64">
        <f>STDEV(AT15,AU15)</f>
        <v>6919.0398539103671</v>
      </c>
      <c r="BR15" s="65">
        <f t="shared" si="0"/>
        <v>5.6663512510782443E-2</v>
      </c>
      <c r="BS15" s="88">
        <f t="shared" si="1"/>
        <v>102611.76470588236</v>
      </c>
      <c r="BT15" s="88">
        <f t="shared" si="2"/>
        <v>19496.23529411765</v>
      </c>
      <c r="BU15" s="74">
        <f t="shared" si="3"/>
        <v>122108</v>
      </c>
      <c r="BV15" s="75">
        <f t="shared" si="4"/>
        <v>12210800</v>
      </c>
      <c r="BW15" s="76" t="s">
        <v>65</v>
      </c>
    </row>
    <row r="16" spans="1:76" s="3" customFormat="1" ht="87.75" customHeight="1" x14ac:dyDescent="0.35">
      <c r="A16" s="297">
        <v>10</v>
      </c>
      <c r="B16" s="529"/>
      <c r="C16" s="210" t="s">
        <v>438</v>
      </c>
      <c r="D16" s="210" t="s">
        <v>1111</v>
      </c>
      <c r="E16" s="38" t="s">
        <v>127</v>
      </c>
      <c r="F16" s="117">
        <v>100</v>
      </c>
      <c r="G16" s="8"/>
      <c r="H16" s="12"/>
      <c r="I16" s="8">
        <v>80000</v>
      </c>
      <c r="J16" s="8">
        <f>+(I16*5.1%)+I16</f>
        <v>84080</v>
      </c>
      <c r="K16" s="8"/>
      <c r="L16" s="8"/>
      <c r="M16" s="8"/>
      <c r="N16" s="12"/>
      <c r="O16" s="31">
        <v>111226.68199999999</v>
      </c>
      <c r="P16" s="13">
        <f>+(O16*5.1%)+O16</f>
        <v>116899.24278199999</v>
      </c>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0"/>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63">
        <f>MEDIAN(J16,P16)</f>
        <v>100489.62139099999</v>
      </c>
      <c r="BP16" s="63">
        <f>AVERAGE(J16,P16)</f>
        <v>100489.62139099999</v>
      </c>
      <c r="BQ16" s="64">
        <f>STDEV(J16,P16)</f>
        <v>23206.709124559773</v>
      </c>
      <c r="BR16" s="65">
        <f t="shared" si="0"/>
        <v>0.23093637734252825</v>
      </c>
      <c r="BS16" s="88">
        <f t="shared" si="1"/>
        <v>84445.378151260506</v>
      </c>
      <c r="BT16" s="88">
        <f t="shared" si="2"/>
        <v>16044.621848739496</v>
      </c>
      <c r="BU16" s="74">
        <f t="shared" si="3"/>
        <v>100490</v>
      </c>
      <c r="BV16" s="75">
        <f t="shared" si="4"/>
        <v>10049000</v>
      </c>
      <c r="BW16" s="76" t="s">
        <v>66</v>
      </c>
      <c r="BX16" s="40"/>
    </row>
    <row r="17" spans="1:76" ht="159.5" hidden="1" x14ac:dyDescent="0.35">
      <c r="A17" s="298">
        <v>11</v>
      </c>
      <c r="B17" s="527" t="s">
        <v>475</v>
      </c>
      <c r="C17" s="360" t="s">
        <v>583</v>
      </c>
      <c r="D17" s="197" t="s">
        <v>584</v>
      </c>
      <c r="E17" s="38" t="s">
        <v>127</v>
      </c>
      <c r="F17" s="115">
        <v>100</v>
      </c>
      <c r="G17" s="12"/>
      <c r="H17" s="12"/>
      <c r="I17" s="12"/>
      <c r="J17" s="13"/>
      <c r="K17" s="12"/>
      <c r="L17" s="13"/>
      <c r="M17" s="12"/>
      <c r="N17" s="12"/>
      <c r="O17" s="30"/>
      <c r="P17" s="13"/>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3"/>
      <c r="AP17" s="13"/>
      <c r="AQ17" s="12"/>
      <c r="AR17" s="12"/>
      <c r="AS17" s="8"/>
      <c r="AT17" s="8"/>
      <c r="AU17" s="8"/>
      <c r="AV17" s="8"/>
      <c r="AW17" s="8"/>
      <c r="AX17" s="8"/>
      <c r="AY17" s="8"/>
      <c r="AZ17" s="8"/>
      <c r="BA17" s="189">
        <v>5200</v>
      </c>
      <c r="BB17" s="331">
        <v>4165</v>
      </c>
      <c r="BC17" s="332">
        <v>5950</v>
      </c>
      <c r="BD17" s="249"/>
      <c r="BE17" s="331">
        <v>3689</v>
      </c>
      <c r="BF17" s="249"/>
      <c r="BG17" s="249"/>
      <c r="BH17" s="249"/>
      <c r="BI17" s="249"/>
      <c r="BJ17" s="249"/>
      <c r="BK17" s="249"/>
      <c r="BL17" s="249"/>
      <c r="BM17" s="249"/>
      <c r="BN17" s="249"/>
      <c r="BO17" s="264">
        <f>MEDIAN(BA17,BB17,BC17,BE17)</f>
        <v>4682.5</v>
      </c>
      <c r="BP17" s="63">
        <f>AVERAGE(BA17,BB17,BC17,BE17)</f>
        <v>4751</v>
      </c>
      <c r="BQ17" s="64">
        <f>STDEV(BA17,BB17,BC17,BE17)</f>
        <v>1018.2406395346828</v>
      </c>
      <c r="BR17" s="65">
        <f t="shared" si="0"/>
        <v>0.21432133014832305</v>
      </c>
      <c r="BS17" s="88">
        <f t="shared" si="1"/>
        <v>3935.294117647059</v>
      </c>
      <c r="BT17" s="88">
        <f t="shared" si="2"/>
        <v>747.70588235294122</v>
      </c>
      <c r="BU17" s="74">
        <f t="shared" si="3"/>
        <v>4683</v>
      </c>
      <c r="BV17" s="75">
        <f t="shared" si="4"/>
        <v>468300</v>
      </c>
      <c r="BW17" s="76" t="s">
        <v>66</v>
      </c>
    </row>
    <row r="18" spans="1:76" s="3" customFormat="1" ht="174" hidden="1" x14ac:dyDescent="0.35">
      <c r="A18" s="297">
        <v>12</v>
      </c>
      <c r="B18" s="528"/>
      <c r="C18" s="360" t="s">
        <v>575</v>
      </c>
      <c r="D18" s="197" t="s">
        <v>576</v>
      </c>
      <c r="E18" s="38" t="s">
        <v>127</v>
      </c>
      <c r="F18" s="117">
        <v>100</v>
      </c>
      <c r="G18" s="8"/>
      <c r="H18" s="12"/>
      <c r="I18" s="8"/>
      <c r="J18" s="12"/>
      <c r="K18" s="57"/>
      <c r="L18" s="57"/>
      <c r="M18" s="8"/>
      <c r="N18" s="12"/>
      <c r="O18" s="31"/>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0"/>
      <c r="AP18" s="8"/>
      <c r="AQ18" s="8"/>
      <c r="AR18" s="54"/>
      <c r="AS18" s="101"/>
      <c r="AT18" s="101"/>
      <c r="AU18" s="101"/>
      <c r="AV18" s="189">
        <v>116263</v>
      </c>
      <c r="AX18" s="331">
        <v>99900.5</v>
      </c>
      <c r="AY18" s="189"/>
      <c r="AZ18" s="101"/>
      <c r="BA18" s="101"/>
      <c r="BB18" s="331">
        <v>166600</v>
      </c>
      <c r="BC18" s="331"/>
      <c r="BD18" s="331"/>
      <c r="BE18" s="331"/>
      <c r="BF18" s="331"/>
      <c r="BG18" s="331"/>
      <c r="BH18" s="331"/>
      <c r="BI18" s="331"/>
      <c r="BJ18" s="331"/>
      <c r="BK18" s="331"/>
      <c r="BL18" s="331"/>
      <c r="BM18" s="331"/>
      <c r="BN18" s="331"/>
      <c r="BO18" s="63">
        <f>MEDIAN(AV18,AX18,AY18,BB18)</f>
        <v>116263</v>
      </c>
      <c r="BP18" s="63">
        <f>AVERAGE(AV18,AX18,AY18,BB18)</f>
        <v>127587.83333333333</v>
      </c>
      <c r="BQ18" s="64">
        <f>STDEV(AV18,AX18,AY18,BB18)</f>
        <v>34761.972219414311</v>
      </c>
      <c r="BR18" s="65">
        <f t="shared" si="0"/>
        <v>0.27245522798867428</v>
      </c>
      <c r="BS18" s="88">
        <f t="shared" si="1"/>
        <v>97700</v>
      </c>
      <c r="BT18" s="88">
        <f t="shared" si="2"/>
        <v>18563</v>
      </c>
      <c r="BU18" s="74">
        <f t="shared" si="3"/>
        <v>116263</v>
      </c>
      <c r="BV18" s="75">
        <f t="shared" si="4"/>
        <v>11626300</v>
      </c>
      <c r="BW18" s="76" t="s">
        <v>66</v>
      </c>
      <c r="BX18" s="40"/>
    </row>
    <row r="19" spans="1:76" s="3" customFormat="1" ht="72.5" hidden="1" x14ac:dyDescent="0.35">
      <c r="A19" s="298">
        <v>13</v>
      </c>
      <c r="B19" s="528"/>
      <c r="C19" s="91" t="s">
        <v>487</v>
      </c>
      <c r="D19" s="89" t="s">
        <v>1065</v>
      </c>
      <c r="E19" s="38" t="s">
        <v>127</v>
      </c>
      <c r="F19" s="117">
        <v>100</v>
      </c>
      <c r="G19" s="8"/>
      <c r="H19" s="12"/>
      <c r="I19" s="8">
        <v>40000</v>
      </c>
      <c r="J19" s="10">
        <f>+(I19*5.1%)+I19</f>
        <v>42040</v>
      </c>
      <c r="K19" s="8">
        <v>33000</v>
      </c>
      <c r="L19" s="10">
        <f>+(K19*5.1%)+K19</f>
        <v>34683</v>
      </c>
      <c r="M19" s="10"/>
      <c r="N19" s="13"/>
      <c r="O19" s="30"/>
      <c r="P19" s="12"/>
      <c r="Q19" s="13"/>
      <c r="R19" s="13"/>
      <c r="S19" s="13"/>
      <c r="T19" s="13"/>
      <c r="U19" s="13"/>
      <c r="V19" s="13"/>
      <c r="W19" s="13"/>
      <c r="X19" s="13"/>
      <c r="Y19" s="13"/>
      <c r="Z19" s="13"/>
      <c r="AA19" s="13"/>
      <c r="AB19" s="13"/>
      <c r="AC19" s="13"/>
      <c r="AD19" s="13"/>
      <c r="AE19" s="13"/>
      <c r="AF19" s="13"/>
      <c r="AG19" s="13"/>
      <c r="AH19" s="13"/>
      <c r="AI19" s="13"/>
      <c r="AJ19" s="13"/>
      <c r="AK19" s="13"/>
      <c r="AL19" s="13"/>
      <c r="AM19" s="12"/>
      <c r="AN19" s="12"/>
      <c r="AO19" s="10"/>
      <c r="AP19" s="10"/>
      <c r="AQ19" s="8">
        <v>49900</v>
      </c>
      <c r="AR19" s="10"/>
      <c r="AS19" s="10"/>
      <c r="AT19" s="73"/>
      <c r="AU19" s="10"/>
      <c r="AV19" s="10"/>
      <c r="AW19" s="10"/>
      <c r="AX19" s="10"/>
      <c r="AY19" s="10"/>
      <c r="AZ19" s="10"/>
      <c r="BA19" s="10"/>
      <c r="BB19" s="10"/>
      <c r="BC19" s="10"/>
      <c r="BD19" s="10"/>
      <c r="BE19" s="10"/>
      <c r="BF19" s="10"/>
      <c r="BG19" s="10"/>
      <c r="BH19" s="10"/>
      <c r="BI19" s="10"/>
      <c r="BJ19" s="10"/>
      <c r="BK19" s="10"/>
      <c r="BL19" s="10"/>
      <c r="BM19" s="10"/>
      <c r="BN19" s="10"/>
      <c r="BO19" s="63">
        <f>MEDIAN(J19,L19,AQ19)</f>
        <v>42040</v>
      </c>
      <c r="BP19" s="63">
        <f>AVERAGE(J19,L19,AQ19)</f>
        <v>42207.666666666664</v>
      </c>
      <c r="BQ19" s="64">
        <f>STDEV(J19,L19,AQ19)</f>
        <v>7609.8854349676967</v>
      </c>
      <c r="BR19" s="65">
        <f t="shared" si="0"/>
        <v>0.1802962834943343</v>
      </c>
      <c r="BS19" s="88">
        <f t="shared" si="1"/>
        <v>35327.731092436974</v>
      </c>
      <c r="BT19" s="88">
        <f t="shared" si="2"/>
        <v>6712.2689075630251</v>
      </c>
      <c r="BU19" s="74">
        <f t="shared" si="3"/>
        <v>42040</v>
      </c>
      <c r="BV19" s="75">
        <f t="shared" si="4"/>
        <v>4204000</v>
      </c>
      <c r="BW19" s="76" t="s">
        <v>66</v>
      </c>
      <c r="BX19" s="40"/>
    </row>
    <row r="20" spans="1:76" s="3" customFormat="1" ht="87" hidden="1" x14ac:dyDescent="0.35">
      <c r="A20" s="297">
        <v>14</v>
      </c>
      <c r="B20" s="528"/>
      <c r="C20" s="36" t="s">
        <v>469</v>
      </c>
      <c r="D20" s="89" t="s">
        <v>1066</v>
      </c>
      <c r="E20" s="38" t="s">
        <v>127</v>
      </c>
      <c r="F20" s="117">
        <v>300</v>
      </c>
      <c r="G20" s="8">
        <v>26363.076923076922</v>
      </c>
      <c r="H20" s="8">
        <f>+(G20*5.1%)+G20</f>
        <v>27707.593846153846</v>
      </c>
      <c r="I20" s="8">
        <v>21400</v>
      </c>
      <c r="J20" s="8">
        <f>+(I20*5.1%)+I20</f>
        <v>22491.4</v>
      </c>
      <c r="K20" s="8">
        <v>20751</v>
      </c>
      <c r="L20" s="8">
        <f>+(K20*5.1%)+K20</f>
        <v>21809.300999999999</v>
      </c>
      <c r="M20" s="8"/>
      <c r="N20" s="13"/>
      <c r="O20" s="31"/>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0"/>
      <c r="AP20" s="10"/>
      <c r="AQ20" s="8"/>
      <c r="AR20" s="103"/>
      <c r="AS20" s="101"/>
      <c r="AT20" s="101"/>
      <c r="AU20" s="106"/>
      <c r="AV20" s="106"/>
      <c r="AW20" s="106"/>
      <c r="AX20" s="106"/>
      <c r="AY20" s="106"/>
      <c r="AZ20" s="106"/>
      <c r="BA20" s="106"/>
      <c r="BB20" s="106"/>
      <c r="BC20" s="106"/>
      <c r="BD20" s="106"/>
      <c r="BE20" s="106"/>
      <c r="BF20" s="106"/>
      <c r="BG20" s="106"/>
      <c r="BH20" s="106"/>
      <c r="BI20" s="106"/>
      <c r="BJ20" s="106"/>
      <c r="BK20" s="106"/>
      <c r="BL20" s="106"/>
      <c r="BM20" s="106"/>
      <c r="BN20" s="106"/>
      <c r="BO20" s="63">
        <f>MEDIAN(H20,J20,L20)</f>
        <v>22491.4</v>
      </c>
      <c r="BP20" s="63">
        <f>AVERAGE(H20,J20,L20)</f>
        <v>24002.764948717948</v>
      </c>
      <c r="BQ20" s="64">
        <f>STDEV(H20,J20,L20)</f>
        <v>3226.5511976268558</v>
      </c>
      <c r="BR20" s="65">
        <f t="shared" si="0"/>
        <v>0.13442414673977776</v>
      </c>
      <c r="BS20" s="88">
        <f t="shared" si="1"/>
        <v>20170.588235294119</v>
      </c>
      <c r="BT20" s="88">
        <f t="shared" si="2"/>
        <v>3832.4117647058824</v>
      </c>
      <c r="BU20" s="74">
        <f t="shared" si="3"/>
        <v>24003</v>
      </c>
      <c r="BV20" s="75">
        <f t="shared" si="4"/>
        <v>7200900</v>
      </c>
      <c r="BW20" s="76" t="s">
        <v>65</v>
      </c>
      <c r="BX20" s="40"/>
    </row>
    <row r="21" spans="1:76" s="3" customFormat="1" ht="87" hidden="1" x14ac:dyDescent="0.35">
      <c r="A21" s="297">
        <v>15</v>
      </c>
      <c r="B21" s="528"/>
      <c r="C21" s="36" t="s">
        <v>470</v>
      </c>
      <c r="D21" s="93" t="s">
        <v>1055</v>
      </c>
      <c r="E21" s="38" t="s">
        <v>127</v>
      </c>
      <c r="F21" s="117">
        <v>301</v>
      </c>
      <c r="G21" s="8"/>
      <c r="H21" s="12"/>
      <c r="I21" s="8"/>
      <c r="J21" s="12"/>
      <c r="K21" s="8"/>
      <c r="L21" s="12"/>
      <c r="M21" s="10"/>
      <c r="N21" s="13"/>
      <c r="O21" s="30"/>
      <c r="P21" s="12"/>
      <c r="Q21" s="13"/>
      <c r="R21" s="13"/>
      <c r="S21" s="13"/>
      <c r="T21" s="13"/>
      <c r="U21" s="13"/>
      <c r="V21" s="13"/>
      <c r="W21" s="13"/>
      <c r="X21" s="13"/>
      <c r="Y21" s="13"/>
      <c r="Z21" s="13"/>
      <c r="AA21" s="13"/>
      <c r="AB21" s="13"/>
      <c r="AC21" s="13"/>
      <c r="AD21" s="13"/>
      <c r="AE21" s="13"/>
      <c r="AF21" s="13"/>
      <c r="AG21" s="13"/>
      <c r="AH21" s="13"/>
      <c r="AI21" s="13"/>
      <c r="AJ21" s="13"/>
      <c r="AK21" s="13"/>
      <c r="AL21" s="13"/>
      <c r="AM21" s="12"/>
      <c r="AN21" s="12"/>
      <c r="AO21" s="10"/>
      <c r="AP21" s="8"/>
      <c r="AQ21" s="8"/>
      <c r="AR21" s="8"/>
      <c r="AS21" s="8"/>
      <c r="AT21" s="8">
        <v>10000</v>
      </c>
      <c r="AU21" s="8">
        <v>12000</v>
      </c>
      <c r="AV21" s="8"/>
      <c r="AW21" s="8"/>
      <c r="AX21" s="8"/>
      <c r="AY21" s="8"/>
      <c r="AZ21" s="8"/>
      <c r="BA21" s="8"/>
      <c r="BB21" s="8"/>
      <c r="BC21" s="8"/>
      <c r="BD21" s="8"/>
      <c r="BE21" s="8"/>
      <c r="BF21" s="8"/>
      <c r="BG21" s="8"/>
      <c r="BH21" s="8"/>
      <c r="BI21" s="8"/>
      <c r="BJ21" s="8"/>
      <c r="BK21" s="8"/>
      <c r="BL21" s="8"/>
      <c r="BM21" s="8"/>
      <c r="BN21" s="8"/>
      <c r="BO21" s="63">
        <f>MEDIAN(AO21,AT21,AU21)</f>
        <v>11000</v>
      </c>
      <c r="BP21" s="63">
        <f>AVERAGE(AO21,AT21,AU21)</f>
        <v>11000</v>
      </c>
      <c r="BQ21" s="64">
        <f>STDEV(AO21,AT21,AU21)</f>
        <v>1414.2135623730951</v>
      </c>
      <c r="BR21" s="65">
        <f t="shared" si="0"/>
        <v>0.12856486930664501</v>
      </c>
      <c r="BS21" s="88">
        <f t="shared" si="1"/>
        <v>9243.6974789915967</v>
      </c>
      <c r="BT21" s="88">
        <f t="shared" si="2"/>
        <v>1756.3025210084033</v>
      </c>
      <c r="BU21" s="74">
        <f t="shared" si="3"/>
        <v>11000</v>
      </c>
      <c r="BV21" s="75">
        <f t="shared" si="4"/>
        <v>3311000</v>
      </c>
      <c r="BW21" s="76" t="s">
        <v>65</v>
      </c>
      <c r="BX21" s="40"/>
    </row>
    <row r="22" spans="1:76" s="3" customFormat="1" ht="29" hidden="1" x14ac:dyDescent="0.35">
      <c r="A22" s="298">
        <v>16</v>
      </c>
      <c r="B22" s="528"/>
      <c r="C22" s="38" t="s">
        <v>471</v>
      </c>
      <c r="D22" s="89" t="s">
        <v>472</v>
      </c>
      <c r="E22" s="38" t="s">
        <v>127</v>
      </c>
      <c r="F22" s="117">
        <v>50</v>
      </c>
      <c r="G22" s="8"/>
      <c r="H22" s="12"/>
      <c r="I22" s="8"/>
      <c r="J22" s="12"/>
      <c r="K22" s="8">
        <v>6600</v>
      </c>
      <c r="L22" s="8">
        <f>+(K22*5.1%)+K22</f>
        <v>6936.6</v>
      </c>
      <c r="M22" s="8"/>
      <c r="N22" s="12"/>
      <c r="O22" s="31">
        <v>4914.7</v>
      </c>
      <c r="P22" s="12">
        <f>+(O22*5.1%)+O22</f>
        <v>5165.3496999999998</v>
      </c>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0"/>
      <c r="AP22" s="8"/>
      <c r="AQ22" s="8"/>
      <c r="AR22" s="103"/>
      <c r="AS22" s="101"/>
      <c r="AT22" s="101"/>
      <c r="AU22" s="101"/>
      <c r="AV22" s="101"/>
      <c r="AW22" s="101"/>
      <c r="AX22" s="101"/>
      <c r="AY22" s="101"/>
      <c r="AZ22" s="101"/>
      <c r="BA22" s="101"/>
      <c r="BB22" s="101"/>
      <c r="BC22" s="101"/>
      <c r="BD22" s="101"/>
      <c r="BE22" s="101"/>
      <c r="BF22" s="101"/>
      <c r="BG22" s="101"/>
      <c r="BH22" s="101"/>
      <c r="BI22" s="101"/>
      <c r="BJ22" s="101"/>
      <c r="BK22" s="101"/>
      <c r="BL22" s="101"/>
      <c r="BM22" s="101"/>
      <c r="BN22" s="101"/>
      <c r="BO22" s="63">
        <f>MEDIAN(L22,P22)</f>
        <v>6050.9748500000005</v>
      </c>
      <c r="BP22" s="63">
        <f>AVERAGE(L22,P22)</f>
        <v>6050.9748500000005</v>
      </c>
      <c r="BQ22" s="64">
        <f>STDEV(L22,P22)</f>
        <v>1252.463098308697</v>
      </c>
      <c r="BR22" s="65">
        <f t="shared" si="0"/>
        <v>0.20698534192530926</v>
      </c>
      <c r="BS22" s="88">
        <f t="shared" si="1"/>
        <v>5084.8739495798318</v>
      </c>
      <c r="BT22" s="88">
        <f t="shared" si="2"/>
        <v>966.1260504201681</v>
      </c>
      <c r="BU22" s="74">
        <f t="shared" si="3"/>
        <v>6051</v>
      </c>
      <c r="BV22" s="75">
        <f t="shared" si="4"/>
        <v>302550</v>
      </c>
      <c r="BW22" s="76" t="s">
        <v>66</v>
      </c>
      <c r="BX22" s="40"/>
    </row>
    <row r="23" spans="1:76" ht="246.5" hidden="1" x14ac:dyDescent="0.35">
      <c r="A23" s="297">
        <v>17</v>
      </c>
      <c r="B23" s="528"/>
      <c r="C23" s="360" t="s">
        <v>586</v>
      </c>
      <c r="D23" s="197" t="s">
        <v>587</v>
      </c>
      <c r="E23" s="38" t="s">
        <v>127</v>
      </c>
      <c r="F23" s="115">
        <v>100</v>
      </c>
      <c r="G23" s="8"/>
      <c r="H23" s="12"/>
      <c r="I23" s="8"/>
      <c r="J23" s="8"/>
      <c r="K23" s="8"/>
      <c r="L23" s="12"/>
      <c r="M23" s="10"/>
      <c r="N23" s="13"/>
      <c r="O23" s="30"/>
      <c r="P23" s="12"/>
      <c r="Q23" s="13"/>
      <c r="R23" s="13"/>
      <c r="S23" s="13"/>
      <c r="T23" s="13"/>
      <c r="U23" s="13"/>
      <c r="V23" s="13"/>
      <c r="W23" s="13"/>
      <c r="X23" s="13"/>
      <c r="Y23" s="13"/>
      <c r="Z23" s="13"/>
      <c r="AA23" s="12"/>
      <c r="AB23" s="12"/>
      <c r="AC23" s="13"/>
      <c r="AD23" s="13"/>
      <c r="AE23" s="13"/>
      <c r="AF23" s="13"/>
      <c r="AG23" s="13"/>
      <c r="AH23" s="13"/>
      <c r="AI23" s="12"/>
      <c r="AJ23" s="12"/>
      <c r="AK23" s="13"/>
      <c r="AL23" s="13"/>
      <c r="AM23" s="12"/>
      <c r="AN23" s="12"/>
      <c r="AO23" s="10"/>
      <c r="AP23" s="8"/>
      <c r="AQ23" s="8"/>
      <c r="AR23" s="8"/>
      <c r="AS23" s="101"/>
      <c r="AT23" s="101"/>
      <c r="AU23" s="101"/>
      <c r="AV23" s="101"/>
      <c r="AW23" s="189">
        <v>53550</v>
      </c>
      <c r="AX23" s="331">
        <v>83300</v>
      </c>
      <c r="AY23" s="189">
        <v>79000</v>
      </c>
      <c r="AZ23" s="101"/>
      <c r="BA23" s="101"/>
      <c r="BB23" s="331">
        <v>77350</v>
      </c>
      <c r="BC23" s="101"/>
      <c r="BD23" s="101"/>
      <c r="BE23" s="101"/>
      <c r="BF23" s="101"/>
      <c r="BG23" s="101"/>
      <c r="BH23" s="101"/>
      <c r="BI23" s="101"/>
      <c r="BJ23" s="101"/>
      <c r="BK23" s="101"/>
      <c r="BL23" s="101"/>
      <c r="BM23" s="101"/>
      <c r="BN23" s="101"/>
      <c r="BO23" s="63">
        <f>MEDIAN(AW23,AX23,AY23,BB23)</f>
        <v>78175</v>
      </c>
      <c r="BP23" s="63">
        <f>AVERAGE(AW23,AX23,AY23,BB23)</f>
        <v>73300</v>
      </c>
      <c r="BQ23" s="64">
        <f>STDEV(AW23,AX23,AY23,BB23)</f>
        <v>13403.419961586918</v>
      </c>
      <c r="BR23" s="65">
        <f t="shared" si="0"/>
        <v>0.18285702539682017</v>
      </c>
      <c r="BS23" s="88">
        <f t="shared" si="1"/>
        <v>65693.277310924372</v>
      </c>
      <c r="BT23" s="88">
        <f t="shared" si="2"/>
        <v>12481.72268907563</v>
      </c>
      <c r="BU23" s="74">
        <f t="shared" si="3"/>
        <v>78175</v>
      </c>
      <c r="BV23" s="75">
        <f t="shared" si="4"/>
        <v>7817500</v>
      </c>
      <c r="BW23" s="76" t="s">
        <v>66</v>
      </c>
    </row>
    <row r="24" spans="1:76" ht="130.5" x14ac:dyDescent="0.35">
      <c r="A24" s="297">
        <v>18</v>
      </c>
      <c r="B24" s="528"/>
      <c r="C24" s="360" t="s">
        <v>581</v>
      </c>
      <c r="D24" s="197" t="s">
        <v>582</v>
      </c>
      <c r="E24" s="38" t="s">
        <v>127</v>
      </c>
      <c r="F24" s="115">
        <v>300</v>
      </c>
      <c r="G24" s="8"/>
      <c r="H24" s="12"/>
      <c r="I24" s="8"/>
      <c r="J24" s="12"/>
      <c r="K24" s="8"/>
      <c r="L24" s="10"/>
      <c r="M24" s="10"/>
      <c r="N24" s="13"/>
      <c r="O24" s="30"/>
      <c r="P24" s="13"/>
      <c r="Q24" s="13"/>
      <c r="R24" s="13"/>
      <c r="S24" s="13"/>
      <c r="T24" s="13"/>
      <c r="U24" s="13"/>
      <c r="V24" s="13"/>
      <c r="W24" s="13"/>
      <c r="X24" s="13"/>
      <c r="Y24" s="13"/>
      <c r="Z24" s="13"/>
      <c r="AA24" s="13"/>
      <c r="AB24" s="13"/>
      <c r="AC24" s="13"/>
      <c r="AD24" s="13"/>
      <c r="AE24" s="13"/>
      <c r="AF24" s="13"/>
      <c r="AG24" s="13"/>
      <c r="AH24" s="13"/>
      <c r="AI24" s="13"/>
      <c r="AJ24" s="13"/>
      <c r="AK24" s="13"/>
      <c r="AL24" s="13"/>
      <c r="AM24" s="12"/>
      <c r="AN24" s="12"/>
      <c r="AO24" s="189"/>
      <c r="AP24" s="8"/>
      <c r="AQ24" s="8"/>
      <c r="AR24" s="8"/>
      <c r="AS24" s="101"/>
      <c r="AT24" s="101"/>
      <c r="AU24" s="101"/>
      <c r="AV24" s="101"/>
      <c r="AW24" s="101"/>
      <c r="AX24" s="331">
        <v>19635</v>
      </c>
      <c r="AY24" s="189"/>
      <c r="AZ24" s="101"/>
      <c r="BA24" s="101"/>
      <c r="BB24" s="101"/>
      <c r="BC24" s="101"/>
      <c r="BD24" s="101"/>
      <c r="BE24" s="101"/>
      <c r="BF24" s="189">
        <v>17900</v>
      </c>
      <c r="BG24" s="34">
        <f>+BF24/1.19</f>
        <v>15042.01680672269</v>
      </c>
      <c r="BH24" s="34">
        <f>+((BG24*36%)+BG24)+5000</f>
        <v>25457.142857142859</v>
      </c>
      <c r="BI24" s="189">
        <v>15400</v>
      </c>
      <c r="BJ24" s="34">
        <f>+BI24/1.19</f>
        <v>12941.176470588236</v>
      </c>
      <c r="BK24" s="34">
        <f>+((BJ24*36%)+BJ24)+5000</f>
        <v>22600</v>
      </c>
      <c r="BL24" s="34"/>
      <c r="BM24" s="34"/>
      <c r="BN24" s="34"/>
      <c r="BO24" s="63">
        <f>MEDIAN(AX24,BH24,BK24)</f>
        <v>22600</v>
      </c>
      <c r="BP24" s="63">
        <f>AVERAGE(AX24,BH24,BK24)</f>
        <v>22564.047619047618</v>
      </c>
      <c r="BQ24" s="64">
        <f>STDEV(AX24,BH24,BK24)</f>
        <v>2911.2379312788826</v>
      </c>
      <c r="BR24" s="65">
        <f t="shared" si="0"/>
        <v>0.12902108612912774</v>
      </c>
      <c r="BS24" s="88">
        <f t="shared" si="1"/>
        <v>18962.18487394958</v>
      </c>
      <c r="BT24" s="88">
        <f t="shared" si="2"/>
        <v>3602.8151260504201</v>
      </c>
      <c r="BU24" s="74">
        <f t="shared" si="3"/>
        <v>22565</v>
      </c>
      <c r="BV24" s="75">
        <f t="shared" si="4"/>
        <v>6769500</v>
      </c>
      <c r="BW24" s="76" t="s">
        <v>1121</v>
      </c>
    </row>
    <row r="25" spans="1:76" ht="58" hidden="1" x14ac:dyDescent="0.35">
      <c r="A25" s="298">
        <v>19</v>
      </c>
      <c r="B25" s="528"/>
      <c r="C25" s="36" t="s">
        <v>473</v>
      </c>
      <c r="D25" s="89" t="s">
        <v>474</v>
      </c>
      <c r="E25" s="38" t="s">
        <v>127</v>
      </c>
      <c r="F25" s="117">
        <v>500</v>
      </c>
      <c r="G25" s="8"/>
      <c r="H25" s="12"/>
      <c r="I25" s="8"/>
      <c r="J25" s="12"/>
      <c r="K25" s="8"/>
      <c r="L25" s="12"/>
      <c r="M25" s="10"/>
      <c r="N25" s="13"/>
      <c r="O25" s="30"/>
      <c r="P25" s="12"/>
      <c r="Q25" s="13"/>
      <c r="R25" s="13"/>
      <c r="S25" s="13"/>
      <c r="T25" s="13"/>
      <c r="U25" s="13"/>
      <c r="V25" s="13"/>
      <c r="W25" s="13"/>
      <c r="X25" s="13"/>
      <c r="Y25" s="13"/>
      <c r="Z25" s="13"/>
      <c r="AA25" s="13"/>
      <c r="AB25" s="13"/>
      <c r="AC25" s="13"/>
      <c r="AD25" s="13"/>
      <c r="AE25" s="13"/>
      <c r="AF25" s="13"/>
      <c r="AG25" s="13"/>
      <c r="AH25" s="13"/>
      <c r="AI25" s="13"/>
      <c r="AJ25" s="13"/>
      <c r="AK25" s="13"/>
      <c r="AL25" s="13"/>
      <c r="AM25" s="12"/>
      <c r="AN25" s="12"/>
      <c r="AO25" s="10"/>
      <c r="AP25" s="8"/>
      <c r="AQ25" s="8"/>
      <c r="AR25" s="103"/>
      <c r="AS25" s="8"/>
      <c r="AT25" s="8">
        <v>117215</v>
      </c>
      <c r="AU25" s="8">
        <v>127000</v>
      </c>
      <c r="AV25" s="8"/>
      <c r="AW25" s="8"/>
      <c r="AX25" s="8"/>
      <c r="AY25" s="8"/>
      <c r="AZ25" s="8"/>
      <c r="BA25" s="8"/>
      <c r="BB25" s="8"/>
      <c r="BC25" s="8"/>
      <c r="BD25" s="8"/>
      <c r="BE25" s="8"/>
      <c r="BF25" s="8"/>
      <c r="BG25" s="8"/>
      <c r="BH25" s="8"/>
      <c r="BI25" s="8"/>
      <c r="BJ25" s="8"/>
      <c r="BK25" s="8"/>
      <c r="BL25" s="8"/>
      <c r="BM25" s="8"/>
      <c r="BN25" s="8"/>
      <c r="BO25" s="63">
        <f>MEDIAN(AT25,AU25)</f>
        <v>122107.5</v>
      </c>
      <c r="BP25" s="63">
        <f>AVERAGE(AT25,AU25)</f>
        <v>122107.5</v>
      </c>
      <c r="BQ25" s="64">
        <f>STDEV(AT25,AU25)</f>
        <v>6919.0398539103671</v>
      </c>
      <c r="BR25" s="65">
        <f t="shared" si="0"/>
        <v>5.6663512510782443E-2</v>
      </c>
      <c r="BS25" s="88">
        <f t="shared" si="1"/>
        <v>102611.76470588236</v>
      </c>
      <c r="BT25" s="88">
        <f t="shared" si="2"/>
        <v>19496.23529411765</v>
      </c>
      <c r="BU25" s="74">
        <f t="shared" si="3"/>
        <v>122108</v>
      </c>
      <c r="BV25" s="75">
        <f t="shared" si="4"/>
        <v>61054000</v>
      </c>
      <c r="BW25" s="76" t="s">
        <v>65</v>
      </c>
    </row>
    <row r="26" spans="1:76" s="3" customFormat="1" ht="101.5" x14ac:dyDescent="0.35">
      <c r="A26" s="297">
        <v>20</v>
      </c>
      <c r="B26" s="529"/>
      <c r="C26" s="210" t="s">
        <v>438</v>
      </c>
      <c r="D26" s="210" t="s">
        <v>1111</v>
      </c>
      <c r="E26" s="38" t="s">
        <v>127</v>
      </c>
      <c r="F26" s="115">
        <v>100</v>
      </c>
      <c r="G26" s="8"/>
      <c r="H26" s="12"/>
      <c r="I26" s="8">
        <v>80000</v>
      </c>
      <c r="J26" s="8">
        <f>+(I26*5.1%)+I26</f>
        <v>84080</v>
      </c>
      <c r="K26" s="8"/>
      <c r="L26" s="8"/>
      <c r="M26" s="8"/>
      <c r="N26" s="12"/>
      <c r="O26" s="31">
        <v>111226.68199999999</v>
      </c>
      <c r="P26" s="13">
        <f>+(O26*5.1%)+O26</f>
        <v>116899.24278199999</v>
      </c>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0"/>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63">
        <f>MEDIAN(J26,P26)</f>
        <v>100489.62139099999</v>
      </c>
      <c r="BP26" s="63">
        <f>AVERAGE(J26,P26)</f>
        <v>100489.62139099999</v>
      </c>
      <c r="BQ26" s="64">
        <f>STDEV(J26,P26)</f>
        <v>23206.709124559773</v>
      </c>
      <c r="BR26" s="65">
        <f t="shared" si="0"/>
        <v>0.23093637734252825</v>
      </c>
      <c r="BS26" s="88">
        <f t="shared" si="1"/>
        <v>84445.378151260506</v>
      </c>
      <c r="BT26" s="88">
        <f t="shared" si="2"/>
        <v>16044.621848739496</v>
      </c>
      <c r="BU26" s="74">
        <f t="shared" si="3"/>
        <v>100490</v>
      </c>
      <c r="BV26" s="75">
        <f t="shared" si="4"/>
        <v>10049000</v>
      </c>
      <c r="BW26" s="76" t="s">
        <v>66</v>
      </c>
      <c r="BX26" s="40"/>
    </row>
    <row r="27" spans="1:76" s="3" customFormat="1" ht="42.75" customHeight="1" x14ac:dyDescent="0.35">
      <c r="A27" s="298">
        <v>21</v>
      </c>
      <c r="B27" s="527" t="s">
        <v>476</v>
      </c>
      <c r="C27" s="38" t="s">
        <v>477</v>
      </c>
      <c r="D27" s="93" t="s">
        <v>478</v>
      </c>
      <c r="E27" s="38" t="s">
        <v>127</v>
      </c>
      <c r="F27" s="117">
        <v>10</v>
      </c>
      <c r="G27" s="8">
        <v>549230.76923076913</v>
      </c>
      <c r="H27" s="8">
        <f>+(G27*5.1%)+G27</f>
        <v>577241.53846153838</v>
      </c>
      <c r="I27" s="8"/>
      <c r="J27" s="8"/>
      <c r="K27" s="8"/>
      <c r="L27" s="8"/>
      <c r="M27" s="8"/>
      <c r="N27" s="12"/>
      <c r="O27" s="31"/>
      <c r="P27" s="13"/>
      <c r="Q27" s="12">
        <v>378000</v>
      </c>
      <c r="R27" s="12">
        <f>+(Q27*5.1%)+Q27</f>
        <v>397278</v>
      </c>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63">
        <f>MEDIAN(H27,R27)</f>
        <v>487259.76923076919</v>
      </c>
      <c r="BP27" s="63">
        <f>AVERAGE(H27,R27)</f>
        <v>487259.76923076919</v>
      </c>
      <c r="BQ27" s="64">
        <f>STDEV(H27,R27)</f>
        <v>127253.43841247971</v>
      </c>
      <c r="BR27" s="65">
        <f t="shared" si="0"/>
        <v>0.26116138956715657</v>
      </c>
      <c r="BS27" s="88">
        <f t="shared" si="1"/>
        <v>409462.18487394962</v>
      </c>
      <c r="BT27" s="88">
        <f t="shared" si="2"/>
        <v>77797.815126050424</v>
      </c>
      <c r="BU27" s="74">
        <f t="shared" si="3"/>
        <v>487260</v>
      </c>
      <c r="BV27" s="75">
        <f t="shared" si="4"/>
        <v>4872600</v>
      </c>
      <c r="BW27" s="76" t="s">
        <v>66</v>
      </c>
      <c r="BX27" s="40"/>
    </row>
    <row r="28" spans="1:76" s="3" customFormat="1" ht="29" hidden="1" x14ac:dyDescent="0.35">
      <c r="A28" s="297">
        <v>22</v>
      </c>
      <c r="B28" s="528"/>
      <c r="C28" s="38" t="s">
        <v>479</v>
      </c>
      <c r="D28" s="94" t="s">
        <v>480</v>
      </c>
      <c r="E28" s="38" t="s">
        <v>127</v>
      </c>
      <c r="F28" s="117">
        <v>10</v>
      </c>
      <c r="G28" s="8"/>
      <c r="H28" s="8"/>
      <c r="I28" s="8"/>
      <c r="J28" s="8"/>
      <c r="K28" s="8"/>
      <c r="L28" s="8"/>
      <c r="M28" s="8"/>
      <c r="N28" s="12"/>
      <c r="O28" s="31">
        <v>540617</v>
      </c>
      <c r="P28" s="13">
        <f>+(O28*5.1%)+O28</f>
        <v>568188.46699999995</v>
      </c>
      <c r="Q28" s="12">
        <v>491400</v>
      </c>
      <c r="R28" s="12">
        <f>+(Q28*5.1%)+Q28</f>
        <v>516461.4</v>
      </c>
      <c r="S28" s="12"/>
      <c r="T28" s="12"/>
      <c r="U28" s="12"/>
      <c r="V28" s="12"/>
      <c r="W28" s="12"/>
      <c r="X28" s="12"/>
      <c r="Y28" s="12"/>
      <c r="Z28" s="12"/>
      <c r="AA28" s="12"/>
      <c r="AB28" s="12"/>
      <c r="AC28" s="12"/>
      <c r="AD28" s="12"/>
      <c r="AE28" s="12"/>
      <c r="AF28" s="12"/>
      <c r="AG28" s="12"/>
      <c r="AH28" s="12"/>
      <c r="AI28" s="12"/>
      <c r="AJ28" s="12"/>
      <c r="AK28" s="12"/>
      <c r="AL28" s="12"/>
      <c r="AM28" s="12"/>
      <c r="AN28" s="12"/>
      <c r="AO28" s="8"/>
      <c r="AP28" s="8"/>
      <c r="AQ28" s="8"/>
      <c r="AR28" s="8"/>
      <c r="AS28" s="8"/>
      <c r="AT28" s="8"/>
      <c r="AU28" s="8"/>
      <c r="AV28" s="8"/>
      <c r="AW28" s="8"/>
      <c r="AX28" s="8"/>
      <c r="AY28" s="8"/>
      <c r="AZ28" s="8"/>
      <c r="BA28" s="8"/>
      <c r="BB28" s="8"/>
      <c r="BC28" s="8"/>
      <c r="BD28" s="8"/>
      <c r="BE28" s="8"/>
      <c r="BF28" s="8"/>
      <c r="BG28" s="8"/>
      <c r="BH28" s="8"/>
      <c r="BI28" s="8"/>
      <c r="BJ28" s="103"/>
      <c r="BK28" s="8"/>
      <c r="BL28" s="8"/>
      <c r="BM28" s="8"/>
      <c r="BN28" s="8"/>
      <c r="BO28" s="63">
        <f>MEDIAN(P28,R28)</f>
        <v>542324.93350000004</v>
      </c>
      <c r="BP28" s="63">
        <f>AVERAGE(P28,R28)</f>
        <v>542324.93350000004</v>
      </c>
      <c r="BQ28" s="64">
        <f>STDEV(P28,R28)</f>
        <v>36576.559846590826</v>
      </c>
      <c r="BR28" s="65">
        <f t="shared" si="0"/>
        <v>6.744399452655965E-2</v>
      </c>
      <c r="BS28" s="88">
        <f t="shared" si="1"/>
        <v>455735.29411764711</v>
      </c>
      <c r="BT28" s="88">
        <f t="shared" si="2"/>
        <v>86589.705882352951</v>
      </c>
      <c r="BU28" s="74">
        <f t="shared" si="3"/>
        <v>542325</v>
      </c>
      <c r="BV28" s="75">
        <f t="shared" si="4"/>
        <v>5423250</v>
      </c>
      <c r="BW28" s="76" t="s">
        <v>65</v>
      </c>
      <c r="BX28" s="40"/>
    </row>
    <row r="29" spans="1:76" ht="29" hidden="1" x14ac:dyDescent="0.35">
      <c r="A29" s="297">
        <v>23</v>
      </c>
      <c r="B29" s="528"/>
      <c r="C29" s="36" t="s">
        <v>481</v>
      </c>
      <c r="D29" s="89" t="s">
        <v>482</v>
      </c>
      <c r="E29" s="87" t="s">
        <v>127</v>
      </c>
      <c r="F29" s="115">
        <v>10</v>
      </c>
      <c r="G29" s="8"/>
      <c r="H29" s="8"/>
      <c r="I29" s="8">
        <v>38000</v>
      </c>
      <c r="J29" s="10">
        <f>+(I29*5.1%)+I29</f>
        <v>39938</v>
      </c>
      <c r="K29" s="8">
        <v>31500</v>
      </c>
      <c r="L29" s="10">
        <f>+(K29*5.1%)+K29</f>
        <v>33106.5</v>
      </c>
      <c r="M29" s="10"/>
      <c r="N29" s="13"/>
      <c r="O29" s="30">
        <v>37772.979999999996</v>
      </c>
      <c r="P29" s="13">
        <f>+(O29*5.1%)+O29</f>
        <v>39699.401979999995</v>
      </c>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8"/>
      <c r="AR29" s="8"/>
      <c r="AS29" s="90"/>
      <c r="AT29" s="102"/>
      <c r="AU29" s="102"/>
      <c r="AV29" s="102"/>
      <c r="AW29" s="102"/>
      <c r="AX29" s="102"/>
      <c r="AY29" s="102"/>
      <c r="AZ29" s="102"/>
      <c r="BA29" s="102"/>
      <c r="BB29" s="102"/>
      <c r="BC29" s="102"/>
      <c r="BD29" s="102"/>
      <c r="BE29" s="102"/>
      <c r="BF29" s="102"/>
      <c r="BG29" s="102"/>
      <c r="BH29" s="102"/>
      <c r="BI29" s="102"/>
      <c r="BJ29" s="102"/>
      <c r="BK29" s="101"/>
      <c r="BL29" s="101"/>
      <c r="BM29" s="101"/>
      <c r="BN29" s="101"/>
      <c r="BO29" s="63">
        <f>MEDIAN(J29,L29,P29)</f>
        <v>39699.401979999995</v>
      </c>
      <c r="BP29" s="63">
        <f>AVERAGE(J29,L29,P29)</f>
        <v>37581.300660000001</v>
      </c>
      <c r="BQ29" s="64">
        <f>STDEV(J29,L29,P29)</f>
        <v>3877.1268955038468</v>
      </c>
      <c r="BR29" s="65">
        <f t="shared" si="0"/>
        <v>0.10316638401050611</v>
      </c>
      <c r="BS29" s="88">
        <f t="shared" si="1"/>
        <v>31581.512605042019</v>
      </c>
      <c r="BT29" s="88">
        <f t="shared" si="2"/>
        <v>6000.4873949579833</v>
      </c>
      <c r="BU29" s="74">
        <f t="shared" si="3"/>
        <v>37582</v>
      </c>
      <c r="BV29" s="75">
        <f t="shared" si="4"/>
        <v>375820</v>
      </c>
      <c r="BW29" s="76" t="s">
        <v>65</v>
      </c>
    </row>
    <row r="30" spans="1:76" s="3" customFormat="1" ht="29" hidden="1" x14ac:dyDescent="0.35">
      <c r="A30" s="298">
        <v>24</v>
      </c>
      <c r="B30" s="528"/>
      <c r="C30" s="38" t="s">
        <v>471</v>
      </c>
      <c r="D30" s="89" t="s">
        <v>472</v>
      </c>
      <c r="E30" s="38" t="s">
        <v>127</v>
      </c>
      <c r="F30" s="117">
        <v>20</v>
      </c>
      <c r="G30" s="8"/>
      <c r="H30" s="12"/>
      <c r="I30" s="8"/>
      <c r="J30" s="12"/>
      <c r="K30" s="8">
        <v>6600</v>
      </c>
      <c r="L30" s="8">
        <f>+(K30*5.1%)+K30</f>
        <v>6936.6</v>
      </c>
      <c r="M30" s="8"/>
      <c r="N30" s="12"/>
      <c r="O30" s="31">
        <v>4914.7</v>
      </c>
      <c r="P30" s="12">
        <f>+(O30*5.1%)+O30</f>
        <v>5165.3496999999998</v>
      </c>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0"/>
      <c r="AP30" s="8"/>
      <c r="AQ30" s="8"/>
      <c r="AR30" s="8"/>
      <c r="AS30" s="104"/>
      <c r="AT30" s="101"/>
      <c r="AU30" s="101"/>
      <c r="AV30" s="101"/>
      <c r="AW30" s="101"/>
      <c r="AX30" s="101"/>
      <c r="AY30" s="101"/>
      <c r="AZ30" s="101"/>
      <c r="BA30" s="101"/>
      <c r="BB30" s="101"/>
      <c r="BC30" s="101"/>
      <c r="BD30" s="101"/>
      <c r="BE30" s="101"/>
      <c r="BF30" s="101"/>
      <c r="BG30" s="101"/>
      <c r="BH30" s="101"/>
      <c r="BI30" s="101"/>
      <c r="BJ30" s="374"/>
      <c r="BK30" s="101"/>
      <c r="BL30" s="101"/>
      <c r="BM30" s="101"/>
      <c r="BN30" s="101"/>
      <c r="BO30" s="63">
        <f>MEDIAN(L30,P30)</f>
        <v>6050.9748500000005</v>
      </c>
      <c r="BP30" s="63">
        <f>AVERAGE(L30,P30)</f>
        <v>6050.9748500000005</v>
      </c>
      <c r="BQ30" s="64">
        <f>STDEV(L30,P30)</f>
        <v>1252.463098308697</v>
      </c>
      <c r="BR30" s="65">
        <f t="shared" si="0"/>
        <v>0.20698534192530926</v>
      </c>
      <c r="BS30" s="88">
        <f t="shared" si="1"/>
        <v>5084.8739495798318</v>
      </c>
      <c r="BT30" s="88">
        <f t="shared" si="2"/>
        <v>966.1260504201681</v>
      </c>
      <c r="BU30" s="74">
        <f t="shared" si="3"/>
        <v>6051</v>
      </c>
      <c r="BV30" s="75">
        <f t="shared" si="4"/>
        <v>121020</v>
      </c>
      <c r="BW30" s="76" t="s">
        <v>66</v>
      </c>
      <c r="BX30" s="40"/>
    </row>
    <row r="31" spans="1:76" ht="159.5" hidden="1" x14ac:dyDescent="0.35">
      <c r="A31" s="297">
        <v>25</v>
      </c>
      <c r="B31" s="528"/>
      <c r="C31" s="360" t="s">
        <v>583</v>
      </c>
      <c r="D31" s="197" t="s">
        <v>584</v>
      </c>
      <c r="E31" s="38" t="s">
        <v>127</v>
      </c>
      <c r="F31" s="115">
        <v>20</v>
      </c>
      <c r="G31" s="12"/>
      <c r="H31" s="12"/>
      <c r="I31" s="12"/>
      <c r="J31" s="13"/>
      <c r="K31" s="12"/>
      <c r="L31" s="13"/>
      <c r="M31" s="12"/>
      <c r="N31" s="12"/>
      <c r="O31" s="30"/>
      <c r="P31" s="13"/>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3"/>
      <c r="AP31" s="13"/>
      <c r="AQ31" s="12"/>
      <c r="AR31" s="12"/>
      <c r="AS31" s="8"/>
      <c r="AT31" s="8"/>
      <c r="AU31" s="8"/>
      <c r="AV31" s="8"/>
      <c r="AW31" s="8"/>
      <c r="AX31" s="8"/>
      <c r="AY31" s="8"/>
      <c r="AZ31" s="8"/>
      <c r="BA31" s="189">
        <v>5200</v>
      </c>
      <c r="BB31" s="331">
        <v>4165</v>
      </c>
      <c r="BC31" s="332">
        <v>5950</v>
      </c>
      <c r="BD31" s="249"/>
      <c r="BE31" s="331">
        <v>3689</v>
      </c>
      <c r="BF31" s="249"/>
      <c r="BG31" s="249"/>
      <c r="BH31" s="249"/>
      <c r="BI31" s="249"/>
      <c r="BJ31" s="375"/>
      <c r="BK31" s="37"/>
      <c r="BL31" s="37"/>
      <c r="BM31" s="37"/>
      <c r="BN31" s="37"/>
      <c r="BO31" s="264">
        <f>MEDIAN(BA31,BB31,BC31,BE31)</f>
        <v>4682.5</v>
      </c>
      <c r="BP31" s="63">
        <f>AVERAGE(BA31,BB31,BC31,BE31)</f>
        <v>4751</v>
      </c>
      <c r="BQ31" s="64">
        <f>STDEV(BA31,BB31,BC31,BE31)</f>
        <v>1018.2406395346828</v>
      </c>
      <c r="BR31" s="65">
        <f t="shared" si="0"/>
        <v>0.21432133014832305</v>
      </c>
      <c r="BS31" s="88">
        <f t="shared" si="1"/>
        <v>3935.294117647059</v>
      </c>
      <c r="BT31" s="88">
        <f t="shared" si="2"/>
        <v>747.70588235294122</v>
      </c>
      <c r="BU31" s="74">
        <f t="shared" si="3"/>
        <v>4683</v>
      </c>
      <c r="BV31" s="75">
        <f t="shared" si="4"/>
        <v>93660</v>
      </c>
      <c r="BW31" s="76" t="s">
        <v>66</v>
      </c>
    </row>
    <row r="32" spans="1:76" s="3" customFormat="1" ht="101.5" hidden="1" x14ac:dyDescent="0.35">
      <c r="A32" s="297">
        <v>26</v>
      </c>
      <c r="B32" s="528"/>
      <c r="C32" s="38" t="s">
        <v>483</v>
      </c>
      <c r="D32" s="93" t="s">
        <v>484</v>
      </c>
      <c r="E32" s="38" t="s">
        <v>127</v>
      </c>
      <c r="F32" s="117">
        <v>6</v>
      </c>
      <c r="G32" s="8"/>
      <c r="H32" s="12"/>
      <c r="I32" s="8"/>
      <c r="J32" s="12"/>
      <c r="K32" s="8"/>
      <c r="L32" s="12"/>
      <c r="M32" s="8"/>
      <c r="N32" s="12"/>
      <c r="O32" s="31">
        <v>56027.579999999994</v>
      </c>
      <c r="P32" s="12">
        <f>+(O32*5.1%)+O32</f>
        <v>58884.986579999997</v>
      </c>
      <c r="Q32" s="12"/>
      <c r="R32" s="12"/>
      <c r="S32" s="12">
        <v>64800</v>
      </c>
      <c r="T32" s="12">
        <f>+(S32*5.1%)+S32</f>
        <v>68104.800000000003</v>
      </c>
      <c r="U32" s="12"/>
      <c r="V32" s="12"/>
      <c r="W32" s="12"/>
      <c r="X32" s="12"/>
      <c r="Y32" s="12"/>
      <c r="Z32" s="12"/>
      <c r="AA32" s="12"/>
      <c r="AB32" s="12"/>
      <c r="AC32" s="12"/>
      <c r="AD32" s="12"/>
      <c r="AE32" s="12"/>
      <c r="AF32" s="12"/>
      <c r="AG32" s="12"/>
      <c r="AH32" s="12"/>
      <c r="AI32" s="12"/>
      <c r="AJ32" s="12"/>
      <c r="AK32" s="12"/>
      <c r="AL32" s="12"/>
      <c r="AM32" s="12"/>
      <c r="AN32" s="12"/>
      <c r="AO32" s="10"/>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63">
        <f>MEDIAN(P32,T32)</f>
        <v>63494.89329</v>
      </c>
      <c r="BP32" s="63">
        <f>AVERAGE(P32,T32)</f>
        <v>63494.89329</v>
      </c>
      <c r="BQ32" s="64">
        <f>STDEV(P32,T32)</f>
        <v>6519.3925905567385</v>
      </c>
      <c r="BR32" s="65">
        <f t="shared" si="0"/>
        <v>0.10267585710839358</v>
      </c>
      <c r="BS32" s="88">
        <f t="shared" si="1"/>
        <v>53357.142857142862</v>
      </c>
      <c r="BT32" s="88">
        <f t="shared" si="2"/>
        <v>10137.857142857143</v>
      </c>
      <c r="BU32" s="74">
        <f t="shared" si="3"/>
        <v>63495</v>
      </c>
      <c r="BV32" s="75">
        <f t="shared" si="4"/>
        <v>380970</v>
      </c>
      <c r="BW32" s="76" t="s">
        <v>65</v>
      </c>
      <c r="BX32" s="40"/>
    </row>
    <row r="33" spans="1:87" s="3" customFormat="1" ht="246.5" hidden="1" x14ac:dyDescent="0.35">
      <c r="A33" s="298">
        <v>27</v>
      </c>
      <c r="B33" s="528"/>
      <c r="C33" s="360" t="s">
        <v>586</v>
      </c>
      <c r="D33" s="197" t="s">
        <v>587</v>
      </c>
      <c r="E33" s="38" t="s">
        <v>127</v>
      </c>
      <c r="F33" s="117">
        <v>6</v>
      </c>
      <c r="G33" s="8"/>
      <c r="H33" s="12"/>
      <c r="I33" s="8"/>
      <c r="J33" s="8"/>
      <c r="K33" s="8"/>
      <c r="L33" s="12"/>
      <c r="M33" s="10"/>
      <c r="N33" s="13"/>
      <c r="O33" s="30"/>
      <c r="P33" s="12"/>
      <c r="Q33" s="13"/>
      <c r="R33" s="13"/>
      <c r="S33" s="13"/>
      <c r="T33" s="13"/>
      <c r="U33" s="13"/>
      <c r="V33" s="13"/>
      <c r="W33" s="13"/>
      <c r="X33" s="13"/>
      <c r="Y33" s="13"/>
      <c r="Z33" s="13"/>
      <c r="AA33" s="12"/>
      <c r="AB33" s="12"/>
      <c r="AC33" s="13"/>
      <c r="AD33" s="13"/>
      <c r="AE33" s="13"/>
      <c r="AF33" s="13"/>
      <c r="AG33" s="13"/>
      <c r="AH33" s="13"/>
      <c r="AI33" s="12"/>
      <c r="AJ33" s="12"/>
      <c r="AK33" s="13"/>
      <c r="AL33" s="13"/>
      <c r="AM33" s="12"/>
      <c r="AN33" s="12"/>
      <c r="AO33" s="10"/>
      <c r="AP33" s="8"/>
      <c r="AQ33" s="8"/>
      <c r="AR33" s="8"/>
      <c r="AS33" s="101"/>
      <c r="AT33" s="101"/>
      <c r="AU33" s="101"/>
      <c r="AV33" s="101"/>
      <c r="AW33" s="189">
        <v>53550</v>
      </c>
      <c r="AX33" s="331">
        <v>83300</v>
      </c>
      <c r="AY33" s="189">
        <v>79000</v>
      </c>
      <c r="AZ33" s="101"/>
      <c r="BA33" s="101"/>
      <c r="BB33" s="331">
        <v>77350</v>
      </c>
      <c r="BC33" s="101"/>
      <c r="BD33" s="101"/>
      <c r="BE33" s="101"/>
      <c r="BF33" s="101"/>
      <c r="BG33" s="101"/>
      <c r="BH33" s="101"/>
      <c r="BI33" s="101"/>
      <c r="BJ33" s="101"/>
      <c r="BK33" s="101"/>
      <c r="BL33" s="101"/>
      <c r="BM33" s="101"/>
      <c r="BN33" s="101"/>
      <c r="BO33" s="63">
        <f>MEDIAN(AW33,AX33,AY33,BB33)</f>
        <v>78175</v>
      </c>
      <c r="BP33" s="63">
        <f>AVERAGE(AW33,AX33,AY33,BB33)</f>
        <v>73300</v>
      </c>
      <c r="BQ33" s="64">
        <f>STDEV(AW33,AX33,AY33,BB33)</f>
        <v>13403.419961586918</v>
      </c>
      <c r="BR33" s="65">
        <f t="shared" si="0"/>
        <v>0.18285702539682017</v>
      </c>
      <c r="BS33" s="88">
        <f t="shared" si="1"/>
        <v>65693.277310924372</v>
      </c>
      <c r="BT33" s="88">
        <f t="shared" si="2"/>
        <v>12481.72268907563</v>
      </c>
      <c r="BU33" s="74">
        <f t="shared" si="3"/>
        <v>78175</v>
      </c>
      <c r="BV33" s="75">
        <f t="shared" si="4"/>
        <v>469050</v>
      </c>
      <c r="BW33" s="76" t="s">
        <v>66</v>
      </c>
      <c r="BX33" s="40"/>
    </row>
    <row r="34" spans="1:87" s="3" customFormat="1" ht="93" hidden="1" customHeight="1" x14ac:dyDescent="0.35">
      <c r="A34" s="297">
        <v>28</v>
      </c>
      <c r="B34" s="529"/>
      <c r="C34" s="38" t="s">
        <v>485</v>
      </c>
      <c r="D34" s="93" t="s">
        <v>1045</v>
      </c>
      <c r="E34" s="38" t="s">
        <v>127</v>
      </c>
      <c r="F34" s="115">
        <v>50</v>
      </c>
      <c r="G34" s="8"/>
      <c r="H34" s="12"/>
      <c r="I34" s="8"/>
      <c r="J34" s="12"/>
      <c r="K34" s="8"/>
      <c r="L34" s="12"/>
      <c r="M34" s="8"/>
      <c r="N34" s="13"/>
      <c r="O34" s="31"/>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8"/>
      <c r="AP34" s="8"/>
      <c r="AQ34" s="8"/>
      <c r="AR34" s="8"/>
      <c r="AS34" s="8"/>
      <c r="AT34" s="8">
        <v>157080</v>
      </c>
      <c r="AU34" s="12">
        <v>160000</v>
      </c>
      <c r="AV34" s="12"/>
      <c r="AW34" s="12"/>
      <c r="AX34" s="12"/>
      <c r="AY34" s="12"/>
      <c r="AZ34" s="12"/>
      <c r="BA34" s="12"/>
      <c r="BB34" s="12"/>
      <c r="BC34" s="12"/>
      <c r="BD34" s="12"/>
      <c r="BE34" s="12"/>
      <c r="BF34" s="12"/>
      <c r="BG34" s="12"/>
      <c r="BH34" s="12"/>
      <c r="BI34" s="12"/>
      <c r="BJ34" s="12"/>
      <c r="BK34" s="12"/>
      <c r="BL34" s="12"/>
      <c r="BM34" s="12"/>
      <c r="BN34" s="12"/>
      <c r="BO34" s="63">
        <f>MEDIAN(AT34,AU34)</f>
        <v>158540</v>
      </c>
      <c r="BP34" s="63">
        <f>AVERAGE(AT34,AU34)</f>
        <v>158540</v>
      </c>
      <c r="BQ34" s="64">
        <f>STDEV(AT34,AU34)</f>
        <v>2064.7518010647186</v>
      </c>
      <c r="BR34" s="65">
        <f t="shared" si="0"/>
        <v>1.3023538545885699E-2</v>
      </c>
      <c r="BS34" s="88">
        <f t="shared" si="1"/>
        <v>133226.89075630251</v>
      </c>
      <c r="BT34" s="88">
        <f t="shared" si="2"/>
        <v>25313.10924369748</v>
      </c>
      <c r="BU34" s="74">
        <f t="shared" si="3"/>
        <v>158540</v>
      </c>
      <c r="BV34" s="75">
        <f t="shared" si="4"/>
        <v>7927000</v>
      </c>
      <c r="BW34" s="76" t="s">
        <v>65</v>
      </c>
      <c r="BX34" s="40"/>
    </row>
    <row r="35" spans="1:87" ht="31.5" hidden="1" customHeight="1" x14ac:dyDescent="0.35">
      <c r="A35" s="298">
        <v>29</v>
      </c>
      <c r="B35" s="530" t="s">
        <v>486</v>
      </c>
      <c r="C35" s="360" t="s">
        <v>583</v>
      </c>
      <c r="D35" s="197" t="s">
        <v>584</v>
      </c>
      <c r="E35" s="38" t="s">
        <v>127</v>
      </c>
      <c r="F35" s="117">
        <v>20</v>
      </c>
      <c r="G35" s="12"/>
      <c r="H35" s="12"/>
      <c r="I35" s="12"/>
      <c r="J35" s="13"/>
      <c r="K35" s="12"/>
      <c r="L35" s="13"/>
      <c r="M35" s="12"/>
      <c r="N35" s="12"/>
      <c r="O35" s="30"/>
      <c r="P35" s="13"/>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3"/>
      <c r="AP35" s="13"/>
      <c r="AQ35" s="12"/>
      <c r="AR35" s="12"/>
      <c r="AS35" s="8"/>
      <c r="AT35" s="8"/>
      <c r="AU35" s="8"/>
      <c r="AV35" s="8"/>
      <c r="AW35" s="8"/>
      <c r="AX35" s="8"/>
      <c r="AY35" s="8"/>
      <c r="AZ35" s="8"/>
      <c r="BA35" s="189">
        <v>5200</v>
      </c>
      <c r="BB35" s="331">
        <v>4165</v>
      </c>
      <c r="BC35" s="332">
        <v>5950</v>
      </c>
      <c r="BD35" s="249"/>
      <c r="BE35" s="331">
        <v>3689</v>
      </c>
      <c r="BF35" s="249"/>
      <c r="BG35" s="249"/>
      <c r="BH35" s="249"/>
      <c r="BI35" s="249"/>
      <c r="BJ35" s="249"/>
      <c r="BK35" s="249"/>
      <c r="BL35" s="249"/>
      <c r="BM35" s="249"/>
      <c r="BN35" s="249"/>
      <c r="BO35" s="264">
        <f>MEDIAN(BA35,BB35,BC35,BE35)</f>
        <v>4682.5</v>
      </c>
      <c r="BP35" s="63">
        <f>AVERAGE(BA35,BB35,BC35,BE35)</f>
        <v>4751</v>
      </c>
      <c r="BQ35" s="64">
        <f>STDEV(BA35,BB35,BC35,BE35)</f>
        <v>1018.2406395346828</v>
      </c>
      <c r="BR35" s="65">
        <f t="shared" si="0"/>
        <v>0.21432133014832305</v>
      </c>
      <c r="BS35" s="88">
        <f t="shared" si="1"/>
        <v>3935.294117647059</v>
      </c>
      <c r="BT35" s="88">
        <f t="shared" si="2"/>
        <v>747.70588235294122</v>
      </c>
      <c r="BU35" s="74">
        <f t="shared" si="3"/>
        <v>4683</v>
      </c>
      <c r="BV35" s="75">
        <f t="shared" si="4"/>
        <v>93660</v>
      </c>
      <c r="BW35" s="76" t="s">
        <v>66</v>
      </c>
    </row>
    <row r="36" spans="1:87" ht="72.5" hidden="1" x14ac:dyDescent="0.35">
      <c r="A36" s="297">
        <v>30</v>
      </c>
      <c r="B36" s="531"/>
      <c r="C36" s="91" t="s">
        <v>487</v>
      </c>
      <c r="D36" s="89" t="s">
        <v>1065</v>
      </c>
      <c r="E36" s="38" t="s">
        <v>127</v>
      </c>
      <c r="F36" s="115">
        <v>20</v>
      </c>
      <c r="G36" s="8"/>
      <c r="H36" s="12"/>
      <c r="I36" s="8">
        <v>40000</v>
      </c>
      <c r="J36" s="10">
        <f>+(I36*5.1%)+I36</f>
        <v>42040</v>
      </c>
      <c r="K36" s="8">
        <v>33000</v>
      </c>
      <c r="L36" s="10">
        <f>+(K36*5.1%)+K36</f>
        <v>34683</v>
      </c>
      <c r="M36" s="10"/>
      <c r="N36" s="13"/>
      <c r="O36" s="30"/>
      <c r="P36" s="12"/>
      <c r="Q36" s="13"/>
      <c r="R36" s="13"/>
      <c r="S36" s="13"/>
      <c r="T36" s="13"/>
      <c r="U36" s="13"/>
      <c r="V36" s="13"/>
      <c r="W36" s="13"/>
      <c r="X36" s="13"/>
      <c r="Y36" s="13"/>
      <c r="Z36" s="13"/>
      <c r="AA36" s="13"/>
      <c r="AB36" s="13"/>
      <c r="AC36" s="372"/>
      <c r="AD36" s="372"/>
      <c r="AE36" s="372"/>
      <c r="AF36" s="372"/>
      <c r="AG36" s="372"/>
      <c r="AH36" s="372"/>
      <c r="AI36" s="372"/>
      <c r="AJ36" s="372"/>
      <c r="AK36" s="372"/>
      <c r="AL36" s="372"/>
      <c r="AM36" s="107"/>
      <c r="AN36" s="107"/>
      <c r="AO36" s="373"/>
      <c r="AP36" s="373"/>
      <c r="AQ36" s="53">
        <v>49900</v>
      </c>
      <c r="AR36" s="373"/>
      <c r="AU36" s="373"/>
      <c r="AV36" s="373"/>
      <c r="AW36" s="373"/>
      <c r="AX36" s="373"/>
      <c r="AY36" s="373"/>
      <c r="AZ36" s="373"/>
      <c r="BA36" s="373"/>
      <c r="BB36" s="373"/>
      <c r="BC36" s="373"/>
      <c r="BD36" s="373"/>
      <c r="BE36" s="373"/>
      <c r="BF36" s="373"/>
      <c r="BG36" s="373"/>
      <c r="BH36" s="10"/>
      <c r="BI36" s="10"/>
      <c r="BJ36" s="10"/>
      <c r="BK36" s="10"/>
      <c r="BL36" s="10"/>
      <c r="BM36" s="10"/>
      <c r="BN36" s="10"/>
      <c r="BO36" s="63">
        <f>MEDIAN(J36,L36,AQ36)</f>
        <v>42040</v>
      </c>
      <c r="BP36" s="63">
        <f>AVERAGE(J36,L36,AQ36)</f>
        <v>42207.666666666664</v>
      </c>
      <c r="BQ36" s="64">
        <f>STDEV(J36,L36,AQ36)</f>
        <v>7609.8854349676967</v>
      </c>
      <c r="BR36" s="65">
        <f t="shared" si="0"/>
        <v>0.1802962834943343</v>
      </c>
      <c r="BS36" s="88">
        <f t="shared" si="1"/>
        <v>35327.731092436974</v>
      </c>
      <c r="BT36" s="88">
        <f t="shared" si="2"/>
        <v>6712.2689075630251</v>
      </c>
      <c r="BU36" s="74">
        <f t="shared" si="3"/>
        <v>42040</v>
      </c>
      <c r="BV36" s="75">
        <f t="shared" si="4"/>
        <v>840800</v>
      </c>
      <c r="BW36" s="76" t="s">
        <v>66</v>
      </c>
    </row>
    <row r="37" spans="1:87" ht="87" hidden="1" x14ac:dyDescent="0.35">
      <c r="A37" s="297">
        <v>31</v>
      </c>
      <c r="B37" s="531"/>
      <c r="C37" s="36" t="s">
        <v>469</v>
      </c>
      <c r="D37" s="89" t="s">
        <v>1066</v>
      </c>
      <c r="E37" s="38" t="s">
        <v>127</v>
      </c>
      <c r="F37" s="115">
        <v>30</v>
      </c>
      <c r="G37" s="8">
        <v>26363.076923076922</v>
      </c>
      <c r="H37" s="8">
        <f>+(G37*5.1%)+G37</f>
        <v>27707.593846153846</v>
      </c>
      <c r="I37" s="8">
        <v>21400</v>
      </c>
      <c r="J37" s="8">
        <f>+(I37*5.1%)+I37</f>
        <v>22491.4</v>
      </c>
      <c r="K37" s="8">
        <v>20751</v>
      </c>
      <c r="L37" s="8">
        <f>+(K37*5.1%)+K37</f>
        <v>21809.300999999999</v>
      </c>
      <c r="M37" s="8"/>
      <c r="N37" s="13"/>
      <c r="O37" s="31"/>
      <c r="P37" s="12"/>
      <c r="Q37" s="12"/>
      <c r="R37" s="12"/>
      <c r="S37" s="12"/>
      <c r="T37" s="12"/>
      <c r="U37" s="12"/>
      <c r="V37" s="12"/>
      <c r="W37" s="12"/>
      <c r="X37" s="12"/>
      <c r="Y37" s="12"/>
      <c r="Z37" s="12"/>
      <c r="AA37" s="12"/>
      <c r="AB37" s="12"/>
      <c r="AC37" s="8"/>
      <c r="AD37" s="8"/>
      <c r="AE37" s="8"/>
      <c r="AF37" s="8"/>
      <c r="AG37" s="8"/>
      <c r="AH37" s="8"/>
      <c r="AI37" s="8"/>
      <c r="AJ37" s="8"/>
      <c r="AK37" s="8"/>
      <c r="AL37" s="8"/>
      <c r="AM37" s="8"/>
      <c r="AN37" s="8"/>
      <c r="AO37" s="10"/>
      <c r="AP37" s="10"/>
      <c r="AQ37" s="8"/>
      <c r="AR37" s="8"/>
      <c r="AS37" s="101"/>
      <c r="AT37" s="101"/>
      <c r="AU37" s="101"/>
      <c r="AV37" s="101"/>
      <c r="AW37" s="101"/>
      <c r="AX37" s="101"/>
      <c r="AY37" s="101"/>
      <c r="AZ37" s="101"/>
      <c r="BA37" s="101"/>
      <c r="BB37" s="101"/>
      <c r="BC37" s="101"/>
      <c r="BD37" s="101"/>
      <c r="BE37" s="101"/>
      <c r="BF37" s="101"/>
      <c r="BG37" s="101"/>
      <c r="BH37" s="101"/>
      <c r="BI37" s="101"/>
      <c r="BJ37" s="101"/>
      <c r="BK37" s="101"/>
      <c r="BL37" s="101"/>
      <c r="BM37" s="101"/>
      <c r="BN37" s="101"/>
      <c r="BO37" s="63">
        <f>MEDIAN(H37,J37,L37)</f>
        <v>22491.4</v>
      </c>
      <c r="BP37" s="63">
        <f>AVERAGE(H37,J37,L37)</f>
        <v>24002.764948717948</v>
      </c>
      <c r="BQ37" s="64">
        <f>STDEV(H37,J37,L37)</f>
        <v>3226.5511976268558</v>
      </c>
      <c r="BR37" s="65">
        <f t="shared" si="0"/>
        <v>0.13442414673977776</v>
      </c>
      <c r="BS37" s="88">
        <f t="shared" si="1"/>
        <v>20170.588235294119</v>
      </c>
      <c r="BT37" s="88">
        <f t="shared" si="2"/>
        <v>3832.4117647058824</v>
      </c>
      <c r="BU37" s="74">
        <f t="shared" si="3"/>
        <v>24003</v>
      </c>
      <c r="BV37" s="75">
        <f t="shared" si="4"/>
        <v>720090</v>
      </c>
      <c r="BW37" s="76" t="s">
        <v>65</v>
      </c>
    </row>
    <row r="38" spans="1:87" ht="87" hidden="1" x14ac:dyDescent="0.35">
      <c r="A38" s="298">
        <v>32</v>
      </c>
      <c r="B38" s="531"/>
      <c r="C38" s="36" t="s">
        <v>470</v>
      </c>
      <c r="D38" s="93" t="s">
        <v>1055</v>
      </c>
      <c r="E38" s="38" t="s">
        <v>127</v>
      </c>
      <c r="F38" s="115">
        <v>30</v>
      </c>
      <c r="G38" s="8"/>
      <c r="H38" s="12"/>
      <c r="I38" s="8"/>
      <c r="J38" s="12"/>
      <c r="K38" s="8"/>
      <c r="L38" s="12"/>
      <c r="M38" s="10"/>
      <c r="N38" s="13"/>
      <c r="O38" s="30"/>
      <c r="P38" s="12"/>
      <c r="Q38" s="13"/>
      <c r="R38" s="13"/>
      <c r="S38" s="13"/>
      <c r="T38" s="13"/>
      <c r="U38" s="13"/>
      <c r="V38" s="13"/>
      <c r="W38" s="13"/>
      <c r="X38" s="13"/>
      <c r="Y38" s="13"/>
      <c r="Z38" s="13"/>
      <c r="AA38" s="13"/>
      <c r="AB38" s="13"/>
      <c r="AC38" s="10"/>
      <c r="AD38" s="10"/>
      <c r="AE38" s="10"/>
      <c r="AF38" s="10"/>
      <c r="AG38" s="10"/>
      <c r="AH38" s="10"/>
      <c r="AI38" s="10"/>
      <c r="AJ38" s="10"/>
      <c r="AK38" s="10"/>
      <c r="AL38" s="10"/>
      <c r="AM38" s="8"/>
      <c r="AN38" s="8"/>
      <c r="AO38" s="10"/>
      <c r="AP38" s="8"/>
      <c r="AQ38" s="8"/>
      <c r="AR38" s="8"/>
      <c r="AS38" s="8"/>
      <c r="AT38" s="8">
        <v>10000</v>
      </c>
      <c r="AU38" s="8">
        <v>12000</v>
      </c>
      <c r="AV38" s="8"/>
      <c r="AW38" s="8"/>
      <c r="AX38" s="8"/>
      <c r="AY38" s="8"/>
      <c r="AZ38" s="8"/>
      <c r="BA38" s="8"/>
      <c r="BB38" s="8"/>
      <c r="BC38" s="8"/>
      <c r="BD38" s="8"/>
      <c r="BE38" s="8"/>
      <c r="BF38" s="8"/>
      <c r="BG38" s="8"/>
      <c r="BH38" s="8"/>
      <c r="BI38" s="8"/>
      <c r="BJ38" s="8"/>
      <c r="BK38" s="8"/>
      <c r="BL38" s="8"/>
      <c r="BM38" s="8"/>
      <c r="BN38" s="8"/>
      <c r="BO38" s="63">
        <f>MEDIAN(AO38,AT38,AU38)</f>
        <v>11000</v>
      </c>
      <c r="BP38" s="63">
        <f>AVERAGE(AO38,AT38,AU38)</f>
        <v>11000</v>
      </c>
      <c r="BQ38" s="64">
        <f>STDEV(AO38,AT38,AU38)</f>
        <v>1414.2135623730951</v>
      </c>
      <c r="BR38" s="65">
        <f t="shared" si="0"/>
        <v>0.12856486930664501</v>
      </c>
      <c r="BS38" s="88">
        <f t="shared" si="1"/>
        <v>9243.6974789915967</v>
      </c>
      <c r="BT38" s="88">
        <f t="shared" si="2"/>
        <v>1756.3025210084033</v>
      </c>
      <c r="BU38" s="74">
        <f t="shared" si="3"/>
        <v>11000</v>
      </c>
      <c r="BV38" s="75">
        <f t="shared" si="4"/>
        <v>330000</v>
      </c>
      <c r="BW38" s="76" t="s">
        <v>65</v>
      </c>
    </row>
    <row r="39" spans="1:87" ht="246.5" hidden="1" x14ac:dyDescent="0.35">
      <c r="A39" s="297">
        <v>33</v>
      </c>
      <c r="B39" s="531"/>
      <c r="C39" s="360" t="s">
        <v>586</v>
      </c>
      <c r="D39" s="197" t="s">
        <v>587</v>
      </c>
      <c r="E39" s="87" t="s">
        <v>127</v>
      </c>
      <c r="F39" s="115">
        <v>10</v>
      </c>
      <c r="G39" s="8"/>
      <c r="H39" s="12"/>
      <c r="I39" s="8"/>
      <c r="J39" s="8"/>
      <c r="K39" s="8"/>
      <c r="L39" s="12"/>
      <c r="M39" s="10"/>
      <c r="N39" s="13"/>
      <c r="O39" s="30"/>
      <c r="P39" s="12"/>
      <c r="Q39" s="13"/>
      <c r="R39" s="13"/>
      <c r="S39" s="13"/>
      <c r="T39" s="13"/>
      <c r="U39" s="13"/>
      <c r="V39" s="13"/>
      <c r="W39" s="13"/>
      <c r="X39" s="13"/>
      <c r="Y39" s="13"/>
      <c r="Z39" s="13"/>
      <c r="AA39" s="12"/>
      <c r="AB39" s="12"/>
      <c r="AC39" s="13"/>
      <c r="AD39" s="13"/>
      <c r="AE39" s="13"/>
      <c r="AF39" s="13"/>
      <c r="AG39" s="13"/>
      <c r="AH39" s="13"/>
      <c r="AI39" s="12"/>
      <c r="AJ39" s="12"/>
      <c r="AK39" s="13"/>
      <c r="AL39" s="13"/>
      <c r="AM39" s="12"/>
      <c r="AN39" s="12"/>
      <c r="AO39" s="10"/>
      <c r="AP39" s="8"/>
      <c r="AQ39" s="8"/>
      <c r="AR39" s="8"/>
      <c r="AS39" s="101"/>
      <c r="AT39" s="101"/>
      <c r="AU39" s="101"/>
      <c r="AV39" s="101"/>
      <c r="AW39" s="189">
        <v>53550</v>
      </c>
      <c r="AX39" s="331">
        <v>83300</v>
      </c>
      <c r="AY39" s="189">
        <v>79000</v>
      </c>
      <c r="AZ39" s="101"/>
      <c r="BA39" s="101"/>
      <c r="BB39" s="331">
        <v>77350</v>
      </c>
      <c r="BC39" s="101"/>
      <c r="BD39" s="101"/>
      <c r="BE39" s="101"/>
      <c r="BF39" s="101"/>
      <c r="BG39" s="101"/>
      <c r="BH39" s="101"/>
      <c r="BI39" s="101"/>
      <c r="BJ39" s="101"/>
      <c r="BK39" s="101"/>
      <c r="BL39" s="101"/>
      <c r="BM39" s="101"/>
      <c r="BN39" s="101"/>
      <c r="BO39" s="63">
        <f>MEDIAN(AW39,AX39,AY39,BB39)</f>
        <v>78175</v>
      </c>
      <c r="BP39" s="63">
        <f>AVERAGE(AW39,AX39,AY39,BB39)</f>
        <v>73300</v>
      </c>
      <c r="BQ39" s="64">
        <f>STDEV(AW39,AX39,AY39,BB39)</f>
        <v>13403.419961586918</v>
      </c>
      <c r="BR39" s="65">
        <f t="shared" si="0"/>
        <v>0.18285702539682017</v>
      </c>
      <c r="BS39" s="88">
        <f t="shared" si="1"/>
        <v>65693.277310924372</v>
      </c>
      <c r="BT39" s="88">
        <f t="shared" si="2"/>
        <v>12481.72268907563</v>
      </c>
      <c r="BU39" s="74">
        <f t="shared" si="3"/>
        <v>78175</v>
      </c>
      <c r="BV39" s="75">
        <f t="shared" ref="BV39:BV70" si="5">+BU39*F39</f>
        <v>781750</v>
      </c>
      <c r="BW39" s="76" t="s">
        <v>66</v>
      </c>
      <c r="BX39" s="40"/>
      <c r="BY39" s="3"/>
      <c r="BZ39" s="3"/>
      <c r="CA39" s="3"/>
      <c r="CB39" s="3"/>
      <c r="CC39" s="3"/>
      <c r="CD39" s="3"/>
      <c r="CE39" s="3"/>
      <c r="CF39" s="3"/>
      <c r="CG39" s="3"/>
      <c r="CH39" s="3"/>
      <c r="CI39" s="3"/>
    </row>
    <row r="40" spans="1:87" ht="130.5" x14ac:dyDescent="0.35">
      <c r="A40" s="297">
        <v>34</v>
      </c>
      <c r="B40" s="532"/>
      <c r="C40" s="360" t="s">
        <v>581</v>
      </c>
      <c r="D40" s="197" t="s">
        <v>582</v>
      </c>
      <c r="E40" s="91" t="s">
        <v>127</v>
      </c>
      <c r="F40" s="117">
        <v>50</v>
      </c>
      <c r="G40" s="8"/>
      <c r="H40" s="12"/>
      <c r="I40" s="8"/>
      <c r="J40" s="12"/>
      <c r="K40" s="8"/>
      <c r="L40" s="10"/>
      <c r="M40" s="10"/>
      <c r="N40" s="13"/>
      <c r="O40" s="30"/>
      <c r="P40" s="13"/>
      <c r="Q40" s="13"/>
      <c r="R40" s="13"/>
      <c r="S40" s="13"/>
      <c r="T40" s="13"/>
      <c r="U40" s="13"/>
      <c r="V40" s="13"/>
      <c r="W40" s="13"/>
      <c r="X40" s="13"/>
      <c r="Y40" s="13"/>
      <c r="Z40" s="13"/>
      <c r="AA40" s="13"/>
      <c r="AB40" s="13"/>
      <c r="AC40" s="13"/>
      <c r="AD40" s="13"/>
      <c r="AE40" s="13"/>
      <c r="AF40" s="13"/>
      <c r="AG40" s="13"/>
      <c r="AH40" s="13"/>
      <c r="AI40" s="13"/>
      <c r="AJ40" s="13"/>
      <c r="AK40" s="13"/>
      <c r="AL40" s="13"/>
      <c r="AM40" s="12"/>
      <c r="AN40" s="12"/>
      <c r="AO40" s="189"/>
      <c r="AP40" s="8"/>
      <c r="AQ40" s="8"/>
      <c r="AR40" s="8"/>
      <c r="AS40" s="101"/>
      <c r="AT40" s="101"/>
      <c r="AU40" s="101"/>
      <c r="AV40" s="101"/>
      <c r="AW40" s="101"/>
      <c r="AX40" s="331">
        <v>19635</v>
      </c>
      <c r="AY40" s="189"/>
      <c r="AZ40" s="101"/>
      <c r="BA40" s="101"/>
      <c r="BB40" s="101"/>
      <c r="BC40" s="101"/>
      <c r="BD40" s="101"/>
      <c r="BE40" s="101"/>
      <c r="BF40" s="189">
        <v>17900</v>
      </c>
      <c r="BG40" s="34">
        <f>+BF40/1.19</f>
        <v>15042.01680672269</v>
      </c>
      <c r="BH40" s="34">
        <f>+((BG40*36%)+BG40)+5000</f>
        <v>25457.142857142859</v>
      </c>
      <c r="BI40" s="189">
        <v>15400</v>
      </c>
      <c r="BJ40" s="34">
        <f>+BI40/1.19</f>
        <v>12941.176470588236</v>
      </c>
      <c r="BK40" s="34">
        <f>+((BJ40*36%)+BJ40)+5000</f>
        <v>22600</v>
      </c>
      <c r="BL40" s="34"/>
      <c r="BM40" s="34"/>
      <c r="BN40" s="34"/>
      <c r="BO40" s="63">
        <f>MEDIAN(AX40,BH40,BK40)</f>
        <v>22600</v>
      </c>
      <c r="BP40" s="63">
        <f>AVERAGE(AX40,BH40,BK40)</f>
        <v>22564.047619047618</v>
      </c>
      <c r="BQ40" s="64">
        <f>STDEV(AX40,BH40,BK40)</f>
        <v>2911.2379312788826</v>
      </c>
      <c r="BR40" s="65">
        <f t="shared" si="0"/>
        <v>0.12902108612912774</v>
      </c>
      <c r="BS40" s="88">
        <f t="shared" si="1"/>
        <v>18962.18487394958</v>
      </c>
      <c r="BT40" s="88">
        <f t="shared" si="2"/>
        <v>3602.8151260504201</v>
      </c>
      <c r="BU40" s="74">
        <f t="shared" si="3"/>
        <v>22565</v>
      </c>
      <c r="BV40" s="75">
        <f t="shared" si="5"/>
        <v>1128250</v>
      </c>
      <c r="BW40" s="76" t="s">
        <v>1121</v>
      </c>
    </row>
    <row r="41" spans="1:87" ht="188.5" hidden="1" x14ac:dyDescent="0.35">
      <c r="A41" s="298">
        <v>35</v>
      </c>
      <c r="B41" s="530" t="s">
        <v>488</v>
      </c>
      <c r="C41" s="360" t="s">
        <v>577</v>
      </c>
      <c r="D41" s="197" t="s">
        <v>578</v>
      </c>
      <c r="E41" s="87" t="s">
        <v>127</v>
      </c>
      <c r="F41" s="115">
        <v>30</v>
      </c>
      <c r="G41" s="8">
        <v>91538</v>
      </c>
      <c r="H41" s="8">
        <f>+(G41*5.1%)+G41</f>
        <v>96206.437999999995</v>
      </c>
      <c r="I41" s="10"/>
      <c r="J41" s="10"/>
      <c r="K41" s="10">
        <v>39900</v>
      </c>
      <c r="L41" s="10">
        <f>+(K41*5.1%)+K41</f>
        <v>41934.9</v>
      </c>
      <c r="M41" s="10">
        <v>89900</v>
      </c>
      <c r="N41" s="13">
        <f>+(M41*5.1%)+M41</f>
        <v>94484.9</v>
      </c>
      <c r="O41" s="30"/>
      <c r="P41" s="13"/>
      <c r="Q41" s="13"/>
      <c r="R41" s="13"/>
      <c r="S41" s="13"/>
      <c r="T41" s="13"/>
      <c r="U41" s="13"/>
      <c r="V41" s="13"/>
      <c r="W41" s="13"/>
      <c r="X41" s="13"/>
      <c r="Y41" s="13"/>
      <c r="Z41" s="13"/>
      <c r="AA41" s="13"/>
      <c r="AB41" s="13"/>
      <c r="AC41" s="13"/>
      <c r="AD41" s="13"/>
      <c r="AE41" s="13"/>
      <c r="AF41" s="13"/>
      <c r="AG41" s="13"/>
      <c r="AH41" s="13"/>
      <c r="AI41" s="13"/>
      <c r="AJ41" s="13"/>
      <c r="AK41" s="13"/>
      <c r="AL41" s="13"/>
      <c r="AM41" s="12"/>
      <c r="AN41" s="12"/>
      <c r="AO41" s="10"/>
      <c r="AP41" s="8"/>
      <c r="AQ41" s="8"/>
      <c r="AR41" s="8"/>
      <c r="AS41" s="104"/>
      <c r="AT41" s="101"/>
      <c r="AU41" s="101"/>
      <c r="AV41" s="332">
        <v>232050</v>
      </c>
      <c r="AW41" s="101"/>
      <c r="AX41" s="101"/>
      <c r="AY41" s="189">
        <v>192000</v>
      </c>
      <c r="AZ41" s="189">
        <v>189210</v>
      </c>
      <c r="BA41" s="189">
        <v>130000</v>
      </c>
      <c r="BB41" s="331">
        <v>164220</v>
      </c>
      <c r="BC41" s="331"/>
      <c r="BD41" s="331"/>
      <c r="BE41" s="331"/>
      <c r="BF41" s="331"/>
      <c r="BG41" s="331"/>
      <c r="BH41" s="331"/>
      <c r="BI41" s="331"/>
      <c r="BJ41" s="331"/>
      <c r="BK41" s="331"/>
      <c r="BL41" s="331"/>
      <c r="BM41" s="331"/>
      <c r="BN41" s="331"/>
      <c r="BO41" s="63">
        <f>MEDIAN(AV41,AY41,AZ41,BA41,BB41)</f>
        <v>189210</v>
      </c>
      <c r="BP41" s="63">
        <f>AVERAGE(AV41,AY41,AZ41,BA41,BB41)</f>
        <v>181496</v>
      </c>
      <c r="BQ41" s="64">
        <f>STDEV(AV41,AY41,AZ41,BA41,BB41)</f>
        <v>37669.101794441558</v>
      </c>
      <c r="BR41" s="65">
        <f t="shared" si="0"/>
        <v>0.20754783463239718</v>
      </c>
      <c r="BS41" s="88">
        <f t="shared" si="1"/>
        <v>159000</v>
      </c>
      <c r="BT41" s="88">
        <f t="shared" si="2"/>
        <v>30210</v>
      </c>
      <c r="BU41" s="74">
        <f t="shared" si="3"/>
        <v>189210</v>
      </c>
      <c r="BV41" s="75">
        <f t="shared" si="5"/>
        <v>5676300</v>
      </c>
      <c r="BW41" s="76" t="s">
        <v>65</v>
      </c>
    </row>
    <row r="42" spans="1:87" ht="130.5" x14ac:dyDescent="0.35">
      <c r="A42" s="297">
        <v>36</v>
      </c>
      <c r="B42" s="531"/>
      <c r="C42" s="360" t="s">
        <v>581</v>
      </c>
      <c r="D42" s="197" t="s">
        <v>582</v>
      </c>
      <c r="E42" s="87" t="s">
        <v>127</v>
      </c>
      <c r="F42" s="115">
        <v>20</v>
      </c>
      <c r="G42" s="8"/>
      <c r="H42" s="12"/>
      <c r="I42" s="8"/>
      <c r="J42" s="12"/>
      <c r="K42" s="8"/>
      <c r="L42" s="10"/>
      <c r="M42" s="10"/>
      <c r="N42" s="13"/>
      <c r="O42" s="30"/>
      <c r="P42" s="13"/>
      <c r="Q42" s="13"/>
      <c r="R42" s="13"/>
      <c r="S42" s="13"/>
      <c r="T42" s="13"/>
      <c r="U42" s="13"/>
      <c r="V42" s="13"/>
      <c r="W42" s="13"/>
      <c r="X42" s="13"/>
      <c r="Y42" s="13"/>
      <c r="Z42" s="13"/>
      <c r="AA42" s="13"/>
      <c r="AB42" s="13"/>
      <c r="AC42" s="13"/>
      <c r="AD42" s="13"/>
      <c r="AE42" s="13"/>
      <c r="AF42" s="13"/>
      <c r="AG42" s="13"/>
      <c r="AH42" s="13"/>
      <c r="AI42" s="13"/>
      <c r="AJ42" s="13"/>
      <c r="AK42" s="13"/>
      <c r="AL42" s="13"/>
      <c r="AM42" s="12"/>
      <c r="AN42" s="12"/>
      <c r="AO42" s="189"/>
      <c r="AP42" s="8"/>
      <c r="AQ42" s="8"/>
      <c r="AR42" s="8"/>
      <c r="AS42" s="101"/>
      <c r="AT42" s="101"/>
      <c r="AU42" s="101"/>
      <c r="AV42" s="101"/>
      <c r="AW42" s="101"/>
      <c r="AX42" s="331">
        <v>19635</v>
      </c>
      <c r="AY42" s="189"/>
      <c r="AZ42" s="101"/>
      <c r="BA42" s="101"/>
      <c r="BB42" s="101"/>
      <c r="BC42" s="101"/>
      <c r="BD42" s="101"/>
      <c r="BE42" s="101"/>
      <c r="BF42" s="189">
        <v>17900</v>
      </c>
      <c r="BG42" s="34">
        <f>+BF42/1.19</f>
        <v>15042.01680672269</v>
      </c>
      <c r="BH42" s="34">
        <f>+((BG42*36%)+BG42)+5000</f>
        <v>25457.142857142859</v>
      </c>
      <c r="BI42" s="189">
        <v>15400</v>
      </c>
      <c r="BJ42" s="34">
        <f>+BI42/1.19</f>
        <v>12941.176470588236</v>
      </c>
      <c r="BK42" s="34">
        <f>+((BJ42*36%)+BJ42)+5000</f>
        <v>22600</v>
      </c>
      <c r="BL42" s="34"/>
      <c r="BM42" s="34"/>
      <c r="BN42" s="34"/>
      <c r="BO42" s="63">
        <f>MEDIAN(AX42,BH42,BK42)</f>
        <v>22600</v>
      </c>
      <c r="BP42" s="63">
        <f>AVERAGE(AX42,BH42,BK42)</f>
        <v>22564.047619047618</v>
      </c>
      <c r="BQ42" s="64">
        <f>STDEV(AX42,BH42,BK42)</f>
        <v>2911.2379312788826</v>
      </c>
      <c r="BR42" s="65">
        <f t="shared" si="0"/>
        <v>0.12902108612912774</v>
      </c>
      <c r="BS42" s="88">
        <f t="shared" si="1"/>
        <v>18962.18487394958</v>
      </c>
      <c r="BT42" s="88">
        <f t="shared" si="2"/>
        <v>3602.8151260504201</v>
      </c>
      <c r="BU42" s="74">
        <f t="shared" si="3"/>
        <v>22565</v>
      </c>
      <c r="BV42" s="75">
        <f t="shared" si="5"/>
        <v>451300</v>
      </c>
      <c r="BW42" s="76" t="s">
        <v>1121</v>
      </c>
    </row>
    <row r="43" spans="1:87" ht="83.25" hidden="1" customHeight="1" x14ac:dyDescent="0.35">
      <c r="A43" s="298">
        <v>37</v>
      </c>
      <c r="B43" s="531"/>
      <c r="C43" s="91" t="s">
        <v>487</v>
      </c>
      <c r="D43" s="89" t="s">
        <v>1065</v>
      </c>
      <c r="E43" s="87" t="s">
        <v>127</v>
      </c>
      <c r="F43" s="115">
        <v>5</v>
      </c>
      <c r="G43" s="8"/>
      <c r="H43" s="12"/>
      <c r="I43" s="8">
        <v>40000</v>
      </c>
      <c r="J43" s="10">
        <f>+(I43*5.1%)+I43</f>
        <v>42040</v>
      </c>
      <c r="K43" s="8">
        <v>33000</v>
      </c>
      <c r="L43" s="10">
        <f>+(K43*5.1%)+K43</f>
        <v>34683</v>
      </c>
      <c r="M43" s="10"/>
      <c r="N43" s="13"/>
      <c r="O43" s="30"/>
      <c r="P43" s="12"/>
      <c r="Q43" s="13"/>
      <c r="R43" s="13"/>
      <c r="S43" s="13"/>
      <c r="T43" s="13"/>
      <c r="U43" s="13"/>
      <c r="V43" s="13"/>
      <c r="W43" s="13"/>
      <c r="X43" s="13"/>
      <c r="Y43" s="13"/>
      <c r="Z43" s="13"/>
      <c r="AA43" s="13"/>
      <c r="AB43" s="13"/>
      <c r="AC43" s="13"/>
      <c r="AD43" s="13"/>
      <c r="AE43" s="13"/>
      <c r="AF43" s="13"/>
      <c r="AG43" s="13"/>
      <c r="AH43" s="13"/>
      <c r="AI43" s="13"/>
      <c r="AJ43" s="13"/>
      <c r="AK43" s="13"/>
      <c r="AL43" s="13"/>
      <c r="AM43" s="12"/>
      <c r="AN43" s="12"/>
      <c r="AO43" s="10"/>
      <c r="AP43" s="10"/>
      <c r="AQ43" s="8">
        <v>49900</v>
      </c>
      <c r="AR43" s="10"/>
      <c r="AT43" s="73"/>
      <c r="AU43" s="10"/>
      <c r="AV43" s="10"/>
      <c r="AW43" s="10"/>
      <c r="AX43" s="10"/>
      <c r="AY43" s="10"/>
      <c r="AZ43" s="10"/>
      <c r="BA43" s="10"/>
      <c r="BB43" s="10"/>
      <c r="BC43" s="10"/>
      <c r="BD43" s="10"/>
      <c r="BE43" s="10"/>
      <c r="BF43" s="10"/>
      <c r="BG43" s="10"/>
      <c r="BH43" s="10"/>
      <c r="BI43" s="10"/>
      <c r="BJ43" s="10"/>
      <c r="BK43" s="10"/>
      <c r="BL43" s="10"/>
      <c r="BM43" s="10"/>
      <c r="BN43" s="10"/>
      <c r="BO43" s="63">
        <f>MEDIAN(J43,L43,AQ43)</f>
        <v>42040</v>
      </c>
      <c r="BP43" s="63">
        <f>AVERAGE(J43,L43,AQ43)</f>
        <v>42207.666666666664</v>
      </c>
      <c r="BQ43" s="64">
        <f>STDEV(J43,L43,AQ43)</f>
        <v>7609.8854349676967</v>
      </c>
      <c r="BR43" s="65">
        <f t="shared" si="0"/>
        <v>0.1802962834943343</v>
      </c>
      <c r="BS43" s="88">
        <f t="shared" si="1"/>
        <v>35327.731092436974</v>
      </c>
      <c r="BT43" s="88">
        <f t="shared" si="2"/>
        <v>6712.2689075630251</v>
      </c>
      <c r="BU43" s="74">
        <f t="shared" si="3"/>
        <v>42040</v>
      </c>
      <c r="BV43" s="75">
        <f t="shared" si="5"/>
        <v>210200</v>
      </c>
      <c r="BW43" s="76" t="s">
        <v>66</v>
      </c>
    </row>
    <row r="44" spans="1:87" ht="87" hidden="1" x14ac:dyDescent="0.35">
      <c r="A44" s="297">
        <v>38</v>
      </c>
      <c r="B44" s="531"/>
      <c r="C44" s="36" t="s">
        <v>469</v>
      </c>
      <c r="D44" s="89" t="s">
        <v>1066</v>
      </c>
      <c r="E44" s="87" t="s">
        <v>127</v>
      </c>
      <c r="F44" s="115">
        <v>50</v>
      </c>
      <c r="G44" s="8">
        <v>26363.076923076922</v>
      </c>
      <c r="H44" s="8">
        <f>+(G44*5.1%)+G44</f>
        <v>27707.593846153846</v>
      </c>
      <c r="I44" s="8">
        <v>21400</v>
      </c>
      <c r="J44" s="8">
        <f>+(I44*5.1%)+I44</f>
        <v>22491.4</v>
      </c>
      <c r="K44" s="8">
        <v>20751</v>
      </c>
      <c r="L44" s="8">
        <f>+(K44*5.1%)+K44</f>
        <v>21809.300999999999</v>
      </c>
      <c r="M44" s="8"/>
      <c r="N44" s="13"/>
      <c r="O44" s="31"/>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0"/>
      <c r="AP44" s="10"/>
      <c r="AQ44" s="8"/>
      <c r="AR44" s="8"/>
      <c r="AS44" s="104"/>
      <c r="AT44" s="101"/>
      <c r="AU44" s="106"/>
      <c r="AV44" s="106"/>
      <c r="AW44" s="106"/>
      <c r="AX44" s="106"/>
      <c r="AY44" s="106"/>
      <c r="AZ44" s="106"/>
      <c r="BA44" s="106"/>
      <c r="BB44" s="106"/>
      <c r="BC44" s="106"/>
      <c r="BD44" s="106"/>
      <c r="BE44" s="106"/>
      <c r="BF44" s="106"/>
      <c r="BG44" s="106"/>
      <c r="BH44" s="106"/>
      <c r="BI44" s="106"/>
      <c r="BJ44" s="106"/>
      <c r="BK44" s="106"/>
      <c r="BL44" s="106"/>
      <c r="BM44" s="106"/>
      <c r="BN44" s="106"/>
      <c r="BO44" s="63">
        <f>MEDIAN(H44,J44,L44)</f>
        <v>22491.4</v>
      </c>
      <c r="BP44" s="63">
        <f>AVERAGE(H44,J44,L44)</f>
        <v>24002.764948717948</v>
      </c>
      <c r="BQ44" s="64">
        <f>STDEV(H44,J44,L44)</f>
        <v>3226.5511976268558</v>
      </c>
      <c r="BR44" s="65">
        <f t="shared" si="0"/>
        <v>0.13442414673977776</v>
      </c>
      <c r="BS44" s="88">
        <f t="shared" si="1"/>
        <v>20170.588235294119</v>
      </c>
      <c r="BT44" s="88">
        <f t="shared" si="2"/>
        <v>3832.4117647058824</v>
      </c>
      <c r="BU44" s="74">
        <f t="shared" si="3"/>
        <v>24003</v>
      </c>
      <c r="BV44" s="75">
        <f t="shared" si="5"/>
        <v>1200150</v>
      </c>
      <c r="BW44" s="76" t="s">
        <v>65</v>
      </c>
    </row>
    <row r="45" spans="1:87" ht="87" hidden="1" x14ac:dyDescent="0.35">
      <c r="A45" s="297">
        <v>39</v>
      </c>
      <c r="B45" s="531"/>
      <c r="C45" s="36" t="s">
        <v>470</v>
      </c>
      <c r="D45" s="93" t="s">
        <v>1055</v>
      </c>
      <c r="E45" s="91" t="s">
        <v>127</v>
      </c>
      <c r="F45" s="115">
        <v>50</v>
      </c>
      <c r="G45" s="8"/>
      <c r="H45" s="12"/>
      <c r="I45" s="8"/>
      <c r="J45" s="12"/>
      <c r="K45" s="8"/>
      <c r="L45" s="12"/>
      <c r="M45" s="10"/>
      <c r="N45" s="13"/>
      <c r="O45" s="30"/>
      <c r="P45" s="12"/>
      <c r="Q45" s="13"/>
      <c r="R45" s="13"/>
      <c r="S45" s="13"/>
      <c r="T45" s="13"/>
      <c r="U45" s="13"/>
      <c r="V45" s="13"/>
      <c r="W45" s="13"/>
      <c r="X45" s="13"/>
      <c r="Y45" s="13"/>
      <c r="Z45" s="13"/>
      <c r="AA45" s="13"/>
      <c r="AB45" s="13"/>
      <c r="AC45" s="13"/>
      <c r="AD45" s="13"/>
      <c r="AE45" s="13"/>
      <c r="AF45" s="13"/>
      <c r="AG45" s="13"/>
      <c r="AH45" s="13"/>
      <c r="AI45" s="13"/>
      <c r="AJ45" s="13"/>
      <c r="AK45" s="13"/>
      <c r="AL45" s="13"/>
      <c r="AM45" s="12"/>
      <c r="AN45" s="12"/>
      <c r="AO45" s="10"/>
      <c r="AP45" s="8"/>
      <c r="AQ45" s="8"/>
      <c r="AR45" s="8"/>
      <c r="AS45" s="8"/>
      <c r="AT45" s="8">
        <v>10000</v>
      </c>
      <c r="AU45" s="8">
        <v>12000</v>
      </c>
      <c r="AV45" s="8"/>
      <c r="AW45" s="8"/>
      <c r="AX45" s="8"/>
      <c r="AY45" s="8"/>
      <c r="AZ45" s="8"/>
      <c r="BA45" s="8"/>
      <c r="BB45" s="8"/>
      <c r="BC45" s="8"/>
      <c r="BD45" s="8"/>
      <c r="BE45" s="8"/>
      <c r="BF45" s="8"/>
      <c r="BG45" s="8"/>
      <c r="BH45" s="8"/>
      <c r="BI45" s="8"/>
      <c r="BJ45" s="8"/>
      <c r="BK45" s="8"/>
      <c r="BL45" s="8"/>
      <c r="BM45" s="8"/>
      <c r="BN45" s="8"/>
      <c r="BO45" s="63">
        <f>MEDIAN(AO45,AT45,AU45)</f>
        <v>11000</v>
      </c>
      <c r="BP45" s="63">
        <f>AVERAGE(AO45,AT45,AU45)</f>
        <v>11000</v>
      </c>
      <c r="BQ45" s="64">
        <f>STDEV(AO45,AT45,AU45)</f>
        <v>1414.2135623730951</v>
      </c>
      <c r="BR45" s="65">
        <f t="shared" si="0"/>
        <v>0.12856486930664501</v>
      </c>
      <c r="BS45" s="88">
        <f t="shared" si="1"/>
        <v>9243.6974789915967</v>
      </c>
      <c r="BT45" s="88">
        <f t="shared" si="2"/>
        <v>1756.3025210084033</v>
      </c>
      <c r="BU45" s="74">
        <f t="shared" si="3"/>
        <v>11000</v>
      </c>
      <c r="BV45" s="75">
        <f t="shared" si="5"/>
        <v>550000</v>
      </c>
      <c r="BW45" s="76" t="s">
        <v>65</v>
      </c>
    </row>
    <row r="46" spans="1:87" ht="246.5" hidden="1" x14ac:dyDescent="0.35">
      <c r="A46" s="298">
        <v>40</v>
      </c>
      <c r="B46" s="531"/>
      <c r="C46" s="360" t="s">
        <v>586</v>
      </c>
      <c r="D46" s="197" t="s">
        <v>587</v>
      </c>
      <c r="E46" s="87" t="s">
        <v>127</v>
      </c>
      <c r="F46" s="117">
        <v>3</v>
      </c>
      <c r="G46" s="8"/>
      <c r="H46" s="12"/>
      <c r="I46" s="8"/>
      <c r="J46" s="8"/>
      <c r="K46" s="8"/>
      <c r="L46" s="12"/>
      <c r="M46" s="10"/>
      <c r="N46" s="13"/>
      <c r="O46" s="30"/>
      <c r="P46" s="12"/>
      <c r="Q46" s="13"/>
      <c r="R46" s="13"/>
      <c r="S46" s="13"/>
      <c r="T46" s="13"/>
      <c r="U46" s="13"/>
      <c r="V46" s="13"/>
      <c r="W46" s="13"/>
      <c r="X46" s="13"/>
      <c r="Y46" s="13"/>
      <c r="Z46" s="13"/>
      <c r="AA46" s="12"/>
      <c r="AB46" s="12"/>
      <c r="AC46" s="13"/>
      <c r="AD46" s="13"/>
      <c r="AE46" s="13"/>
      <c r="AF46" s="13"/>
      <c r="AG46" s="13"/>
      <c r="AH46" s="13"/>
      <c r="AI46" s="12"/>
      <c r="AJ46" s="12"/>
      <c r="AK46" s="13"/>
      <c r="AL46" s="13"/>
      <c r="AM46" s="12"/>
      <c r="AN46" s="12"/>
      <c r="AO46" s="10"/>
      <c r="AP46" s="8"/>
      <c r="AQ46" s="8"/>
      <c r="AR46" s="8"/>
      <c r="AS46" s="101"/>
      <c r="AT46" s="101"/>
      <c r="AU46" s="101"/>
      <c r="AV46" s="101"/>
      <c r="AW46" s="189">
        <v>53550</v>
      </c>
      <c r="AX46" s="331">
        <v>83300</v>
      </c>
      <c r="AY46" s="189">
        <v>79000</v>
      </c>
      <c r="AZ46" s="101"/>
      <c r="BA46" s="101"/>
      <c r="BB46" s="331">
        <v>77350</v>
      </c>
      <c r="BC46" s="101"/>
      <c r="BD46" s="101"/>
      <c r="BE46" s="101"/>
      <c r="BF46" s="101"/>
      <c r="BG46" s="101"/>
      <c r="BH46" s="101"/>
      <c r="BI46" s="101"/>
      <c r="BJ46" s="101"/>
      <c r="BK46" s="101"/>
      <c r="BL46" s="101"/>
      <c r="BM46" s="101"/>
      <c r="BN46" s="101"/>
      <c r="BO46" s="63">
        <f>MEDIAN(AW46,AX46,AY46,BB46)</f>
        <v>78175</v>
      </c>
      <c r="BP46" s="63">
        <f>AVERAGE(AW46,AX46,AY46,BB46)</f>
        <v>73300</v>
      </c>
      <c r="BQ46" s="64">
        <f>STDEV(AW46,AX46,AY46,BB46)</f>
        <v>13403.419961586918</v>
      </c>
      <c r="BR46" s="65">
        <f t="shared" si="0"/>
        <v>0.18285702539682017</v>
      </c>
      <c r="BS46" s="88">
        <f t="shared" si="1"/>
        <v>65693.277310924372</v>
      </c>
      <c r="BT46" s="88">
        <f t="shared" si="2"/>
        <v>12481.72268907563</v>
      </c>
      <c r="BU46" s="74">
        <f t="shared" si="3"/>
        <v>78175</v>
      </c>
      <c r="BV46" s="75">
        <f t="shared" si="5"/>
        <v>234525</v>
      </c>
      <c r="BW46" s="76" t="s">
        <v>66</v>
      </c>
      <c r="BX46" s="40"/>
      <c r="BY46" s="3"/>
      <c r="BZ46" s="3"/>
      <c r="CA46" s="3"/>
      <c r="CB46" s="3"/>
      <c r="CC46" s="3"/>
      <c r="CD46" s="3"/>
      <c r="CE46" s="3"/>
      <c r="CF46" s="3"/>
      <c r="CG46" s="3"/>
      <c r="CH46" s="3"/>
      <c r="CI46" s="3"/>
    </row>
    <row r="47" spans="1:87" s="3" customFormat="1" ht="159.5" hidden="1" x14ac:dyDescent="0.35">
      <c r="A47" s="297">
        <v>41</v>
      </c>
      <c r="B47" s="532"/>
      <c r="C47" s="360" t="s">
        <v>583</v>
      </c>
      <c r="D47" s="197" t="s">
        <v>584</v>
      </c>
      <c r="E47" s="38" t="s">
        <v>127</v>
      </c>
      <c r="F47" s="115">
        <v>50</v>
      </c>
      <c r="G47" s="12"/>
      <c r="H47" s="12"/>
      <c r="I47" s="12"/>
      <c r="J47" s="13"/>
      <c r="K47" s="12"/>
      <c r="L47" s="13"/>
      <c r="M47" s="12"/>
      <c r="N47" s="12"/>
      <c r="O47" s="30"/>
      <c r="P47" s="13"/>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3"/>
      <c r="AP47" s="13"/>
      <c r="AQ47" s="12"/>
      <c r="AR47" s="12"/>
      <c r="AS47" s="8"/>
      <c r="AT47" s="8"/>
      <c r="AU47" s="8"/>
      <c r="AV47" s="8"/>
      <c r="AW47" s="8"/>
      <c r="AX47" s="8"/>
      <c r="AY47" s="8"/>
      <c r="AZ47" s="8"/>
      <c r="BA47" s="189">
        <v>5200</v>
      </c>
      <c r="BB47" s="331">
        <v>4165</v>
      </c>
      <c r="BC47" s="332">
        <v>5950</v>
      </c>
      <c r="BD47" s="249"/>
      <c r="BE47" s="331">
        <v>3689</v>
      </c>
      <c r="BF47" s="249"/>
      <c r="BG47" s="249"/>
      <c r="BH47" s="249"/>
      <c r="BI47" s="249"/>
      <c r="BJ47" s="249"/>
      <c r="BK47" s="249"/>
      <c r="BL47" s="249"/>
      <c r="BM47" s="249"/>
      <c r="BN47" s="249"/>
      <c r="BO47" s="264">
        <f>MEDIAN(BA47,BB47,BC47,BE47)</f>
        <v>4682.5</v>
      </c>
      <c r="BP47" s="63">
        <f>AVERAGE(BA47,BB47,BC47,BE47)</f>
        <v>4751</v>
      </c>
      <c r="BQ47" s="64">
        <f>STDEV(BA47,BB47,BC47,BE47)</f>
        <v>1018.2406395346828</v>
      </c>
      <c r="BR47" s="65">
        <f t="shared" si="0"/>
        <v>0.21432133014832305</v>
      </c>
      <c r="BS47" s="88">
        <f t="shared" si="1"/>
        <v>3935.294117647059</v>
      </c>
      <c r="BT47" s="88">
        <f t="shared" si="2"/>
        <v>747.70588235294122</v>
      </c>
      <c r="BU47" s="74">
        <f t="shared" si="3"/>
        <v>4683</v>
      </c>
      <c r="BV47" s="75">
        <f t="shared" si="5"/>
        <v>234150</v>
      </c>
      <c r="BW47" s="76" t="s">
        <v>66</v>
      </c>
      <c r="BX47" s="40"/>
    </row>
    <row r="48" spans="1:87" s="3" customFormat="1" ht="29" hidden="1" x14ac:dyDescent="0.35">
      <c r="A48" s="297">
        <v>42</v>
      </c>
      <c r="B48" s="527" t="s">
        <v>1089</v>
      </c>
      <c r="C48" s="36" t="s">
        <v>489</v>
      </c>
      <c r="D48" s="51" t="s">
        <v>490</v>
      </c>
      <c r="E48" s="38" t="s">
        <v>127</v>
      </c>
      <c r="F48" s="115">
        <v>50</v>
      </c>
      <c r="G48" s="8"/>
      <c r="H48" s="12"/>
      <c r="I48" s="8"/>
      <c r="J48" s="12"/>
      <c r="K48" s="8"/>
      <c r="L48" s="12"/>
      <c r="M48" s="8"/>
      <c r="N48" s="12"/>
      <c r="O48" s="31"/>
      <c r="P48" s="12"/>
      <c r="Q48" s="12"/>
      <c r="R48" s="12"/>
      <c r="S48" s="12"/>
      <c r="T48" s="12"/>
      <c r="U48" s="12"/>
      <c r="V48" s="12"/>
      <c r="W48" s="12"/>
      <c r="X48" s="12"/>
      <c r="Y48" s="12"/>
      <c r="Z48" s="12"/>
      <c r="AA48" s="12"/>
      <c r="AB48" s="12"/>
      <c r="AC48" s="12"/>
      <c r="AD48" s="12"/>
      <c r="AE48" s="12">
        <v>119000</v>
      </c>
      <c r="AF48" s="12">
        <f>+(AE48*5.1%)+AE48</f>
        <v>125069</v>
      </c>
      <c r="AG48" s="12"/>
      <c r="AH48" s="12"/>
      <c r="AI48" s="12">
        <v>84780</v>
      </c>
      <c r="AJ48" s="12">
        <f>+(AI48*5.1%)+AI48</f>
        <v>89103.78</v>
      </c>
      <c r="AL48" s="12"/>
      <c r="AM48" s="12">
        <v>130900</v>
      </c>
      <c r="AN48" s="12">
        <f>+(AM48*5.1%)+AM48</f>
        <v>137575.9</v>
      </c>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63">
        <f>MEDIAN(AF48,AJ48,AN48)</f>
        <v>125069</v>
      </c>
      <c r="BP48" s="63">
        <f>AVERAGE(AF48,AJ48,AN48)</f>
        <v>117249.56</v>
      </c>
      <c r="BQ48" s="64">
        <f>STDEV(AF48,AJ48,AN48)</f>
        <v>25164.346519605802</v>
      </c>
      <c r="BR48" s="65">
        <f t="shared" si="0"/>
        <v>0.21462209768297469</v>
      </c>
      <c r="BS48" s="88">
        <f t="shared" si="1"/>
        <v>105100</v>
      </c>
      <c r="BT48" s="88">
        <f t="shared" si="2"/>
        <v>19969</v>
      </c>
      <c r="BU48" s="74">
        <f t="shared" si="3"/>
        <v>125069</v>
      </c>
      <c r="BV48" s="75">
        <f t="shared" si="5"/>
        <v>6253450</v>
      </c>
      <c r="BW48" s="76" t="s">
        <v>66</v>
      </c>
      <c r="BX48" s="40"/>
    </row>
    <row r="49" spans="1:76" s="3" customFormat="1" ht="29" hidden="1" x14ac:dyDescent="0.35">
      <c r="A49" s="298">
        <v>43</v>
      </c>
      <c r="B49" s="528"/>
      <c r="C49" s="36" t="s">
        <v>491</v>
      </c>
      <c r="D49" s="51" t="s">
        <v>492</v>
      </c>
      <c r="E49" s="38" t="s">
        <v>127</v>
      </c>
      <c r="F49" s="117">
        <v>50</v>
      </c>
      <c r="G49" s="8"/>
      <c r="H49" s="12"/>
      <c r="I49" s="8"/>
      <c r="J49" s="12"/>
      <c r="K49" s="8"/>
      <c r="L49" s="12"/>
      <c r="M49" s="8"/>
      <c r="N49" s="13"/>
      <c r="O49" s="31"/>
      <c r="P49" s="12"/>
      <c r="Q49" s="12"/>
      <c r="R49" s="12"/>
      <c r="S49" s="12"/>
      <c r="T49" s="12"/>
      <c r="U49" s="12"/>
      <c r="V49" s="12"/>
      <c r="W49" s="12"/>
      <c r="X49" s="12"/>
      <c r="Y49" s="12"/>
      <c r="Z49" s="12"/>
      <c r="AA49" s="12"/>
      <c r="AB49" s="12"/>
      <c r="AC49" s="12"/>
      <c r="AD49" s="12"/>
      <c r="AE49" s="12">
        <v>53550</v>
      </c>
      <c r="AF49" s="12">
        <f>+(AE49*5.1%)+AE49</f>
        <v>56281.05</v>
      </c>
      <c r="AG49" s="12"/>
      <c r="AH49" s="12"/>
      <c r="AI49" s="12">
        <v>70200</v>
      </c>
      <c r="AJ49" s="12">
        <f>+(AI49*5.1%)+AI49</f>
        <v>73780.2</v>
      </c>
      <c r="AK49" s="12"/>
      <c r="AL49" s="12"/>
      <c r="AM49" s="12">
        <v>65450</v>
      </c>
      <c r="AN49" s="12">
        <f>+(AM49*5.1%)+AM49</f>
        <v>68787.95</v>
      </c>
      <c r="AO49" s="8"/>
      <c r="AP49" s="10"/>
      <c r="AQ49" s="8"/>
      <c r="AR49" s="8"/>
      <c r="AS49" s="8"/>
      <c r="AT49" s="8"/>
      <c r="AU49" s="8"/>
      <c r="AV49" s="8"/>
      <c r="AW49" s="8"/>
      <c r="AX49" s="8"/>
      <c r="AY49" s="8"/>
      <c r="AZ49" s="8"/>
      <c r="BA49" s="8"/>
      <c r="BB49" s="8"/>
      <c r="BC49" s="8"/>
      <c r="BD49" s="8"/>
      <c r="BE49" s="8"/>
      <c r="BF49" s="8"/>
      <c r="BG49" s="8"/>
      <c r="BH49" s="8"/>
      <c r="BI49" s="8"/>
      <c r="BJ49" s="8"/>
      <c r="BK49" s="8"/>
      <c r="BL49" s="8"/>
      <c r="BM49" s="8"/>
      <c r="BN49" s="8"/>
      <c r="BO49" s="63">
        <f>MEDIAN(AF49,AJ49,AN49)</f>
        <v>68787.95</v>
      </c>
      <c r="BP49" s="63">
        <f>AVERAGE(AF49,AJ49,AN49)</f>
        <v>66283.066666666666</v>
      </c>
      <c r="BQ49" s="64">
        <f>STDEV(AF49,AJ49,AN49)</f>
        <v>9014.482406984449</v>
      </c>
      <c r="BR49" s="65">
        <f t="shared" si="0"/>
        <v>0.13599977883216702</v>
      </c>
      <c r="BS49" s="88">
        <f t="shared" si="1"/>
        <v>55700.840336134454</v>
      </c>
      <c r="BT49" s="88">
        <f t="shared" si="2"/>
        <v>10583.159663865546</v>
      </c>
      <c r="BU49" s="74">
        <f t="shared" si="3"/>
        <v>66284</v>
      </c>
      <c r="BV49" s="75">
        <f t="shared" si="5"/>
        <v>3314200</v>
      </c>
      <c r="BW49" s="76" t="s">
        <v>65</v>
      </c>
      <c r="BX49" s="40"/>
    </row>
    <row r="50" spans="1:76" s="3" customFormat="1" ht="29" hidden="1" x14ac:dyDescent="0.35">
      <c r="A50" s="297">
        <v>44</v>
      </c>
      <c r="B50" s="528"/>
      <c r="C50" s="46" t="s">
        <v>493</v>
      </c>
      <c r="D50" s="95" t="s">
        <v>494</v>
      </c>
      <c r="E50" s="87" t="s">
        <v>127</v>
      </c>
      <c r="F50" s="115">
        <v>500</v>
      </c>
      <c r="G50" s="8"/>
      <c r="H50" s="12"/>
      <c r="I50" s="8"/>
      <c r="J50" s="12"/>
      <c r="K50" s="8"/>
      <c r="L50" s="12"/>
      <c r="M50" s="8"/>
      <c r="N50" s="13"/>
      <c r="O50" s="31"/>
      <c r="P50" s="12"/>
      <c r="Q50" s="12"/>
      <c r="R50" s="12"/>
      <c r="S50" s="12"/>
      <c r="T50" s="12"/>
      <c r="U50" s="12"/>
      <c r="V50" s="12"/>
      <c r="W50" s="12"/>
      <c r="X50" s="12"/>
      <c r="Y50" s="12"/>
      <c r="Z50" s="12"/>
      <c r="AA50" s="12"/>
      <c r="AB50" s="12"/>
      <c r="AC50" s="12"/>
      <c r="AD50" s="12"/>
      <c r="AE50" s="12">
        <v>218000</v>
      </c>
      <c r="AF50" s="12">
        <f>+(AE50*5.1%)+AE50</f>
        <v>229118</v>
      </c>
      <c r="AG50" s="12"/>
      <c r="AH50" s="12"/>
      <c r="AI50" s="12"/>
      <c r="AJ50" s="12"/>
      <c r="AK50" s="12">
        <v>143424</v>
      </c>
      <c r="AL50" s="12">
        <f>+(AK50*5.1%)+AK50</f>
        <v>150738.62400000001</v>
      </c>
      <c r="AM50" s="12">
        <v>228480</v>
      </c>
      <c r="AN50" s="12">
        <f>+(AM50*5.1%)+AM50</f>
        <v>240132.48000000001</v>
      </c>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63">
        <f>MEDIAN(AF50,AL50,AN50)</f>
        <v>229118</v>
      </c>
      <c r="BP50" s="63">
        <f>AVERAGE(AF50,AL50,AN50)</f>
        <v>206663.03466666667</v>
      </c>
      <c r="BQ50" s="64">
        <f>STDEV(AF50,AL50,AN50)</f>
        <v>48744.071164892099</v>
      </c>
      <c r="BR50" s="65">
        <f t="shared" si="0"/>
        <v>0.23586255395655517</v>
      </c>
      <c r="BS50" s="88">
        <f t="shared" si="1"/>
        <v>192536.13445378153</v>
      </c>
      <c r="BT50" s="88">
        <f t="shared" si="2"/>
        <v>36581.865546218491</v>
      </c>
      <c r="BU50" s="74">
        <f t="shared" si="3"/>
        <v>229118</v>
      </c>
      <c r="BV50" s="75">
        <f t="shared" si="5"/>
        <v>114559000</v>
      </c>
      <c r="BW50" s="76" t="s">
        <v>66</v>
      </c>
      <c r="BX50" s="40"/>
    </row>
    <row r="51" spans="1:76" s="3" customFormat="1" ht="43.5" x14ac:dyDescent="0.35">
      <c r="A51" s="298">
        <v>45</v>
      </c>
      <c r="B51" s="528"/>
      <c r="C51" s="46" t="s">
        <v>495</v>
      </c>
      <c r="D51" s="95" t="s">
        <v>496</v>
      </c>
      <c r="E51" s="87" t="s">
        <v>127</v>
      </c>
      <c r="F51" s="115">
        <v>50</v>
      </c>
      <c r="G51" s="8">
        <v>143898</v>
      </c>
      <c r="H51" s="8">
        <f>+(G51*5.1%)+G51</f>
        <v>151236.79800000001</v>
      </c>
      <c r="I51" s="8">
        <v>110000</v>
      </c>
      <c r="J51" s="8">
        <f>+(I51*5.1%)+I51</f>
        <v>115610</v>
      </c>
      <c r="K51" s="8">
        <v>79800</v>
      </c>
      <c r="L51" s="8">
        <f>+(K51*5.1%)+K51</f>
        <v>83869.8</v>
      </c>
      <c r="M51" s="8"/>
      <c r="N51" s="12"/>
      <c r="O51" s="31"/>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63">
        <f>MEDIAN(H51,J51)</f>
        <v>133423.399</v>
      </c>
      <c r="BP51" s="63">
        <f>AVERAGE(H51,J51)</f>
        <v>133423.399</v>
      </c>
      <c r="BQ51" s="64">
        <f>STDEV(H51,J51)</f>
        <v>25191.950457763323</v>
      </c>
      <c r="BR51" s="65">
        <f t="shared" si="0"/>
        <v>0.188812087284355</v>
      </c>
      <c r="BS51" s="88">
        <f t="shared" si="1"/>
        <v>112121.00840336135</v>
      </c>
      <c r="BT51" s="88">
        <f t="shared" si="2"/>
        <v>21302.991596638658</v>
      </c>
      <c r="BU51" s="74">
        <f t="shared" si="3"/>
        <v>133424</v>
      </c>
      <c r="BV51" s="75">
        <f t="shared" si="5"/>
        <v>6671200</v>
      </c>
      <c r="BW51" s="76" t="s">
        <v>66</v>
      </c>
      <c r="BX51" s="40"/>
    </row>
    <row r="52" spans="1:76" ht="43.5" x14ac:dyDescent="0.35">
      <c r="A52" s="297">
        <v>46</v>
      </c>
      <c r="B52" s="529"/>
      <c r="C52" s="46" t="s">
        <v>497</v>
      </c>
      <c r="D52" s="95" t="s">
        <v>498</v>
      </c>
      <c r="E52" s="38" t="s">
        <v>127</v>
      </c>
      <c r="F52" s="117">
        <v>100</v>
      </c>
      <c r="G52" s="8"/>
      <c r="H52" s="12"/>
      <c r="I52" s="10"/>
      <c r="J52" s="12"/>
      <c r="K52" s="10"/>
      <c r="L52" s="12"/>
      <c r="M52" s="10"/>
      <c r="N52" s="13"/>
      <c r="O52" s="30"/>
      <c r="P52" s="12"/>
      <c r="Q52" s="13"/>
      <c r="R52" s="13"/>
      <c r="S52" s="13"/>
      <c r="T52" s="13"/>
      <c r="U52" s="13"/>
      <c r="V52" s="13"/>
      <c r="W52" s="13"/>
      <c r="X52" s="13"/>
      <c r="Y52" s="13"/>
      <c r="Z52" s="13"/>
      <c r="AA52" s="12">
        <v>161892</v>
      </c>
      <c r="AB52" s="12">
        <f>+(AA52*5.1%)+AA52</f>
        <v>170148.492</v>
      </c>
      <c r="AC52" s="13"/>
      <c r="AD52" s="13"/>
      <c r="AE52" s="13"/>
      <c r="AF52" s="13"/>
      <c r="AG52" s="13"/>
      <c r="AH52" s="13"/>
      <c r="AI52" s="13"/>
      <c r="AJ52" s="13"/>
      <c r="AK52" s="12">
        <v>192672</v>
      </c>
      <c r="AL52" s="12">
        <f>+(AK52*5.1%)+AK52</f>
        <v>202498.272</v>
      </c>
      <c r="AM52" s="12"/>
      <c r="AN52" s="12"/>
      <c r="AO52" s="10"/>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63">
        <f>MEDIAN(AB52,AL52)</f>
        <v>186323.38199999998</v>
      </c>
      <c r="BP52" s="63">
        <f>AVERAGE(AB52,AL52)</f>
        <v>186323.38199999998</v>
      </c>
      <c r="BQ52" s="64">
        <f>STDEV(AB52,AL52)</f>
        <v>22874.748807892949</v>
      </c>
      <c r="BR52" s="65">
        <f t="shared" si="0"/>
        <v>0.12276907257884011</v>
      </c>
      <c r="BS52" s="88">
        <f t="shared" si="1"/>
        <v>156574.78991596639</v>
      </c>
      <c r="BT52" s="88">
        <f t="shared" si="2"/>
        <v>29749.210084033613</v>
      </c>
      <c r="BU52" s="74">
        <f t="shared" si="3"/>
        <v>186324</v>
      </c>
      <c r="BV52" s="75">
        <f t="shared" si="5"/>
        <v>18632400</v>
      </c>
      <c r="BW52" s="76" t="s">
        <v>65</v>
      </c>
    </row>
    <row r="53" spans="1:76" s="3" customFormat="1" ht="43.5" hidden="1" x14ac:dyDescent="0.35">
      <c r="A53" s="297">
        <v>47</v>
      </c>
      <c r="B53" s="527" t="s">
        <v>499</v>
      </c>
      <c r="C53" s="87" t="s">
        <v>500</v>
      </c>
      <c r="D53" s="92" t="s">
        <v>501</v>
      </c>
      <c r="E53" s="87" t="s">
        <v>127</v>
      </c>
      <c r="F53" s="115">
        <v>50</v>
      </c>
      <c r="G53" s="8"/>
      <c r="H53" s="12">
        <f t="shared" ref="H53" si="6">+(G53*5.1%)+G53</f>
        <v>0</v>
      </c>
      <c r="I53" s="10">
        <v>100000</v>
      </c>
      <c r="J53" s="10">
        <f>+(I53*5.1%)+I53</f>
        <v>105100</v>
      </c>
      <c r="K53" s="10">
        <v>84800</v>
      </c>
      <c r="L53" s="10">
        <f>+(K53*5.1%)+K53</f>
        <v>89124.800000000003</v>
      </c>
      <c r="M53" s="8"/>
      <c r="N53" s="13"/>
      <c r="O53" s="31"/>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0"/>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63">
        <f>MEDIAN(J53,L53)</f>
        <v>97112.4</v>
      </c>
      <c r="BP53" s="63">
        <f>AVERAGE(J53,L53)</f>
        <v>97112.4</v>
      </c>
      <c r="BQ53" s="64">
        <f>STDEV(J53,L53)</f>
        <v>11296.172250811333</v>
      </c>
      <c r="BR53" s="65">
        <f t="shared" si="0"/>
        <v>0.11632059603934547</v>
      </c>
      <c r="BS53" s="88">
        <f t="shared" si="1"/>
        <v>81607.563025210082</v>
      </c>
      <c r="BT53" s="88">
        <f t="shared" si="2"/>
        <v>15505.436974789916</v>
      </c>
      <c r="BU53" s="74">
        <f t="shared" si="3"/>
        <v>97113</v>
      </c>
      <c r="BV53" s="75">
        <f t="shared" si="5"/>
        <v>4855650</v>
      </c>
      <c r="BW53" s="76" t="s">
        <v>65</v>
      </c>
      <c r="BX53" s="40"/>
    </row>
    <row r="54" spans="1:76" ht="58" hidden="1" x14ac:dyDescent="0.35">
      <c r="A54" s="298">
        <v>48</v>
      </c>
      <c r="B54" s="528"/>
      <c r="C54" s="38" t="s">
        <v>502</v>
      </c>
      <c r="D54" s="93" t="s">
        <v>503</v>
      </c>
      <c r="E54" s="38" t="s">
        <v>127</v>
      </c>
      <c r="F54" s="117">
        <v>100</v>
      </c>
      <c r="G54" s="8"/>
      <c r="H54" s="12"/>
      <c r="I54" s="8">
        <v>21400</v>
      </c>
      <c r="J54" s="12"/>
      <c r="K54" s="8"/>
      <c r="L54" s="8">
        <v>310000</v>
      </c>
      <c r="M54" s="8">
        <f>+(L54*5.1%)+L54</f>
        <v>325810</v>
      </c>
      <c r="N54" s="13"/>
      <c r="O54" s="31">
        <v>379134</v>
      </c>
      <c r="P54" s="12">
        <f>+(O54*5.1%)+O54</f>
        <v>398469.83399999997</v>
      </c>
      <c r="Q54" s="13"/>
      <c r="R54" s="13"/>
      <c r="S54" s="13"/>
      <c r="T54" s="13"/>
      <c r="U54" s="13"/>
      <c r="V54" s="13"/>
      <c r="W54" s="13"/>
      <c r="X54" s="13"/>
      <c r="Y54" s="13"/>
      <c r="Z54" s="13"/>
      <c r="AA54" s="12">
        <v>442692</v>
      </c>
      <c r="AB54" s="12">
        <f>+(AA54*5.1%)+AA54</f>
        <v>465269.29200000002</v>
      </c>
      <c r="AC54" s="13"/>
      <c r="AD54" s="13"/>
      <c r="AE54" s="13"/>
      <c r="AF54" s="13"/>
      <c r="AG54" s="13"/>
      <c r="AH54" s="13"/>
      <c r="AI54" s="13"/>
      <c r="AJ54" s="13"/>
      <c r="AK54" s="13"/>
      <c r="AL54" s="13"/>
      <c r="AM54" s="12"/>
      <c r="AN54" s="12"/>
      <c r="AO54" s="10"/>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63">
        <f>MEDIAN(M54,P54,AB54)</f>
        <v>398469.83399999997</v>
      </c>
      <c r="BP54" s="63">
        <f>AVERAGE(M54,P54,AB54)</f>
        <v>396516.37533333339</v>
      </c>
      <c r="BQ54" s="64">
        <f>STDEV(M54,P54,AB54)</f>
        <v>69750.165102722342</v>
      </c>
      <c r="BR54" s="62">
        <f>BQ54/BP54</f>
        <v>0.17590740116114129</v>
      </c>
      <c r="BS54" s="88">
        <f t="shared" si="1"/>
        <v>334848.73949579836</v>
      </c>
      <c r="BT54" s="88">
        <f t="shared" si="2"/>
        <v>63621.260504201688</v>
      </c>
      <c r="BU54" s="74">
        <f t="shared" si="3"/>
        <v>398470</v>
      </c>
      <c r="BV54" s="75">
        <f t="shared" si="5"/>
        <v>39847000</v>
      </c>
      <c r="BW54" s="76" t="s">
        <v>66</v>
      </c>
    </row>
    <row r="55" spans="1:76" ht="87" hidden="1" x14ac:dyDescent="0.35">
      <c r="A55" s="297">
        <v>49</v>
      </c>
      <c r="B55" s="528"/>
      <c r="C55" s="36" t="s">
        <v>469</v>
      </c>
      <c r="D55" s="89" t="s">
        <v>1066</v>
      </c>
      <c r="E55" s="87" t="s">
        <v>127</v>
      </c>
      <c r="F55" s="115">
        <v>50</v>
      </c>
      <c r="G55" s="8">
        <v>26363.076923076922</v>
      </c>
      <c r="H55" s="8">
        <f>+(G55*5.1%)+G55</f>
        <v>27707.593846153846</v>
      </c>
      <c r="I55" s="8">
        <v>21400</v>
      </c>
      <c r="J55" s="8">
        <f>+(I55*5.1%)+I55</f>
        <v>22491.4</v>
      </c>
      <c r="K55" s="8">
        <v>20751</v>
      </c>
      <c r="L55" s="8">
        <f>+(K55*5.1%)+K55</f>
        <v>21809.300999999999</v>
      </c>
      <c r="M55" s="8"/>
      <c r="N55" s="13"/>
      <c r="O55" s="31"/>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0"/>
      <c r="AP55" s="10"/>
      <c r="AQ55" s="8"/>
      <c r="AR55" s="8"/>
      <c r="AS55" s="90"/>
      <c r="AT55" s="102"/>
      <c r="AU55" s="102"/>
      <c r="AV55" s="102"/>
      <c r="AW55" s="102"/>
      <c r="AX55" s="102"/>
      <c r="AY55" s="102"/>
      <c r="AZ55" s="102"/>
      <c r="BA55" s="102"/>
      <c r="BB55" s="102"/>
      <c r="BC55" s="102"/>
      <c r="BD55" s="102"/>
      <c r="BE55" s="102"/>
      <c r="BF55" s="102"/>
      <c r="BG55" s="102"/>
      <c r="BH55" s="102"/>
      <c r="BI55" s="102"/>
      <c r="BJ55" s="102"/>
      <c r="BK55" s="101"/>
      <c r="BL55" s="101"/>
      <c r="BM55" s="101"/>
      <c r="BN55" s="101"/>
      <c r="BO55" s="63">
        <f>MEDIAN(H55,J55,L55)</f>
        <v>22491.4</v>
      </c>
      <c r="BP55" s="63">
        <f>AVERAGE(H55,J55,L55)</f>
        <v>24002.764948717948</v>
      </c>
      <c r="BQ55" s="64">
        <f>STDEV(H55,J55,L55)</f>
        <v>3226.5511976268558</v>
      </c>
      <c r="BR55" s="65">
        <f t="shared" ref="BR55:BR57" si="7">BQ55/BP55</f>
        <v>0.13442414673977776</v>
      </c>
      <c r="BS55" s="88">
        <f t="shared" si="1"/>
        <v>20170.588235294119</v>
      </c>
      <c r="BT55" s="88">
        <f t="shared" si="2"/>
        <v>3832.4117647058824</v>
      </c>
      <c r="BU55" s="74">
        <f t="shared" si="3"/>
        <v>24003</v>
      </c>
      <c r="BV55" s="75">
        <f t="shared" si="5"/>
        <v>1200150</v>
      </c>
      <c r="BW55" s="76" t="s">
        <v>65</v>
      </c>
    </row>
    <row r="56" spans="1:76" ht="87" hidden="1" x14ac:dyDescent="0.35">
      <c r="A56" s="297">
        <v>50</v>
      </c>
      <c r="B56" s="528"/>
      <c r="C56" s="36" t="s">
        <v>470</v>
      </c>
      <c r="D56" s="93" t="s">
        <v>1055</v>
      </c>
      <c r="E56" s="38" t="s">
        <v>127</v>
      </c>
      <c r="F56" s="115">
        <v>50</v>
      </c>
      <c r="G56" s="8"/>
      <c r="H56" s="12"/>
      <c r="I56" s="8"/>
      <c r="J56" s="12"/>
      <c r="K56" s="8"/>
      <c r="L56" s="12"/>
      <c r="M56" s="10"/>
      <c r="N56" s="13"/>
      <c r="O56" s="30"/>
      <c r="P56" s="12"/>
      <c r="Q56" s="13"/>
      <c r="R56" s="13"/>
      <c r="S56" s="13"/>
      <c r="T56" s="13"/>
      <c r="U56" s="13"/>
      <c r="V56" s="13"/>
      <c r="W56" s="13"/>
      <c r="X56" s="13"/>
      <c r="Y56" s="13"/>
      <c r="Z56" s="13"/>
      <c r="AA56" s="13"/>
      <c r="AB56" s="13"/>
      <c r="AC56" s="13"/>
      <c r="AD56" s="13"/>
      <c r="AE56" s="13"/>
      <c r="AF56" s="13"/>
      <c r="AG56" s="13"/>
      <c r="AH56" s="13"/>
      <c r="AI56" s="13"/>
      <c r="AJ56" s="13"/>
      <c r="AK56" s="13"/>
      <c r="AL56" s="13"/>
      <c r="AM56" s="12"/>
      <c r="AN56" s="12"/>
      <c r="AO56" s="10"/>
      <c r="AP56" s="8"/>
      <c r="AQ56" s="8"/>
      <c r="AR56" s="8"/>
      <c r="AS56" s="8"/>
      <c r="AT56" s="8">
        <v>10000</v>
      </c>
      <c r="AU56" s="8">
        <v>12000</v>
      </c>
      <c r="AV56" s="8"/>
      <c r="AW56" s="8"/>
      <c r="AX56" s="8"/>
      <c r="AY56" s="8"/>
      <c r="AZ56" s="8"/>
      <c r="BA56" s="8"/>
      <c r="BB56" s="8"/>
      <c r="BC56" s="8"/>
      <c r="BD56" s="8"/>
      <c r="BE56" s="8"/>
      <c r="BF56" s="8"/>
      <c r="BG56" s="8"/>
      <c r="BH56" s="8"/>
      <c r="BI56" s="8"/>
      <c r="BJ56" s="103"/>
      <c r="BK56" s="8"/>
      <c r="BL56" s="8"/>
      <c r="BM56" s="8"/>
      <c r="BN56" s="8"/>
      <c r="BO56" s="63">
        <f>MEDIAN(AO56,AT56,AU56)</f>
        <v>11000</v>
      </c>
      <c r="BP56" s="63">
        <f>AVERAGE(AO56,AT56,AU56)</f>
        <v>11000</v>
      </c>
      <c r="BQ56" s="64">
        <f>STDEV(AO56,AT56,AU56)</f>
        <v>1414.2135623730951</v>
      </c>
      <c r="BR56" s="65">
        <f t="shared" si="7"/>
        <v>0.12856486930664501</v>
      </c>
      <c r="BS56" s="88">
        <f t="shared" si="1"/>
        <v>9243.6974789915967</v>
      </c>
      <c r="BT56" s="88">
        <f t="shared" si="2"/>
        <v>1756.3025210084033</v>
      </c>
      <c r="BU56" s="74">
        <f t="shared" si="3"/>
        <v>11000</v>
      </c>
      <c r="BV56" s="75">
        <f t="shared" si="5"/>
        <v>550000</v>
      </c>
      <c r="BW56" s="76" t="s">
        <v>65</v>
      </c>
    </row>
    <row r="57" spans="1:76" s="3" customFormat="1" ht="72.5" hidden="1" x14ac:dyDescent="0.35">
      <c r="A57" s="298">
        <v>51</v>
      </c>
      <c r="B57" s="528"/>
      <c r="C57" s="91" t="s">
        <v>487</v>
      </c>
      <c r="D57" s="89" t="s">
        <v>1065</v>
      </c>
      <c r="E57" s="38" t="s">
        <v>127</v>
      </c>
      <c r="F57" s="115">
        <v>30</v>
      </c>
      <c r="G57" s="8"/>
      <c r="H57" s="12"/>
      <c r="I57" s="8">
        <v>40000</v>
      </c>
      <c r="J57" s="10">
        <f>+(I57*5.1%)+I57</f>
        <v>42040</v>
      </c>
      <c r="K57" s="8">
        <v>33000</v>
      </c>
      <c r="L57" s="10">
        <f>+(K57*5.1%)+K57</f>
        <v>34683</v>
      </c>
      <c r="M57" s="10"/>
      <c r="N57" s="13"/>
      <c r="O57" s="30"/>
      <c r="P57" s="12"/>
      <c r="Q57" s="13"/>
      <c r="R57" s="13"/>
      <c r="S57" s="13"/>
      <c r="T57" s="13"/>
      <c r="U57" s="13"/>
      <c r="V57" s="13"/>
      <c r="W57" s="13"/>
      <c r="X57" s="13"/>
      <c r="Y57" s="13"/>
      <c r="Z57" s="13"/>
      <c r="AA57" s="13"/>
      <c r="AB57" s="13"/>
      <c r="AC57" s="13"/>
      <c r="AD57" s="13"/>
      <c r="AE57" s="13"/>
      <c r="AF57" s="13"/>
      <c r="AG57" s="13"/>
      <c r="AH57" s="13"/>
      <c r="AI57" s="13"/>
      <c r="AJ57" s="13"/>
      <c r="AK57" s="13"/>
      <c r="AL57" s="13"/>
      <c r="AM57" s="12"/>
      <c r="AN57" s="12"/>
      <c r="AO57" s="10"/>
      <c r="AP57" s="10"/>
      <c r="AQ57" s="8">
        <v>49900</v>
      </c>
      <c r="AR57" s="10"/>
      <c r="AS57" s="54"/>
      <c r="AT57" s="54"/>
      <c r="AU57" s="10"/>
      <c r="AV57" s="10"/>
      <c r="AW57" s="10"/>
      <c r="AX57" s="10"/>
      <c r="AY57" s="10"/>
      <c r="AZ57" s="10"/>
      <c r="BA57" s="10"/>
      <c r="BB57" s="10"/>
      <c r="BC57" s="10"/>
      <c r="BD57" s="10"/>
      <c r="BE57" s="10"/>
      <c r="BF57" s="10"/>
      <c r="BG57" s="10"/>
      <c r="BH57" s="10"/>
      <c r="BI57" s="10"/>
      <c r="BJ57" s="10"/>
      <c r="BK57" s="10"/>
      <c r="BL57" s="10"/>
      <c r="BM57" s="10"/>
      <c r="BN57" s="10"/>
      <c r="BO57" s="63">
        <f>MEDIAN(J57,L57,AQ57)</f>
        <v>42040</v>
      </c>
      <c r="BP57" s="63">
        <f>AVERAGE(J57,L57,AQ57)</f>
        <v>42207.666666666664</v>
      </c>
      <c r="BQ57" s="64">
        <f>STDEV(J57,L57,AQ57)</f>
        <v>7609.8854349676967</v>
      </c>
      <c r="BR57" s="65">
        <f t="shared" si="7"/>
        <v>0.1802962834943343</v>
      </c>
      <c r="BS57" s="88">
        <f t="shared" si="1"/>
        <v>35327.731092436974</v>
      </c>
      <c r="BT57" s="88">
        <f t="shared" si="2"/>
        <v>6712.2689075630251</v>
      </c>
      <c r="BU57" s="74">
        <f t="shared" si="3"/>
        <v>42040</v>
      </c>
      <c r="BV57" s="75">
        <f t="shared" si="5"/>
        <v>1261200</v>
      </c>
      <c r="BW57" s="76" t="s">
        <v>66</v>
      </c>
      <c r="BX57" s="40"/>
    </row>
    <row r="58" spans="1:76" s="3" customFormat="1" ht="29" hidden="1" x14ac:dyDescent="0.35">
      <c r="A58" s="297">
        <v>52</v>
      </c>
      <c r="B58" s="528"/>
      <c r="C58" s="38" t="s">
        <v>504</v>
      </c>
      <c r="D58" s="93" t="s">
        <v>505</v>
      </c>
      <c r="E58" s="38" t="s">
        <v>127</v>
      </c>
      <c r="F58" s="117">
        <v>40</v>
      </c>
      <c r="G58" s="8"/>
      <c r="H58" s="12"/>
      <c r="I58" s="8"/>
      <c r="J58" s="12"/>
      <c r="K58" s="8"/>
      <c r="L58" s="12"/>
      <c r="M58" s="8"/>
      <c r="N58" s="13"/>
      <c r="O58" s="31">
        <v>91273</v>
      </c>
      <c r="P58" s="12">
        <f>+(O58*5.1%)+O58</f>
        <v>95927.922999999995</v>
      </c>
      <c r="Q58" s="12"/>
      <c r="R58" s="12"/>
      <c r="S58" s="12">
        <v>88200</v>
      </c>
      <c r="T58" s="12">
        <f>+(S58*5.1%)+S58</f>
        <v>92698.2</v>
      </c>
      <c r="U58" s="12"/>
      <c r="V58" s="12"/>
      <c r="W58" s="12"/>
      <c r="X58" s="12"/>
      <c r="Y58" s="12"/>
      <c r="Z58" s="12"/>
      <c r="AA58" s="12"/>
      <c r="AB58" s="12"/>
      <c r="AC58" s="12"/>
      <c r="AD58" s="12"/>
      <c r="AE58" s="12"/>
      <c r="AF58" s="12"/>
      <c r="AG58" s="12"/>
      <c r="AH58" s="12"/>
      <c r="AI58" s="12"/>
      <c r="AJ58" s="12"/>
      <c r="AK58" s="12"/>
      <c r="AL58" s="12"/>
      <c r="AM58" s="12"/>
      <c r="AN58" s="12"/>
      <c r="AO58" s="10"/>
      <c r="AP58" s="8"/>
      <c r="AQ58" s="8"/>
      <c r="AR58" s="8"/>
      <c r="AS58" s="8"/>
      <c r="AT58" s="8"/>
      <c r="AU58" s="12"/>
      <c r="AV58" s="12"/>
      <c r="AW58" s="12"/>
      <c r="AX58" s="12"/>
      <c r="AY58" s="12"/>
      <c r="AZ58" s="12"/>
      <c r="BA58" s="12"/>
      <c r="BB58" s="12"/>
      <c r="BC58" s="12"/>
      <c r="BD58" s="12"/>
      <c r="BE58" s="12"/>
      <c r="BF58" s="12"/>
      <c r="BG58" s="12"/>
      <c r="BH58" s="12"/>
      <c r="BI58" s="12"/>
      <c r="BJ58" s="12"/>
      <c r="BK58" s="12"/>
      <c r="BL58" s="12"/>
      <c r="BM58" s="12"/>
      <c r="BN58" s="12"/>
      <c r="BO58" s="63">
        <f>MEDIAN(P58,T58)</f>
        <v>94313.061499999996</v>
      </c>
      <c r="BP58" s="63">
        <f>AVERAGE(P58,T58)</f>
        <v>94313.061499999996</v>
      </c>
      <c r="BQ58" s="64">
        <f>STDEV(P58,T58)</f>
        <v>2283.7590346541588</v>
      </c>
      <c r="BR58" s="65">
        <f t="shared" si="0"/>
        <v>2.4214663359795174E-2</v>
      </c>
      <c r="BS58" s="88">
        <f t="shared" si="1"/>
        <v>79255.462184873948</v>
      </c>
      <c r="BT58" s="88">
        <f t="shared" si="2"/>
        <v>15058.53781512605</v>
      </c>
      <c r="BU58" s="74">
        <f t="shared" si="3"/>
        <v>94314</v>
      </c>
      <c r="BV58" s="75">
        <f t="shared" si="5"/>
        <v>3772560</v>
      </c>
      <c r="BW58" s="76" t="s">
        <v>65</v>
      </c>
      <c r="BX58" s="40"/>
    </row>
    <row r="59" spans="1:76" s="3" customFormat="1" ht="101.5" hidden="1" x14ac:dyDescent="0.35">
      <c r="A59" s="298">
        <v>53</v>
      </c>
      <c r="B59" s="528"/>
      <c r="C59" s="98" t="s">
        <v>551</v>
      </c>
      <c r="D59" s="98" t="s">
        <v>552</v>
      </c>
      <c r="E59" s="38" t="s">
        <v>127</v>
      </c>
      <c r="F59" s="117">
        <v>29</v>
      </c>
      <c r="G59" s="2"/>
      <c r="H59" s="2"/>
      <c r="I59" s="2"/>
      <c r="J59" s="2"/>
      <c r="K59" s="2"/>
      <c r="L59" s="2"/>
      <c r="M59" s="41"/>
      <c r="N59" s="41"/>
      <c r="O59" s="41"/>
      <c r="P59" s="41"/>
      <c r="Q59" s="41"/>
      <c r="R59" s="41"/>
      <c r="S59" s="41"/>
      <c r="T59" s="41"/>
      <c r="U59" s="41"/>
      <c r="V59" s="41"/>
      <c r="W59" s="41"/>
      <c r="X59" s="41"/>
      <c r="Y59" s="41"/>
      <c r="Z59" s="41"/>
      <c r="AA59" s="41"/>
      <c r="AB59" s="41"/>
      <c r="AC59" s="41"/>
      <c r="AD59" s="41"/>
      <c r="AE59" s="41"/>
      <c r="AF59" s="41"/>
      <c r="AG59" s="39"/>
      <c r="AH59" s="39"/>
      <c r="AI59" s="39"/>
      <c r="AJ59" s="39"/>
      <c r="AK59" s="39"/>
      <c r="AL59" s="39"/>
      <c r="AM59" s="42"/>
      <c r="AN59" s="42"/>
      <c r="AO59" s="10">
        <v>17850</v>
      </c>
      <c r="AP59" s="10">
        <v>82000</v>
      </c>
      <c r="AQ59" s="8">
        <v>29900</v>
      </c>
      <c r="AR59" s="10">
        <v>25210</v>
      </c>
      <c r="AS59" s="53"/>
      <c r="AT59" s="53"/>
      <c r="AU59" s="107"/>
      <c r="AV59" s="107"/>
      <c r="AW59" s="107"/>
      <c r="AX59" s="107"/>
      <c r="AY59" s="107"/>
      <c r="AZ59" s="107"/>
      <c r="BA59" s="107"/>
      <c r="BB59" s="107"/>
      <c r="BC59" s="107"/>
      <c r="BD59" s="107"/>
      <c r="BE59" s="107"/>
      <c r="BF59" s="107"/>
      <c r="BG59" s="107"/>
      <c r="BH59" s="107"/>
      <c r="BI59" s="107"/>
      <c r="BJ59" s="107"/>
      <c r="BK59" s="107"/>
      <c r="BL59" s="107"/>
      <c r="BM59" s="107"/>
      <c r="BN59" s="107"/>
      <c r="BO59" s="69">
        <f>MEDIAN(AO59,AQ59,AR59)</f>
        <v>25210</v>
      </c>
      <c r="BP59" s="69">
        <f>AVERAGE(AO59,AQ59,AR59)</f>
        <v>24320</v>
      </c>
      <c r="BQ59" s="70">
        <f>STDEV(AO59,AQ59,AR59)</f>
        <v>6074.1007564906267</v>
      </c>
      <c r="BR59" s="65">
        <f t="shared" si="0"/>
        <v>0.24975743242148959</v>
      </c>
      <c r="BS59" s="88">
        <f t="shared" si="1"/>
        <v>21184.873949579833</v>
      </c>
      <c r="BT59" s="88">
        <f t="shared" si="2"/>
        <v>4025.1260504201682</v>
      </c>
      <c r="BU59" s="72">
        <f t="shared" si="3"/>
        <v>25210</v>
      </c>
      <c r="BV59" s="97">
        <f t="shared" si="5"/>
        <v>731090</v>
      </c>
      <c r="BW59" s="76" t="s">
        <v>66</v>
      </c>
      <c r="BX59" s="40"/>
    </row>
    <row r="60" spans="1:76" s="3" customFormat="1" ht="71.25" hidden="1" customHeight="1" x14ac:dyDescent="0.35">
      <c r="A60" s="297">
        <v>54</v>
      </c>
      <c r="B60" s="528"/>
      <c r="C60" s="38" t="s">
        <v>506</v>
      </c>
      <c r="D60" s="93" t="s">
        <v>1046</v>
      </c>
      <c r="E60" s="38" t="s">
        <v>127</v>
      </c>
      <c r="F60" s="117">
        <v>400</v>
      </c>
      <c r="G60" s="8"/>
      <c r="H60" s="8"/>
      <c r="I60" s="8">
        <v>50000</v>
      </c>
      <c r="J60" s="8">
        <f>+(I60*5.1%)+I60</f>
        <v>52550</v>
      </c>
      <c r="K60" s="8"/>
      <c r="L60" s="8"/>
      <c r="M60" s="8"/>
      <c r="N60" s="12"/>
      <c r="O60" s="31">
        <v>80881.919999999998</v>
      </c>
      <c r="P60" s="12">
        <f>+(O60*5.1%)+O60</f>
        <v>85006.897920000003</v>
      </c>
      <c r="Q60" s="12"/>
      <c r="R60" s="12"/>
      <c r="S60" s="12">
        <v>113400</v>
      </c>
      <c r="T60" s="12">
        <f>+(S60*5.1%)+S60</f>
        <v>119183.4</v>
      </c>
      <c r="U60" s="12"/>
      <c r="V60" s="12"/>
      <c r="W60" s="12"/>
      <c r="X60" s="12"/>
      <c r="Y60" s="12"/>
      <c r="Z60" s="12"/>
      <c r="AA60" s="12"/>
      <c r="AB60" s="12"/>
      <c r="AC60" s="12"/>
      <c r="AD60" s="12"/>
      <c r="AE60" s="12"/>
      <c r="AF60" s="12"/>
      <c r="AG60" s="12"/>
      <c r="AH60" s="12"/>
      <c r="AI60" s="12"/>
      <c r="AJ60" s="12"/>
      <c r="AK60" s="12"/>
      <c r="AL60" s="12"/>
      <c r="AM60" s="12"/>
      <c r="AN60" s="12"/>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63">
        <f>MEDIAN(P60,T60)</f>
        <v>102095.14895999999</v>
      </c>
      <c r="BP60" s="63">
        <f>AVERAGE(P60,T60)</f>
        <v>102095.14895999999</v>
      </c>
      <c r="BQ60" s="64">
        <f>STDEV(P60,T60)</f>
        <v>24166.436378004262</v>
      </c>
      <c r="BR60" s="65">
        <f t="shared" si="0"/>
        <v>0.23670504058397981</v>
      </c>
      <c r="BS60" s="88">
        <f t="shared" si="1"/>
        <v>85794.957983193279</v>
      </c>
      <c r="BT60" s="88">
        <f t="shared" si="2"/>
        <v>16301.042016806723</v>
      </c>
      <c r="BU60" s="74">
        <f t="shared" si="3"/>
        <v>102096</v>
      </c>
      <c r="BV60" s="75">
        <f t="shared" si="5"/>
        <v>40838400</v>
      </c>
      <c r="BW60" s="76" t="s">
        <v>66</v>
      </c>
      <c r="BX60" s="40"/>
    </row>
    <row r="61" spans="1:76" s="3" customFormat="1" ht="29" hidden="1" x14ac:dyDescent="0.35">
      <c r="A61" s="297">
        <v>55</v>
      </c>
      <c r="B61" s="529"/>
      <c r="C61" s="38" t="s">
        <v>507</v>
      </c>
      <c r="D61" s="93" t="s">
        <v>1053</v>
      </c>
      <c r="E61" s="38" t="s">
        <v>127</v>
      </c>
      <c r="F61" s="117">
        <v>60</v>
      </c>
      <c r="G61" s="8"/>
      <c r="H61" s="8"/>
      <c r="I61" s="8"/>
      <c r="J61" s="8"/>
      <c r="K61" s="8"/>
      <c r="L61" s="8"/>
      <c r="M61" s="8"/>
      <c r="N61" s="12"/>
      <c r="O61" s="31">
        <v>293477.8</v>
      </c>
      <c r="P61" s="13">
        <f>+(O61*5.1%)+O61</f>
        <v>308445.1678</v>
      </c>
      <c r="Q61" s="12"/>
      <c r="R61" s="12"/>
      <c r="S61" s="12"/>
      <c r="T61" s="12"/>
      <c r="U61" s="12">
        <v>220000</v>
      </c>
      <c r="V61" s="12">
        <f>+(U61*5.1%)+U61</f>
        <v>231220</v>
      </c>
      <c r="W61" s="12"/>
      <c r="X61" s="12"/>
      <c r="Y61" s="12"/>
      <c r="Z61" s="12"/>
      <c r="AA61" s="12"/>
      <c r="AB61" s="12"/>
      <c r="AC61" s="12"/>
      <c r="AD61" s="12"/>
      <c r="AE61" s="12"/>
      <c r="AF61" s="12"/>
      <c r="AG61" s="12"/>
      <c r="AH61" s="12"/>
      <c r="AI61" s="12"/>
      <c r="AJ61" s="12"/>
      <c r="AK61" s="12"/>
      <c r="AL61" s="12"/>
      <c r="AM61" s="12"/>
      <c r="AN61" s="12"/>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63">
        <f>MEDIAN(P61,V61)</f>
        <v>269832.58389999997</v>
      </c>
      <c r="BP61" s="63">
        <f>AVERAGE(P61,V61)</f>
        <v>269832.58389999997</v>
      </c>
      <c r="BQ61" s="64">
        <f>STDEV(P61,V61)</f>
        <v>54606.439829649309</v>
      </c>
      <c r="BR61" s="65">
        <f t="shared" si="0"/>
        <v>0.20237155587512912</v>
      </c>
      <c r="BS61" s="88">
        <f t="shared" si="1"/>
        <v>226750.42016806724</v>
      </c>
      <c r="BT61" s="88">
        <f t="shared" si="2"/>
        <v>43082.579831932773</v>
      </c>
      <c r="BU61" s="74">
        <f t="shared" si="3"/>
        <v>269833</v>
      </c>
      <c r="BV61" s="75">
        <f t="shared" si="5"/>
        <v>16189980</v>
      </c>
      <c r="BW61" s="76" t="s">
        <v>66</v>
      </c>
      <c r="BX61" s="40"/>
    </row>
    <row r="62" spans="1:76" s="3" customFormat="1" ht="43.5" hidden="1" x14ac:dyDescent="0.35">
      <c r="A62" s="298">
        <v>56</v>
      </c>
      <c r="B62" s="527" t="s">
        <v>508</v>
      </c>
      <c r="C62" s="38" t="s">
        <v>509</v>
      </c>
      <c r="D62" s="93" t="s">
        <v>1047</v>
      </c>
      <c r="E62" s="38" t="s">
        <v>127</v>
      </c>
      <c r="F62" s="117">
        <v>100</v>
      </c>
      <c r="G62" s="8"/>
      <c r="H62" s="12"/>
      <c r="I62" s="8">
        <v>53000</v>
      </c>
      <c r="J62" s="8">
        <f>+(I62*5.1%)+I62</f>
        <v>55703</v>
      </c>
      <c r="K62" s="8"/>
      <c r="L62" s="8"/>
      <c r="M62" s="8"/>
      <c r="N62" s="12"/>
      <c r="O62" s="31">
        <v>36509.199999999997</v>
      </c>
      <c r="P62" s="12">
        <f>+(O62*5.1%)+O62</f>
        <v>38371.169199999997</v>
      </c>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63">
        <f>MEDIAN(J62,P62)</f>
        <v>47037.084600000002</v>
      </c>
      <c r="BP62" s="63">
        <f>AVERAGE(J62,P62)</f>
        <v>47037.084600000002</v>
      </c>
      <c r="BQ62" s="64">
        <f>STDEV(J62,P62)</f>
        <v>12255.455089057841</v>
      </c>
      <c r="BR62" s="65">
        <f t="shared" si="0"/>
        <v>0.26054878173843793</v>
      </c>
      <c r="BS62" s="88">
        <f t="shared" si="1"/>
        <v>39527.731092436974</v>
      </c>
      <c r="BT62" s="88">
        <f t="shared" si="2"/>
        <v>7510.2689075630251</v>
      </c>
      <c r="BU62" s="74">
        <f t="shared" si="3"/>
        <v>47038</v>
      </c>
      <c r="BV62" s="75">
        <f t="shared" si="5"/>
        <v>4703800</v>
      </c>
      <c r="BW62" s="76" t="s">
        <v>66</v>
      </c>
      <c r="BX62" s="40"/>
    </row>
    <row r="63" spans="1:76" s="3" customFormat="1" ht="43.5" hidden="1" x14ac:dyDescent="0.35">
      <c r="A63" s="297">
        <v>57</v>
      </c>
      <c r="B63" s="528"/>
      <c r="C63" s="38" t="s">
        <v>510</v>
      </c>
      <c r="D63" s="93" t="s">
        <v>511</v>
      </c>
      <c r="E63" s="38" t="s">
        <v>127</v>
      </c>
      <c r="F63" s="117">
        <v>80</v>
      </c>
      <c r="G63" s="8"/>
      <c r="H63" s="12"/>
      <c r="I63" s="8"/>
      <c r="J63" s="12"/>
      <c r="K63" s="8"/>
      <c r="L63" s="8"/>
      <c r="M63" s="8"/>
      <c r="N63" s="12"/>
      <c r="O63" s="31"/>
      <c r="P63" s="13"/>
      <c r="Q63" s="12"/>
      <c r="R63" s="12"/>
      <c r="S63" s="12"/>
      <c r="T63" s="12"/>
      <c r="U63" s="12"/>
      <c r="V63" s="12"/>
      <c r="W63" s="12"/>
      <c r="X63" s="12"/>
      <c r="Y63" s="12">
        <v>330000</v>
      </c>
      <c r="Z63" s="12">
        <f>+(Y63*5.1%)+Y63</f>
        <v>346830</v>
      </c>
      <c r="AA63" s="12"/>
      <c r="AB63" s="12"/>
      <c r="AC63" s="12">
        <v>230000</v>
      </c>
      <c r="AD63" s="12">
        <f>+(AC63*5.1%)+AC63</f>
        <v>241730</v>
      </c>
      <c r="AE63" s="12"/>
      <c r="AF63" s="12"/>
      <c r="AG63" s="12"/>
      <c r="AH63" s="12"/>
      <c r="AI63" s="12"/>
      <c r="AJ63" s="12"/>
      <c r="AK63" s="12"/>
      <c r="AL63" s="12"/>
      <c r="AM63" s="12"/>
      <c r="AN63" s="12"/>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63">
        <f>MEDIAN(Z63,AD63)</f>
        <v>294280</v>
      </c>
      <c r="BP63" s="63">
        <f>AVERAGE(Z63,AD63)</f>
        <v>294280</v>
      </c>
      <c r="BQ63" s="64">
        <f>STDEV(Z63,AD63)</f>
        <v>74316.922702706142</v>
      </c>
      <c r="BR63" s="65">
        <f t="shared" si="0"/>
        <v>0.2525381361380527</v>
      </c>
      <c r="BS63" s="88">
        <f t="shared" si="1"/>
        <v>247294.11764705883</v>
      </c>
      <c r="BT63" s="88">
        <f t="shared" si="2"/>
        <v>46985.882352941175</v>
      </c>
      <c r="BU63" s="74">
        <f t="shared" si="3"/>
        <v>294280</v>
      </c>
      <c r="BV63" s="75">
        <f t="shared" si="5"/>
        <v>23542400</v>
      </c>
      <c r="BW63" s="76" t="s">
        <v>66</v>
      </c>
      <c r="BX63" s="40"/>
    </row>
    <row r="64" spans="1:76" ht="145" hidden="1" x14ac:dyDescent="0.35">
      <c r="A64" s="297">
        <v>58</v>
      </c>
      <c r="B64" s="528"/>
      <c r="C64" s="38" t="s">
        <v>512</v>
      </c>
      <c r="D64" s="93" t="s">
        <v>1054</v>
      </c>
      <c r="E64" s="38" t="s">
        <v>127</v>
      </c>
      <c r="F64" s="117">
        <v>5</v>
      </c>
      <c r="G64" s="8"/>
      <c r="H64" s="12"/>
      <c r="I64" s="8"/>
      <c r="J64" s="12"/>
      <c r="K64" s="8"/>
      <c r="L64" s="12"/>
      <c r="M64" s="10"/>
      <c r="N64" s="13"/>
      <c r="O64" s="30"/>
      <c r="P64" s="12"/>
      <c r="Q64" s="13"/>
      <c r="R64" s="13"/>
      <c r="S64" s="13"/>
      <c r="T64" s="13"/>
      <c r="U64" s="13"/>
      <c r="V64" s="13"/>
      <c r="W64" s="12">
        <v>352000</v>
      </c>
      <c r="X64" s="12">
        <f>+(W64*5.1%)+W64</f>
        <v>369952</v>
      </c>
      <c r="Y64" s="12">
        <v>400000</v>
      </c>
      <c r="Z64" s="12">
        <f>+(Y64*5.1%)+Y64</f>
        <v>420400</v>
      </c>
      <c r="AA64" s="13"/>
      <c r="AB64" s="13"/>
      <c r="AC64" s="13"/>
      <c r="AD64" s="13"/>
      <c r="AE64" s="13"/>
      <c r="AF64" s="13"/>
      <c r="AG64" s="13"/>
      <c r="AH64" s="13"/>
      <c r="AI64" s="13"/>
      <c r="AJ64" s="13"/>
      <c r="AK64" s="13"/>
      <c r="AL64" s="13"/>
      <c r="AM64" s="12"/>
      <c r="AN64" s="12"/>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63">
        <f>MEDIAN(X64,Z64)</f>
        <v>395176</v>
      </c>
      <c r="BP64" s="63">
        <f>AVERAGE(X64,Z64)</f>
        <v>395176</v>
      </c>
      <c r="BQ64" s="64">
        <f>STDEV(X64,Z64)</f>
        <v>35672.122897298948</v>
      </c>
      <c r="BR64" s="65">
        <f t="shared" si="0"/>
        <v>9.0268950789772026E-2</v>
      </c>
      <c r="BS64" s="88">
        <f t="shared" si="1"/>
        <v>332080.6722689076</v>
      </c>
      <c r="BT64" s="88">
        <f t="shared" si="2"/>
        <v>63095.327731092446</v>
      </c>
      <c r="BU64" s="74">
        <f t="shared" si="3"/>
        <v>395176</v>
      </c>
      <c r="BV64" s="75">
        <f t="shared" si="5"/>
        <v>1975880</v>
      </c>
      <c r="BW64" s="76" t="s">
        <v>65</v>
      </c>
      <c r="BX64" s="27" t="s">
        <v>1049</v>
      </c>
    </row>
    <row r="65" spans="1:76" s="3" customFormat="1" ht="43.5" hidden="1" x14ac:dyDescent="0.35">
      <c r="A65" s="298">
        <v>59</v>
      </c>
      <c r="B65" s="528"/>
      <c r="C65" s="36" t="s">
        <v>513</v>
      </c>
      <c r="D65" s="89" t="s">
        <v>514</v>
      </c>
      <c r="E65" s="38" t="s">
        <v>127</v>
      </c>
      <c r="F65" s="117">
        <v>5</v>
      </c>
      <c r="G65" s="8"/>
      <c r="H65" s="12"/>
      <c r="I65" s="8"/>
      <c r="J65" s="12"/>
      <c r="K65" s="8">
        <v>74500</v>
      </c>
      <c r="L65" s="12">
        <f t="shared" ref="L65" si="8">+(K65*5.1%)+K65</f>
        <v>78299.5</v>
      </c>
      <c r="M65" s="8"/>
      <c r="N65" s="12"/>
      <c r="O65" s="31"/>
      <c r="P65" s="12"/>
      <c r="Q65" s="12"/>
      <c r="R65" s="12"/>
      <c r="S65" s="12"/>
      <c r="T65" s="12"/>
      <c r="U65" s="12"/>
      <c r="V65" s="12"/>
      <c r="W65" s="12">
        <v>69000</v>
      </c>
      <c r="X65" s="12">
        <f t="shared" ref="X65" si="9">+(W65*5.1%)+W65</f>
        <v>72519</v>
      </c>
      <c r="Y65" s="12">
        <v>100000</v>
      </c>
      <c r="Z65" s="12">
        <f>+(Y65*5.1%)+Y65</f>
        <v>105100</v>
      </c>
      <c r="AA65" s="12"/>
      <c r="AB65" s="12"/>
      <c r="AC65" s="12"/>
      <c r="AD65" s="12"/>
      <c r="AE65" s="12"/>
      <c r="AF65" s="12"/>
      <c r="AG65" s="12"/>
      <c r="AH65" s="12"/>
      <c r="AI65" s="12"/>
      <c r="AJ65" s="12"/>
      <c r="AK65" s="12"/>
      <c r="AL65" s="12"/>
      <c r="AM65" s="12"/>
      <c r="AN65" s="12"/>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63">
        <f>MEDIAN(L65,X65,Z65)</f>
        <v>78299.5</v>
      </c>
      <c r="BP65" s="63">
        <f>AVERAGE(L65,X65,Z65)</f>
        <v>85306.166666666672</v>
      </c>
      <c r="BQ65" s="64">
        <f>STDEV(L65,X65,Z65)</f>
        <v>17383.912781170238</v>
      </c>
      <c r="BR65" s="65">
        <f t="shared" si="0"/>
        <v>0.20378260400678619</v>
      </c>
      <c r="BS65" s="88">
        <f t="shared" si="1"/>
        <v>65798.319327731093</v>
      </c>
      <c r="BT65" s="88">
        <f t="shared" si="2"/>
        <v>12501.680672268907</v>
      </c>
      <c r="BU65" s="74">
        <f t="shared" si="3"/>
        <v>78300</v>
      </c>
      <c r="BV65" s="75">
        <f t="shared" si="5"/>
        <v>391500</v>
      </c>
      <c r="BW65" s="76" t="s">
        <v>66</v>
      </c>
      <c r="BX65" s="40"/>
    </row>
    <row r="66" spans="1:76" ht="87" hidden="1" x14ac:dyDescent="0.35">
      <c r="A66" s="297">
        <v>60</v>
      </c>
      <c r="B66" s="528"/>
      <c r="C66" s="36" t="s">
        <v>469</v>
      </c>
      <c r="D66" s="89" t="s">
        <v>1066</v>
      </c>
      <c r="E66" s="38" t="s">
        <v>127</v>
      </c>
      <c r="F66" s="115">
        <v>60</v>
      </c>
      <c r="G66" s="8">
        <v>26363.076923076922</v>
      </c>
      <c r="H66" s="8">
        <f>+(G66*5.1%)+G66</f>
        <v>27707.593846153846</v>
      </c>
      <c r="I66" s="8">
        <v>21400</v>
      </c>
      <c r="J66" s="8">
        <f>+(I66*5.1%)+I66</f>
        <v>22491.4</v>
      </c>
      <c r="K66" s="8">
        <v>20751</v>
      </c>
      <c r="L66" s="8">
        <f>+(K66*5.1%)+K66</f>
        <v>21809.300999999999</v>
      </c>
      <c r="M66" s="8"/>
      <c r="N66" s="13"/>
      <c r="O66" s="31"/>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0"/>
      <c r="AP66" s="10"/>
      <c r="AQ66" s="8"/>
      <c r="AR66" s="8"/>
      <c r="AS66" s="104"/>
      <c r="AT66" s="101"/>
      <c r="AU66" s="101"/>
      <c r="AV66" s="101"/>
      <c r="AW66" s="101"/>
      <c r="AX66" s="101"/>
      <c r="AY66" s="101"/>
      <c r="AZ66" s="101"/>
      <c r="BA66" s="101"/>
      <c r="BB66" s="101"/>
      <c r="BC66" s="101"/>
      <c r="BD66" s="101"/>
      <c r="BE66" s="101"/>
      <c r="BF66" s="101"/>
      <c r="BG66" s="101"/>
      <c r="BH66" s="101"/>
      <c r="BI66" s="101"/>
      <c r="BJ66" s="101"/>
      <c r="BK66" s="101"/>
      <c r="BL66" s="101"/>
      <c r="BM66" s="101"/>
      <c r="BN66" s="101"/>
      <c r="BO66" s="63">
        <f>MEDIAN(H66,J66,L66)</f>
        <v>22491.4</v>
      </c>
      <c r="BP66" s="63">
        <f>AVERAGE(H66,J66,L66)</f>
        <v>24002.764948717948</v>
      </c>
      <c r="BQ66" s="64">
        <f>STDEV(H66,J66,L66)</f>
        <v>3226.5511976268558</v>
      </c>
      <c r="BR66" s="65">
        <f t="shared" si="0"/>
        <v>0.13442414673977776</v>
      </c>
      <c r="BS66" s="88">
        <f t="shared" si="1"/>
        <v>20170.588235294119</v>
      </c>
      <c r="BT66" s="88">
        <f t="shared" si="2"/>
        <v>3832.4117647058824</v>
      </c>
      <c r="BU66" s="74">
        <f t="shared" si="3"/>
        <v>24003</v>
      </c>
      <c r="BV66" s="75">
        <f t="shared" si="5"/>
        <v>1440180</v>
      </c>
      <c r="BW66" s="76" t="s">
        <v>65</v>
      </c>
    </row>
    <row r="67" spans="1:76" ht="67.5" hidden="1" customHeight="1" x14ac:dyDescent="0.35">
      <c r="A67" s="298">
        <v>61</v>
      </c>
      <c r="B67" s="528"/>
      <c r="C67" s="36" t="s">
        <v>470</v>
      </c>
      <c r="D67" s="93" t="s">
        <v>1055</v>
      </c>
      <c r="E67" s="38" t="s">
        <v>127</v>
      </c>
      <c r="F67" s="115">
        <v>60</v>
      </c>
      <c r="G67" s="8"/>
      <c r="H67" s="12"/>
      <c r="I67" s="8"/>
      <c r="J67" s="12"/>
      <c r="K67" s="8"/>
      <c r="L67" s="12"/>
      <c r="M67" s="10"/>
      <c r="N67" s="13"/>
      <c r="O67" s="30"/>
      <c r="P67" s="12"/>
      <c r="Q67" s="13"/>
      <c r="R67" s="13"/>
      <c r="S67" s="13"/>
      <c r="T67" s="13"/>
      <c r="U67" s="13"/>
      <c r="V67" s="13"/>
      <c r="W67" s="13"/>
      <c r="X67" s="13"/>
      <c r="Y67" s="13"/>
      <c r="Z67" s="13"/>
      <c r="AA67" s="13"/>
      <c r="AB67" s="13"/>
      <c r="AC67" s="13"/>
      <c r="AD67" s="13"/>
      <c r="AE67" s="13"/>
      <c r="AF67" s="13"/>
      <c r="AG67" s="13"/>
      <c r="AH67" s="13"/>
      <c r="AI67" s="13"/>
      <c r="AJ67" s="13"/>
      <c r="AK67" s="13"/>
      <c r="AL67" s="13"/>
      <c r="AM67" s="12"/>
      <c r="AN67" s="12"/>
      <c r="AO67" s="10"/>
      <c r="AP67" s="8"/>
      <c r="AQ67" s="8"/>
      <c r="AR67" s="8"/>
      <c r="AS67" s="8"/>
      <c r="AT67" s="8">
        <v>10000</v>
      </c>
      <c r="AU67" s="8">
        <v>12000</v>
      </c>
      <c r="AV67" s="8"/>
      <c r="AW67" s="8"/>
      <c r="AX67" s="8"/>
      <c r="AY67" s="8"/>
      <c r="AZ67" s="8"/>
      <c r="BA67" s="8"/>
      <c r="BB67" s="8"/>
      <c r="BC67" s="8"/>
      <c r="BD67" s="8"/>
      <c r="BE67" s="8"/>
      <c r="BF67" s="8"/>
      <c r="BG67" s="8"/>
      <c r="BH67" s="8"/>
      <c r="BI67" s="8"/>
      <c r="BJ67" s="8"/>
      <c r="BK67" s="8"/>
      <c r="BL67" s="8"/>
      <c r="BM67" s="8"/>
      <c r="BN67" s="8"/>
      <c r="BO67" s="63">
        <f>MEDIAN(AO67,AT67,AU67)</f>
        <v>11000</v>
      </c>
      <c r="BP67" s="63">
        <f>AVERAGE(AO67,AT67,AU67)</f>
        <v>11000</v>
      </c>
      <c r="BQ67" s="64">
        <f>STDEV(AO67,AT67,AU67)</f>
        <v>1414.2135623730951</v>
      </c>
      <c r="BR67" s="65">
        <f t="shared" si="0"/>
        <v>0.12856486930664501</v>
      </c>
      <c r="BS67" s="88">
        <f t="shared" si="1"/>
        <v>9243.6974789915967</v>
      </c>
      <c r="BT67" s="88">
        <f t="shared" si="2"/>
        <v>1756.3025210084033</v>
      </c>
      <c r="BU67" s="74">
        <f t="shared" si="3"/>
        <v>11000</v>
      </c>
      <c r="BV67" s="75">
        <f t="shared" si="5"/>
        <v>660000</v>
      </c>
      <c r="BW67" s="76" t="s">
        <v>65</v>
      </c>
      <c r="BX67" s="27" t="s">
        <v>1048</v>
      </c>
    </row>
    <row r="68" spans="1:76" ht="159.5" hidden="1" x14ac:dyDescent="0.35">
      <c r="A68" s="297">
        <v>62</v>
      </c>
      <c r="B68" s="529"/>
      <c r="C68" s="360" t="s">
        <v>583</v>
      </c>
      <c r="D68" s="197" t="s">
        <v>584</v>
      </c>
      <c r="E68" s="38" t="s">
        <v>127</v>
      </c>
      <c r="F68" s="115">
        <v>60</v>
      </c>
      <c r="G68" s="12"/>
      <c r="H68" s="12"/>
      <c r="I68" s="12"/>
      <c r="J68" s="13"/>
      <c r="K68" s="12"/>
      <c r="L68" s="13"/>
      <c r="M68" s="12"/>
      <c r="N68" s="12"/>
      <c r="O68" s="30"/>
      <c r="P68" s="13"/>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3"/>
      <c r="AP68" s="13"/>
      <c r="AQ68" s="12"/>
      <c r="AR68" s="12"/>
      <c r="AS68" s="8"/>
      <c r="AT68" s="8"/>
      <c r="AU68" s="8"/>
      <c r="AV68" s="8"/>
      <c r="AW68" s="8"/>
      <c r="AX68" s="8"/>
      <c r="AY68" s="8"/>
      <c r="AZ68" s="8"/>
      <c r="BA68" s="189">
        <v>5200</v>
      </c>
      <c r="BB68" s="331">
        <v>4165</v>
      </c>
      <c r="BC68" s="332">
        <v>5950</v>
      </c>
      <c r="BD68" s="249"/>
      <c r="BE68" s="331">
        <v>3689</v>
      </c>
      <c r="BF68" s="249"/>
      <c r="BG68" s="249"/>
      <c r="BH68" s="249"/>
      <c r="BI68" s="249"/>
      <c r="BJ68" s="249"/>
      <c r="BK68" s="249"/>
      <c r="BL68" s="249"/>
      <c r="BM68" s="249"/>
      <c r="BN68" s="249"/>
      <c r="BO68" s="264">
        <f>MEDIAN(BA68,BB68,BC68,BE68)</f>
        <v>4682.5</v>
      </c>
      <c r="BP68" s="63">
        <f>AVERAGE(BA68,BB68,BC68,BE68)</f>
        <v>4751</v>
      </c>
      <c r="BQ68" s="64">
        <f>STDEV(BA68,BB68,BC68,BE68)</f>
        <v>1018.2406395346828</v>
      </c>
      <c r="BR68" s="65">
        <f t="shared" si="0"/>
        <v>0.21432133014832305</v>
      </c>
      <c r="BS68" s="88">
        <f t="shared" si="1"/>
        <v>3935.294117647059</v>
      </c>
      <c r="BT68" s="88">
        <f t="shared" si="2"/>
        <v>747.70588235294122</v>
      </c>
      <c r="BU68" s="74">
        <f t="shared" si="3"/>
        <v>4683</v>
      </c>
      <c r="BV68" s="75">
        <f t="shared" si="5"/>
        <v>280980</v>
      </c>
      <c r="BW68" s="76" t="s">
        <v>66</v>
      </c>
    </row>
    <row r="69" spans="1:76" ht="159.5" hidden="1" x14ac:dyDescent="0.35">
      <c r="A69" s="297">
        <v>63</v>
      </c>
      <c r="B69" s="527" t="s">
        <v>515</v>
      </c>
      <c r="C69" s="360" t="s">
        <v>583</v>
      </c>
      <c r="D69" s="197" t="s">
        <v>584</v>
      </c>
      <c r="E69" s="38" t="s">
        <v>127</v>
      </c>
      <c r="F69" s="117">
        <v>10</v>
      </c>
      <c r="G69" s="12"/>
      <c r="H69" s="12"/>
      <c r="I69" s="12"/>
      <c r="J69" s="13"/>
      <c r="K69" s="12"/>
      <c r="L69" s="13"/>
      <c r="M69" s="12"/>
      <c r="N69" s="12"/>
      <c r="O69" s="30"/>
      <c r="P69" s="13"/>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3"/>
      <c r="AP69" s="13"/>
      <c r="AQ69" s="12"/>
      <c r="AR69" s="12"/>
      <c r="AS69" s="8"/>
      <c r="AT69" s="8"/>
      <c r="AU69" s="8"/>
      <c r="AV69" s="8"/>
      <c r="AW69" s="8"/>
      <c r="AX69" s="8"/>
      <c r="AY69" s="8"/>
      <c r="AZ69" s="8"/>
      <c r="BA69" s="189">
        <v>5200</v>
      </c>
      <c r="BB69" s="331">
        <v>4165</v>
      </c>
      <c r="BC69" s="332">
        <v>5950</v>
      </c>
      <c r="BD69" s="249"/>
      <c r="BE69" s="331">
        <v>3689</v>
      </c>
      <c r="BF69" s="249"/>
      <c r="BG69" s="249"/>
      <c r="BH69" s="249"/>
      <c r="BI69" s="249"/>
      <c r="BJ69" s="249"/>
      <c r="BK69" s="249"/>
      <c r="BL69" s="249"/>
      <c r="BM69" s="249"/>
      <c r="BN69" s="249"/>
      <c r="BO69" s="264">
        <f>MEDIAN(BA69,BB69,BC69,BE69)</f>
        <v>4682.5</v>
      </c>
      <c r="BP69" s="63">
        <f>AVERAGE(BA69,BB69,BC69,BE69)</f>
        <v>4751</v>
      </c>
      <c r="BQ69" s="64">
        <f>STDEV(BA69,BB69,BC69,BE69)</f>
        <v>1018.2406395346828</v>
      </c>
      <c r="BR69" s="65">
        <f t="shared" si="0"/>
        <v>0.21432133014832305</v>
      </c>
      <c r="BS69" s="88">
        <f t="shared" si="1"/>
        <v>3935.294117647059</v>
      </c>
      <c r="BT69" s="88">
        <f t="shared" si="2"/>
        <v>747.70588235294122</v>
      </c>
      <c r="BU69" s="74">
        <f t="shared" si="3"/>
        <v>4683</v>
      </c>
      <c r="BV69" s="75">
        <f t="shared" si="5"/>
        <v>46830</v>
      </c>
      <c r="BW69" s="76" t="s">
        <v>66</v>
      </c>
    </row>
    <row r="70" spans="1:76" ht="188.5" hidden="1" x14ac:dyDescent="0.35">
      <c r="A70" s="298">
        <v>64</v>
      </c>
      <c r="B70" s="528"/>
      <c r="C70" s="360" t="s">
        <v>579</v>
      </c>
      <c r="D70" s="197" t="s">
        <v>580</v>
      </c>
      <c r="E70" s="87" t="s">
        <v>127</v>
      </c>
      <c r="F70" s="115">
        <v>10</v>
      </c>
      <c r="G70" s="10"/>
      <c r="H70" s="12"/>
      <c r="I70" s="10"/>
      <c r="J70" s="12"/>
      <c r="K70" s="10"/>
      <c r="L70" s="12"/>
      <c r="M70" s="10"/>
      <c r="N70" s="13"/>
      <c r="O70" s="30"/>
      <c r="P70" s="12"/>
      <c r="Q70" s="13"/>
      <c r="R70" s="13"/>
      <c r="S70" s="13"/>
      <c r="T70" s="13"/>
      <c r="U70" s="13"/>
      <c r="V70" s="13"/>
      <c r="W70" s="13"/>
      <c r="X70" s="13"/>
      <c r="Y70" s="13"/>
      <c r="Z70" s="13"/>
      <c r="AA70" s="13"/>
      <c r="AB70" s="13"/>
      <c r="AC70" s="13"/>
      <c r="AD70" s="13"/>
      <c r="AE70" s="13"/>
      <c r="AF70" s="13"/>
      <c r="AG70" s="13"/>
      <c r="AH70" s="13"/>
      <c r="AI70" s="13"/>
      <c r="AJ70" s="13"/>
      <c r="AK70" s="13"/>
      <c r="AL70" s="13"/>
      <c r="AM70" s="12"/>
      <c r="AN70" s="12"/>
      <c r="AO70" s="10"/>
      <c r="AP70" s="8"/>
      <c r="AQ70" s="8"/>
      <c r="AR70" s="8"/>
      <c r="AS70" s="103"/>
      <c r="AT70" s="8"/>
      <c r="AU70" s="8"/>
      <c r="AV70" s="8"/>
      <c r="AW70" s="189">
        <v>129115</v>
      </c>
      <c r="AX70" s="331">
        <v>109837</v>
      </c>
      <c r="AY70" s="189">
        <v>160000</v>
      </c>
      <c r="AZ70" s="8"/>
      <c r="BA70" s="8"/>
      <c r="BB70" s="331">
        <v>164220</v>
      </c>
      <c r="BC70" s="331"/>
      <c r="BD70" s="331"/>
      <c r="BE70" s="331"/>
      <c r="BF70" s="331"/>
      <c r="BG70" s="331"/>
      <c r="BH70" s="331"/>
      <c r="BI70" s="331"/>
      <c r="BJ70" s="331"/>
      <c r="BK70" s="331"/>
      <c r="BL70" s="331"/>
      <c r="BM70" s="331"/>
      <c r="BN70" s="331"/>
      <c r="BO70" s="63">
        <f>MEDIAN(AW70,AX70,AY70,BB70)</f>
        <v>144557.5</v>
      </c>
      <c r="BP70" s="63">
        <f>AVERAGE(AW70,AX70,AY70,BB70)</f>
        <v>140793</v>
      </c>
      <c r="BQ70" s="64">
        <f>STDEV(AW70,AX70,AY70,BB70)</f>
        <v>25899.696253045131</v>
      </c>
      <c r="BR70" s="65">
        <f t="shared" si="0"/>
        <v>0.18395585187505864</v>
      </c>
      <c r="BS70" s="88">
        <f t="shared" si="1"/>
        <v>121477.31092436975</v>
      </c>
      <c r="BT70" s="88">
        <f t="shared" si="2"/>
        <v>23080.689075630253</v>
      </c>
      <c r="BU70" s="74">
        <f>ROUNDUP(IF(BR70&lt;15%,BP70,BO70),0)</f>
        <v>144558</v>
      </c>
      <c r="BV70" s="75">
        <f t="shared" si="5"/>
        <v>1445580</v>
      </c>
      <c r="BW70" s="76" t="s">
        <v>65</v>
      </c>
    </row>
    <row r="71" spans="1:76" ht="72.5" hidden="1" x14ac:dyDescent="0.35">
      <c r="A71" s="297">
        <v>65</v>
      </c>
      <c r="B71" s="528"/>
      <c r="C71" s="91" t="s">
        <v>487</v>
      </c>
      <c r="D71" s="89" t="s">
        <v>1065</v>
      </c>
      <c r="E71" s="87" t="s">
        <v>127</v>
      </c>
      <c r="F71" s="115">
        <v>1</v>
      </c>
      <c r="G71" s="8"/>
      <c r="H71" s="12"/>
      <c r="I71" s="8">
        <v>40000</v>
      </c>
      <c r="J71" s="10">
        <f>+(I71*5.1%)+I71</f>
        <v>42040</v>
      </c>
      <c r="K71" s="8">
        <v>33000</v>
      </c>
      <c r="L71" s="10">
        <f>+(K71*5.1%)+K71</f>
        <v>34683</v>
      </c>
      <c r="M71" s="10"/>
      <c r="N71" s="13"/>
      <c r="O71" s="30"/>
      <c r="P71" s="12"/>
      <c r="Q71" s="13"/>
      <c r="R71" s="13"/>
      <c r="S71" s="13"/>
      <c r="T71" s="13"/>
      <c r="U71" s="13"/>
      <c r="V71" s="13"/>
      <c r="W71" s="13"/>
      <c r="X71" s="13"/>
      <c r="Y71" s="13"/>
      <c r="Z71" s="13"/>
      <c r="AA71" s="13"/>
      <c r="AB71" s="13"/>
      <c r="AC71" s="13"/>
      <c r="AD71" s="13"/>
      <c r="AE71" s="13"/>
      <c r="AF71" s="13"/>
      <c r="AG71" s="13"/>
      <c r="AH71" s="13"/>
      <c r="AI71" s="13"/>
      <c r="AJ71" s="13"/>
      <c r="AK71" s="13"/>
      <c r="AL71" s="13"/>
      <c r="AM71" s="12"/>
      <c r="AN71" s="12"/>
      <c r="AO71" s="10"/>
      <c r="AP71" s="10"/>
      <c r="AQ71" s="8">
        <v>49900</v>
      </c>
      <c r="AR71" s="10"/>
      <c r="AT71" s="73"/>
      <c r="AU71" s="10"/>
      <c r="AV71" s="10"/>
      <c r="AW71" s="10"/>
      <c r="AX71" s="10"/>
      <c r="AY71" s="10"/>
      <c r="AZ71" s="10"/>
      <c r="BA71" s="10"/>
      <c r="BB71" s="10"/>
      <c r="BC71" s="10"/>
      <c r="BD71" s="10"/>
      <c r="BE71" s="10"/>
      <c r="BF71" s="10"/>
      <c r="BG71" s="10"/>
      <c r="BH71" s="10"/>
      <c r="BI71" s="10"/>
      <c r="BJ71" s="10"/>
      <c r="BK71" s="10"/>
      <c r="BL71" s="10"/>
      <c r="BM71" s="10"/>
      <c r="BN71" s="10"/>
      <c r="BO71" s="63">
        <f>MEDIAN(J71,L71,AQ71)</f>
        <v>42040</v>
      </c>
      <c r="BP71" s="63">
        <f>AVERAGE(J71,L71,AQ71)</f>
        <v>42207.666666666664</v>
      </c>
      <c r="BQ71" s="64">
        <f>STDEV(J71,L71,AQ71)</f>
        <v>7609.8854349676967</v>
      </c>
      <c r="BR71" s="65">
        <f t="shared" ref="BR71" si="10">BQ71/BP71</f>
        <v>0.1802962834943343</v>
      </c>
      <c r="BS71" s="88">
        <f t="shared" ref="BS71:BS100" si="11">BU71/1.19</f>
        <v>35327.731092436974</v>
      </c>
      <c r="BT71" s="88">
        <f t="shared" ref="BT71:BT100" si="12">+BS71*19%</f>
        <v>6712.2689075630251</v>
      </c>
      <c r="BU71" s="74">
        <f t="shared" ref="BU71" si="13">ROUNDUP(IF(BR71&lt;15%,BP71,BO71),0)</f>
        <v>42040</v>
      </c>
      <c r="BV71" s="75">
        <f t="shared" ref="BV71:BV100" si="14">+BU71*F71</f>
        <v>42040</v>
      </c>
      <c r="BW71" s="76" t="s">
        <v>66</v>
      </c>
    </row>
    <row r="72" spans="1:76" ht="87" hidden="1" x14ac:dyDescent="0.35">
      <c r="A72" s="297">
        <v>66</v>
      </c>
      <c r="B72" s="528"/>
      <c r="C72" s="36" t="s">
        <v>469</v>
      </c>
      <c r="D72" s="89" t="s">
        <v>1066</v>
      </c>
      <c r="E72" s="87" t="s">
        <v>127</v>
      </c>
      <c r="F72" s="115">
        <v>10</v>
      </c>
      <c r="G72" s="8">
        <v>26363.076923076922</v>
      </c>
      <c r="H72" s="12">
        <f t="shared" ref="H72" si="15">+(G72*5.1%)+G72</f>
        <v>27707.593846153846</v>
      </c>
      <c r="I72" s="8">
        <v>21400</v>
      </c>
      <c r="J72" s="12">
        <f t="shared" ref="J72" si="16">+(I72*5.1%)+I72</f>
        <v>22491.4</v>
      </c>
      <c r="K72" s="8">
        <v>20751</v>
      </c>
      <c r="L72" s="12">
        <f t="shared" ref="L72" si="17">+(K72*5.1%)+K72</f>
        <v>21809.300999999999</v>
      </c>
      <c r="M72" s="8"/>
      <c r="N72" s="13"/>
      <c r="O72" s="31"/>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0"/>
      <c r="AP72" s="8"/>
      <c r="AQ72" s="8"/>
      <c r="AR72" s="8"/>
      <c r="AS72" s="103"/>
      <c r="AT72" s="8"/>
      <c r="AU72" s="12"/>
      <c r="AV72" s="12"/>
      <c r="AW72" s="12"/>
      <c r="AX72" s="12"/>
      <c r="AY72" s="12"/>
      <c r="AZ72" s="12"/>
      <c r="BA72" s="12"/>
      <c r="BB72" s="12"/>
      <c r="BC72" s="12"/>
      <c r="BD72" s="12"/>
      <c r="BE72" s="12"/>
      <c r="BF72" s="12"/>
      <c r="BG72" s="12"/>
      <c r="BH72" s="12"/>
      <c r="BI72" s="12"/>
      <c r="BJ72" s="12"/>
      <c r="BK72" s="12"/>
      <c r="BL72" s="12"/>
      <c r="BM72" s="12"/>
      <c r="BN72" s="12"/>
      <c r="BO72" s="63">
        <f>MEDIAN(H72,J72,L72)</f>
        <v>22491.4</v>
      </c>
      <c r="BP72" s="63">
        <f>AVERAGE(H72,J72,L72)</f>
        <v>24002.764948717948</v>
      </c>
      <c r="BQ72" s="64">
        <f>STDEV(H72,J72,L72)</f>
        <v>3226.5511976268558</v>
      </c>
      <c r="BR72" s="62">
        <f>BQ72/BP72</f>
        <v>0.13442414673977776</v>
      </c>
      <c r="BS72" s="88">
        <f t="shared" si="11"/>
        <v>20170.588235294119</v>
      </c>
      <c r="BT72" s="88">
        <f t="shared" si="12"/>
        <v>3832.4117647058824</v>
      </c>
      <c r="BU72" s="74">
        <f>ROUNDUP(IF(BR72&lt;15%,BP72,BO72),0)</f>
        <v>24003</v>
      </c>
      <c r="BV72" s="75">
        <f t="shared" si="14"/>
        <v>240030</v>
      </c>
      <c r="BW72" s="76" t="s">
        <v>65</v>
      </c>
    </row>
    <row r="73" spans="1:76" ht="87" hidden="1" x14ac:dyDescent="0.35">
      <c r="A73" s="298">
        <v>67</v>
      </c>
      <c r="B73" s="528"/>
      <c r="C73" s="36" t="s">
        <v>470</v>
      </c>
      <c r="D73" s="93" t="s">
        <v>1055</v>
      </c>
      <c r="E73" s="38" t="s">
        <v>127</v>
      </c>
      <c r="F73" s="115">
        <v>11</v>
      </c>
      <c r="G73" s="8"/>
      <c r="H73" s="12"/>
      <c r="I73" s="8"/>
      <c r="J73" s="12"/>
      <c r="K73" s="8"/>
      <c r="L73" s="12"/>
      <c r="M73" s="10"/>
      <c r="N73" s="13"/>
      <c r="O73" s="30"/>
      <c r="P73" s="12"/>
      <c r="Q73" s="13"/>
      <c r="R73" s="13"/>
      <c r="S73" s="13"/>
      <c r="T73" s="13"/>
      <c r="U73" s="13"/>
      <c r="V73" s="13"/>
      <c r="W73" s="13"/>
      <c r="X73" s="13"/>
      <c r="Y73" s="13"/>
      <c r="Z73" s="13"/>
      <c r="AA73" s="13"/>
      <c r="AB73" s="13"/>
      <c r="AC73" s="13"/>
      <c r="AD73" s="13"/>
      <c r="AE73" s="13"/>
      <c r="AF73" s="13"/>
      <c r="AG73" s="13"/>
      <c r="AH73" s="13"/>
      <c r="AI73" s="13"/>
      <c r="AJ73" s="13"/>
      <c r="AK73" s="13"/>
      <c r="AL73" s="13"/>
      <c r="AM73" s="12"/>
      <c r="AN73" s="12"/>
      <c r="AO73" s="10"/>
      <c r="AP73" s="8"/>
      <c r="AQ73" s="8"/>
      <c r="AR73" s="8"/>
      <c r="AS73" s="8"/>
      <c r="AT73" s="8">
        <v>10000</v>
      </c>
      <c r="AU73" s="8">
        <v>12000</v>
      </c>
      <c r="AV73" s="8"/>
      <c r="AW73" s="8"/>
      <c r="AX73" s="8"/>
      <c r="AY73" s="8"/>
      <c r="AZ73" s="8"/>
      <c r="BA73" s="8"/>
      <c r="BB73" s="8"/>
      <c r="BC73" s="8"/>
      <c r="BD73" s="8"/>
      <c r="BE73" s="8"/>
      <c r="BF73" s="8"/>
      <c r="BG73" s="8"/>
      <c r="BH73" s="8"/>
      <c r="BI73" s="8"/>
      <c r="BJ73" s="8"/>
      <c r="BK73" s="8"/>
      <c r="BL73" s="8"/>
      <c r="BM73" s="8"/>
      <c r="BN73" s="8"/>
      <c r="BO73" s="63">
        <f>MEDIAN(AO73,AT73,AU73)</f>
        <v>11000</v>
      </c>
      <c r="BP73" s="63">
        <f>AVERAGE(AO73,AT73,AU73)</f>
        <v>11000</v>
      </c>
      <c r="BQ73" s="64">
        <f>STDEV(AO73,AT73,AU73)</f>
        <v>1414.2135623730951</v>
      </c>
      <c r="BR73" s="65">
        <f t="shared" ref="BR73:BR75" si="18">BQ73/BP73</f>
        <v>0.12856486930664501</v>
      </c>
      <c r="BS73" s="88">
        <f t="shared" si="11"/>
        <v>9243.6974789915967</v>
      </c>
      <c r="BT73" s="88">
        <f t="shared" si="12"/>
        <v>1756.3025210084033</v>
      </c>
      <c r="BU73" s="74">
        <f t="shared" ref="BU73:BU100" si="19">ROUNDUP(IF(BR73&lt;15%,BP73,BO73),0)</f>
        <v>11000</v>
      </c>
      <c r="BV73" s="75">
        <f t="shared" si="14"/>
        <v>121000</v>
      </c>
      <c r="BW73" s="76" t="s">
        <v>65</v>
      </c>
    </row>
    <row r="74" spans="1:76" ht="246.5" hidden="1" x14ac:dyDescent="0.35">
      <c r="A74" s="297">
        <v>68</v>
      </c>
      <c r="B74" s="528"/>
      <c r="C74" s="360" t="s">
        <v>586</v>
      </c>
      <c r="D74" s="197" t="s">
        <v>587</v>
      </c>
      <c r="E74" s="87" t="s">
        <v>127</v>
      </c>
      <c r="F74" s="115">
        <v>2</v>
      </c>
      <c r="G74" s="8"/>
      <c r="H74" s="12"/>
      <c r="I74" s="8"/>
      <c r="J74" s="8"/>
      <c r="K74" s="8"/>
      <c r="L74" s="12"/>
      <c r="M74" s="10"/>
      <c r="N74" s="13"/>
      <c r="O74" s="30"/>
      <c r="P74" s="12"/>
      <c r="Q74" s="13"/>
      <c r="R74" s="13"/>
      <c r="S74" s="13"/>
      <c r="T74" s="13"/>
      <c r="U74" s="13"/>
      <c r="V74" s="13"/>
      <c r="W74" s="13"/>
      <c r="X74" s="13"/>
      <c r="Y74" s="13"/>
      <c r="Z74" s="13"/>
      <c r="AA74" s="12"/>
      <c r="AB74" s="12"/>
      <c r="AC74" s="13"/>
      <c r="AD74" s="13"/>
      <c r="AE74" s="13"/>
      <c r="AF74" s="13"/>
      <c r="AG74" s="13"/>
      <c r="AH74" s="13"/>
      <c r="AI74" s="12"/>
      <c r="AJ74" s="12"/>
      <c r="AK74" s="13"/>
      <c r="AL74" s="13"/>
      <c r="AM74" s="12"/>
      <c r="AN74" s="12"/>
      <c r="AO74" s="10"/>
      <c r="AP74" s="8"/>
      <c r="AQ74" s="8"/>
      <c r="AR74" s="8"/>
      <c r="AS74" s="101"/>
      <c r="AT74" s="101"/>
      <c r="AU74" s="101"/>
      <c r="AV74" s="101"/>
      <c r="AW74" s="189">
        <v>53550</v>
      </c>
      <c r="AX74" s="331">
        <v>83300</v>
      </c>
      <c r="AY74" s="189">
        <v>79000</v>
      </c>
      <c r="AZ74" s="101"/>
      <c r="BA74" s="101"/>
      <c r="BB74" s="331">
        <v>77350</v>
      </c>
      <c r="BC74" s="101"/>
      <c r="BD74" s="101"/>
      <c r="BE74" s="101"/>
      <c r="BF74" s="101"/>
      <c r="BG74" s="101"/>
      <c r="BH74" s="101"/>
      <c r="BI74" s="101"/>
      <c r="BJ74" s="101"/>
      <c r="BK74" s="101"/>
      <c r="BL74" s="101"/>
      <c r="BM74" s="101"/>
      <c r="BN74" s="101"/>
      <c r="BO74" s="63">
        <f>MEDIAN(AW74,AX74,AY74,BB74)</f>
        <v>78175</v>
      </c>
      <c r="BP74" s="63">
        <f>AVERAGE(AW74,AX74,AY74,BB74)</f>
        <v>73300</v>
      </c>
      <c r="BQ74" s="64">
        <f>STDEV(AW74,AX74,AY74,BB74)</f>
        <v>13403.419961586918</v>
      </c>
      <c r="BR74" s="65">
        <f t="shared" si="18"/>
        <v>0.18285702539682017</v>
      </c>
      <c r="BS74" s="88">
        <f t="shared" si="11"/>
        <v>65693.277310924372</v>
      </c>
      <c r="BT74" s="88">
        <f t="shared" si="12"/>
        <v>12481.72268907563</v>
      </c>
      <c r="BU74" s="74">
        <f t="shared" si="19"/>
        <v>78175</v>
      </c>
      <c r="BV74" s="75">
        <f t="shared" si="14"/>
        <v>156350</v>
      </c>
      <c r="BW74" s="76" t="s">
        <v>66</v>
      </c>
    </row>
    <row r="75" spans="1:76" ht="130.5" x14ac:dyDescent="0.35">
      <c r="A75" s="298">
        <v>69</v>
      </c>
      <c r="B75" s="529"/>
      <c r="C75" s="360" t="s">
        <v>581</v>
      </c>
      <c r="D75" s="197" t="s">
        <v>582</v>
      </c>
      <c r="E75" s="38" t="s">
        <v>127</v>
      </c>
      <c r="F75" s="117">
        <v>1</v>
      </c>
      <c r="G75" s="8"/>
      <c r="H75" s="12"/>
      <c r="I75" s="8"/>
      <c r="J75" s="12"/>
      <c r="K75" s="8"/>
      <c r="L75" s="10"/>
      <c r="M75" s="10"/>
      <c r="N75" s="13"/>
      <c r="O75" s="30"/>
      <c r="P75" s="13"/>
      <c r="Q75" s="13"/>
      <c r="R75" s="13"/>
      <c r="S75" s="13"/>
      <c r="T75" s="13"/>
      <c r="U75" s="13"/>
      <c r="V75" s="13"/>
      <c r="W75" s="13"/>
      <c r="X75" s="13"/>
      <c r="Y75" s="13"/>
      <c r="Z75" s="13"/>
      <c r="AA75" s="13"/>
      <c r="AB75" s="13"/>
      <c r="AC75" s="13"/>
      <c r="AD75" s="13"/>
      <c r="AE75" s="13"/>
      <c r="AF75" s="13"/>
      <c r="AG75" s="13"/>
      <c r="AH75" s="13"/>
      <c r="AI75" s="13"/>
      <c r="AJ75" s="13"/>
      <c r="AK75" s="13"/>
      <c r="AL75" s="13"/>
      <c r="AM75" s="12"/>
      <c r="AN75" s="12"/>
      <c r="AO75" s="189"/>
      <c r="AP75" s="8"/>
      <c r="AQ75" s="8"/>
      <c r="AR75" s="8"/>
      <c r="AS75" s="101"/>
      <c r="AT75" s="101"/>
      <c r="AU75" s="101"/>
      <c r="AV75" s="101"/>
      <c r="AW75" s="101"/>
      <c r="AX75" s="331">
        <v>19635</v>
      </c>
      <c r="AY75" s="189"/>
      <c r="AZ75" s="101"/>
      <c r="BA75" s="101"/>
      <c r="BB75" s="101"/>
      <c r="BC75" s="101"/>
      <c r="BD75" s="101"/>
      <c r="BE75" s="101"/>
      <c r="BF75" s="189">
        <v>17900</v>
      </c>
      <c r="BG75" s="34">
        <f>+BF75/1.19</f>
        <v>15042.01680672269</v>
      </c>
      <c r="BH75" s="34">
        <f>+((BG75*36%)+BG75)+5000</f>
        <v>25457.142857142859</v>
      </c>
      <c r="BI75" s="189">
        <v>15400</v>
      </c>
      <c r="BJ75" s="34">
        <f>+BI75/1.19</f>
        <v>12941.176470588236</v>
      </c>
      <c r="BK75" s="34">
        <f>+((BJ75*36%)+BJ75)+5000</f>
        <v>22600</v>
      </c>
      <c r="BL75" s="34"/>
      <c r="BM75" s="34"/>
      <c r="BN75" s="34"/>
      <c r="BO75" s="63">
        <f>MEDIAN(AX75,BH75,BK75)</f>
        <v>22600</v>
      </c>
      <c r="BP75" s="63">
        <f>AVERAGE(AX75,BH75,BK75)</f>
        <v>22564.047619047618</v>
      </c>
      <c r="BQ75" s="64">
        <f>STDEV(AX75,BH75,BK75)</f>
        <v>2911.2379312788826</v>
      </c>
      <c r="BR75" s="65">
        <f t="shared" si="18"/>
        <v>0.12902108612912774</v>
      </c>
      <c r="BS75" s="88">
        <f t="shared" si="11"/>
        <v>18962.18487394958</v>
      </c>
      <c r="BT75" s="88">
        <f t="shared" si="12"/>
        <v>3602.8151260504201</v>
      </c>
      <c r="BU75" s="74">
        <f t="shared" si="19"/>
        <v>22565</v>
      </c>
      <c r="BV75" s="75">
        <f t="shared" si="14"/>
        <v>22565</v>
      </c>
      <c r="BW75" s="76" t="s">
        <v>1121</v>
      </c>
    </row>
    <row r="76" spans="1:76" ht="106.5" hidden="1" customHeight="1" x14ac:dyDescent="0.35">
      <c r="A76" s="297">
        <v>70</v>
      </c>
      <c r="B76" s="533" t="s">
        <v>516</v>
      </c>
      <c r="C76" s="46" t="s">
        <v>517</v>
      </c>
      <c r="D76" s="89" t="s">
        <v>518</v>
      </c>
      <c r="E76" s="38" t="s">
        <v>131</v>
      </c>
      <c r="F76" s="333">
        <v>20</v>
      </c>
      <c r="G76" s="41"/>
      <c r="H76" s="41"/>
      <c r="I76" s="41"/>
      <c r="J76" s="41"/>
      <c r="K76" s="2"/>
      <c r="L76" s="2"/>
      <c r="M76" s="41"/>
      <c r="N76" s="41"/>
      <c r="O76" s="41"/>
      <c r="P76" s="41"/>
      <c r="Q76" s="41"/>
      <c r="R76" s="41"/>
      <c r="S76" s="41"/>
      <c r="T76" s="41"/>
      <c r="U76" s="41"/>
      <c r="V76" s="41"/>
      <c r="W76" s="41"/>
      <c r="X76" s="41"/>
      <c r="Y76" s="41"/>
      <c r="Z76" s="41"/>
      <c r="AA76" s="41"/>
      <c r="AB76" s="41"/>
      <c r="AC76" s="41"/>
      <c r="AD76" s="41"/>
      <c r="AE76" s="41">
        <v>309400</v>
      </c>
      <c r="AF76" s="41">
        <f>+(AE76*5.1%)+AE76</f>
        <v>325179.40000000002</v>
      </c>
      <c r="AG76" s="39"/>
      <c r="AH76" s="39"/>
      <c r="AI76" s="39"/>
      <c r="AJ76" s="39"/>
      <c r="AK76" s="39"/>
      <c r="AL76" s="39"/>
      <c r="AM76" s="42">
        <v>321300</v>
      </c>
      <c r="AN76" s="42">
        <f>+(AM76*5.1%)+AM76</f>
        <v>337686.3</v>
      </c>
      <c r="AO76" s="10"/>
      <c r="AP76" s="8"/>
      <c r="AQ76" s="8"/>
      <c r="AR76" s="53"/>
      <c r="AS76" s="105"/>
      <c r="AT76" s="8"/>
      <c r="AU76" s="8"/>
      <c r="AV76" s="53"/>
      <c r="AW76" s="53"/>
      <c r="AX76" s="53"/>
      <c r="AY76" s="53"/>
      <c r="AZ76" s="53"/>
      <c r="BA76" s="53"/>
      <c r="BB76" s="53"/>
      <c r="BC76" s="53"/>
      <c r="BD76" s="53"/>
      <c r="BE76" s="53"/>
      <c r="BF76" s="53"/>
      <c r="BG76" s="53"/>
      <c r="BH76" s="53"/>
      <c r="BI76" s="53"/>
      <c r="BJ76" s="53"/>
      <c r="BK76" s="53"/>
      <c r="BL76" s="53"/>
      <c r="BM76" s="53"/>
      <c r="BN76" s="53"/>
      <c r="BO76" s="69">
        <f>MEDIAN(AF76,AN76)</f>
        <v>331432.84999999998</v>
      </c>
      <c r="BP76" s="69">
        <f>AVERAGE(AF76,AN76)</f>
        <v>331432.84999999998</v>
      </c>
      <c r="BQ76" s="70">
        <f>STDEV(AF76,AN76)</f>
        <v>8843.7138016220069</v>
      </c>
      <c r="BR76" s="65">
        <f>BQ76/BP76</f>
        <v>2.6683274761756439E-2</v>
      </c>
      <c r="BS76" s="88">
        <f t="shared" si="11"/>
        <v>278515.12605042016</v>
      </c>
      <c r="BT76" s="88">
        <f t="shared" si="12"/>
        <v>52917.873949579829</v>
      </c>
      <c r="BU76" s="72">
        <f t="shared" si="19"/>
        <v>331433</v>
      </c>
      <c r="BV76" s="97">
        <f t="shared" si="14"/>
        <v>6628660</v>
      </c>
      <c r="BW76" s="76" t="s">
        <v>65</v>
      </c>
    </row>
    <row r="77" spans="1:76" ht="133.5" hidden="1" customHeight="1" x14ac:dyDescent="0.35">
      <c r="A77" s="297">
        <v>71</v>
      </c>
      <c r="B77" s="534"/>
      <c r="C77" s="46" t="s">
        <v>519</v>
      </c>
      <c r="D77" s="89" t="s">
        <v>520</v>
      </c>
      <c r="E77" s="38" t="s">
        <v>131</v>
      </c>
      <c r="F77" s="334">
        <v>3</v>
      </c>
      <c r="G77" s="41"/>
      <c r="H77" s="41"/>
      <c r="I77" s="41"/>
      <c r="J77" s="41"/>
      <c r="K77" s="2"/>
      <c r="L77" s="2"/>
      <c r="M77" s="41"/>
      <c r="N77" s="41"/>
      <c r="O77" s="41"/>
      <c r="P77" s="41"/>
      <c r="Q77" s="41"/>
      <c r="R77" s="41"/>
      <c r="S77" s="41"/>
      <c r="T77" s="41"/>
      <c r="U77" s="41"/>
      <c r="V77" s="41"/>
      <c r="W77" s="41"/>
      <c r="X77" s="41"/>
      <c r="Y77" s="41"/>
      <c r="Z77" s="41"/>
      <c r="AA77" s="41"/>
      <c r="AB77" s="41"/>
      <c r="AC77" s="41"/>
      <c r="AD77" s="41"/>
      <c r="AE77" s="41">
        <v>690200</v>
      </c>
      <c r="AF77" s="41">
        <f t="shared" ref="AF77:AF78" si="20">+(AE77*5.1%)+AE77</f>
        <v>725400.2</v>
      </c>
      <c r="AG77" s="39"/>
      <c r="AH77" s="39"/>
      <c r="AI77" s="39"/>
      <c r="AJ77" s="39"/>
      <c r="AK77" s="39"/>
      <c r="AL77" s="39"/>
      <c r="AM77" s="42">
        <v>725900</v>
      </c>
      <c r="AN77" s="42">
        <f t="shared" ref="AN77:AN79" si="21">+(AM77*5.1%)+AM77</f>
        <v>762920.9</v>
      </c>
      <c r="AO77" s="10"/>
      <c r="AP77" s="8"/>
      <c r="AQ77" s="8"/>
      <c r="AR77" s="53"/>
      <c r="AS77" s="53"/>
      <c r="AT77" s="53"/>
      <c r="AU77" s="53"/>
      <c r="AV77" s="53"/>
      <c r="AW77" s="53"/>
      <c r="AX77" s="53"/>
      <c r="AY77" s="53"/>
      <c r="AZ77" s="53"/>
      <c r="BA77" s="53"/>
      <c r="BB77" s="53"/>
      <c r="BC77" s="53"/>
      <c r="BD77" s="53"/>
      <c r="BE77" s="53"/>
      <c r="BF77" s="53"/>
      <c r="BG77" s="53"/>
      <c r="BH77" s="53"/>
      <c r="BI77" s="53"/>
      <c r="BJ77" s="53"/>
      <c r="BK77" s="53"/>
      <c r="BL77" s="53"/>
      <c r="BM77" s="53"/>
      <c r="BN77" s="53"/>
      <c r="BO77" s="69">
        <f>MEDIAN(AF77,AN77)</f>
        <v>744160.55</v>
      </c>
      <c r="BP77" s="69">
        <f>AVERAGE(AF77,AN77)</f>
        <v>744160.55</v>
      </c>
      <c r="BQ77" s="70">
        <f>STDEV(AF77,AN77)</f>
        <v>26531.141404866143</v>
      </c>
      <c r="BR77" s="65">
        <f t="shared" ref="BR77:BR100" si="22">BQ77/BP77</f>
        <v>3.5652442748901621E-2</v>
      </c>
      <c r="BS77" s="88">
        <f t="shared" si="11"/>
        <v>625345.37815126055</v>
      </c>
      <c r="BT77" s="88">
        <f t="shared" si="12"/>
        <v>118815.62184873951</v>
      </c>
      <c r="BU77" s="72">
        <f t="shared" si="19"/>
        <v>744161</v>
      </c>
      <c r="BV77" s="97">
        <f t="shared" si="14"/>
        <v>2232483</v>
      </c>
      <c r="BW77" s="76" t="s">
        <v>65</v>
      </c>
    </row>
    <row r="78" spans="1:76" ht="159.5" hidden="1" x14ac:dyDescent="0.35">
      <c r="A78" s="298">
        <v>72</v>
      </c>
      <c r="B78" s="534"/>
      <c r="C78" s="46" t="s">
        <v>521</v>
      </c>
      <c r="D78" s="89" t="s">
        <v>522</v>
      </c>
      <c r="E78" s="38" t="s">
        <v>64</v>
      </c>
      <c r="F78" s="334">
        <v>9</v>
      </c>
      <c r="G78" s="2"/>
      <c r="H78" s="2"/>
      <c r="I78" s="2"/>
      <c r="J78" s="2"/>
      <c r="K78" s="2"/>
      <c r="L78" s="2"/>
      <c r="M78" s="41"/>
      <c r="N78" s="41"/>
      <c r="O78" s="41"/>
      <c r="P78" s="41"/>
      <c r="Q78" s="41"/>
      <c r="R78" s="41"/>
      <c r="S78" s="41"/>
      <c r="T78" s="41"/>
      <c r="U78" s="41"/>
      <c r="V78" s="41"/>
      <c r="W78" s="41"/>
      <c r="X78" s="41"/>
      <c r="Y78" s="41"/>
      <c r="Z78" s="41"/>
      <c r="AA78" s="41"/>
      <c r="AB78" s="41"/>
      <c r="AC78" s="41"/>
      <c r="AD78" s="41"/>
      <c r="AE78" s="41">
        <v>48700</v>
      </c>
      <c r="AF78" s="41">
        <f t="shared" si="20"/>
        <v>51183.7</v>
      </c>
      <c r="AG78" s="39"/>
      <c r="AH78" s="39"/>
      <c r="AI78" s="39"/>
      <c r="AJ78" s="39"/>
      <c r="AK78" s="39"/>
      <c r="AL78" s="39"/>
      <c r="AM78" s="42">
        <v>53550</v>
      </c>
      <c r="AN78" s="42">
        <f t="shared" si="21"/>
        <v>56281.05</v>
      </c>
      <c r="AO78" s="10"/>
      <c r="AP78" s="8"/>
      <c r="AQ78" s="8"/>
      <c r="AR78" s="53"/>
      <c r="AS78" s="53"/>
      <c r="AT78" s="53"/>
      <c r="AU78" s="53"/>
      <c r="AV78" s="53"/>
      <c r="AW78" s="53"/>
      <c r="AX78" s="53"/>
      <c r="AY78" s="53"/>
      <c r="AZ78" s="53"/>
      <c r="BA78" s="53"/>
      <c r="BB78" s="53"/>
      <c r="BC78" s="53"/>
      <c r="BD78" s="53"/>
      <c r="BE78" s="53"/>
      <c r="BF78" s="53"/>
      <c r="BG78" s="53"/>
      <c r="BH78" s="53"/>
      <c r="BI78" s="53"/>
      <c r="BJ78" s="53"/>
      <c r="BK78" s="53"/>
      <c r="BL78" s="53"/>
      <c r="BM78" s="53"/>
      <c r="BN78" s="53"/>
      <c r="BO78" s="69">
        <f>MEDIAN(AF78,AN78)</f>
        <v>53732.375</v>
      </c>
      <c r="BP78" s="69">
        <f>AVERAGE(AF78,AN78)</f>
        <v>53732.375</v>
      </c>
      <c r="BQ78" s="70">
        <f>STDEV(AF78,AN78)</f>
        <v>3604.3707510812524</v>
      </c>
      <c r="BR78" s="65">
        <f t="shared" si="22"/>
        <v>6.7080056503760574E-2</v>
      </c>
      <c r="BS78" s="88">
        <f t="shared" si="11"/>
        <v>45153.781512605041</v>
      </c>
      <c r="BT78" s="88">
        <f t="shared" si="12"/>
        <v>8579.2184873949573</v>
      </c>
      <c r="BU78" s="72">
        <f t="shared" si="19"/>
        <v>53733</v>
      </c>
      <c r="BV78" s="97">
        <f t="shared" si="14"/>
        <v>483597</v>
      </c>
      <c r="BW78" s="76" t="s">
        <v>65</v>
      </c>
    </row>
    <row r="79" spans="1:76" ht="68.25" hidden="1" customHeight="1" x14ac:dyDescent="0.35">
      <c r="A79" s="297">
        <v>73</v>
      </c>
      <c r="B79" s="535"/>
      <c r="C79" s="46" t="s">
        <v>523</v>
      </c>
      <c r="D79" s="89" t="s">
        <v>524</v>
      </c>
      <c r="E79" s="38" t="s">
        <v>64</v>
      </c>
      <c r="F79" s="334">
        <v>1</v>
      </c>
      <c r="G79" s="2"/>
      <c r="H79" s="2"/>
      <c r="I79" s="2"/>
      <c r="J79" s="2"/>
      <c r="K79" s="2"/>
      <c r="L79" s="2"/>
      <c r="M79" s="41"/>
      <c r="N79" s="41"/>
      <c r="O79" s="41"/>
      <c r="P79" s="41"/>
      <c r="Q79" s="41"/>
      <c r="R79" s="41"/>
      <c r="S79" s="41"/>
      <c r="T79" s="41"/>
      <c r="U79" s="41"/>
      <c r="V79" s="41"/>
      <c r="W79" s="41"/>
      <c r="X79" s="41"/>
      <c r="Y79" s="41"/>
      <c r="Z79" s="41"/>
      <c r="AA79" s="41"/>
      <c r="AB79" s="41"/>
      <c r="AC79" s="41"/>
      <c r="AD79" s="41"/>
      <c r="AE79" s="41">
        <v>1309000</v>
      </c>
      <c r="AF79" s="41">
        <f>+(AE79*5.1%)+AE79</f>
        <v>1375759</v>
      </c>
      <c r="AG79" s="39"/>
      <c r="AH79" s="39"/>
      <c r="AI79" s="39"/>
      <c r="AJ79" s="39"/>
      <c r="AK79" s="39"/>
      <c r="AL79" s="39"/>
      <c r="AM79" s="42">
        <v>1428000</v>
      </c>
      <c r="AN79" s="42">
        <f t="shared" si="21"/>
        <v>1500828</v>
      </c>
      <c r="AO79" s="10"/>
      <c r="AP79" s="8"/>
      <c r="AQ79" s="8"/>
      <c r="AR79" s="8"/>
      <c r="AS79" s="53"/>
      <c r="AT79" s="53"/>
      <c r="AU79" s="53"/>
      <c r="AV79" s="53"/>
      <c r="AW79" s="53"/>
      <c r="AX79" s="53"/>
      <c r="AY79" s="53"/>
      <c r="AZ79" s="53"/>
      <c r="BA79" s="53"/>
      <c r="BB79" s="53"/>
      <c r="BC79" s="53"/>
      <c r="BD79" s="53"/>
      <c r="BE79" s="53"/>
      <c r="BF79" s="53"/>
      <c r="BG79" s="53"/>
      <c r="BH79" s="53"/>
      <c r="BI79" s="53"/>
      <c r="BJ79" s="53"/>
      <c r="BK79" s="53"/>
      <c r="BL79" s="53"/>
      <c r="BM79" s="53"/>
      <c r="BN79" s="53"/>
      <c r="BO79" s="69">
        <f>MEDIAN(AF79,AN79)</f>
        <v>1438293.5</v>
      </c>
      <c r="BP79" s="69">
        <f>AVERAGE(AF79,AN79)</f>
        <v>1438293.5</v>
      </c>
      <c r="BQ79" s="70">
        <f>STDEV(AF79,AN79)</f>
        <v>88437.138016220313</v>
      </c>
      <c r="BR79" s="65">
        <f t="shared" si="22"/>
        <v>6.1487546190134565E-2</v>
      </c>
      <c r="BS79" s="88">
        <f t="shared" si="11"/>
        <v>1208650.4201680673</v>
      </c>
      <c r="BT79" s="88">
        <f t="shared" si="12"/>
        <v>229643.57983193279</v>
      </c>
      <c r="BU79" s="72">
        <f t="shared" si="19"/>
        <v>1438294</v>
      </c>
      <c r="BV79" s="97">
        <f t="shared" si="14"/>
        <v>1438294</v>
      </c>
      <c r="BW79" s="76" t="s">
        <v>65</v>
      </c>
    </row>
    <row r="80" spans="1:76" ht="68.25" hidden="1" customHeight="1" x14ac:dyDescent="0.35">
      <c r="A80" s="297">
        <v>74</v>
      </c>
      <c r="B80" s="536" t="s">
        <v>525</v>
      </c>
      <c r="C80" s="98" t="s">
        <v>526</v>
      </c>
      <c r="D80" s="98" t="s">
        <v>527</v>
      </c>
      <c r="E80" s="38" t="s">
        <v>64</v>
      </c>
      <c r="F80" s="335">
        <v>100</v>
      </c>
      <c r="G80" s="2"/>
      <c r="H80" s="2"/>
      <c r="I80" s="2"/>
      <c r="J80" s="2"/>
      <c r="K80" s="2"/>
      <c r="L80" s="2"/>
      <c r="M80" s="41"/>
      <c r="N80" s="41"/>
      <c r="O80" s="41"/>
      <c r="P80" s="41"/>
      <c r="Q80" s="41"/>
      <c r="R80" s="41"/>
      <c r="S80" s="41"/>
      <c r="T80" s="41"/>
      <c r="U80" s="41"/>
      <c r="V80" s="41"/>
      <c r="W80" s="41"/>
      <c r="X80" s="41"/>
      <c r="Y80" s="41"/>
      <c r="Z80" s="41"/>
      <c r="AA80" s="41"/>
      <c r="AB80" s="41"/>
      <c r="AC80" s="41"/>
      <c r="AD80" s="41"/>
      <c r="AE80" s="41"/>
      <c r="AF80" s="41"/>
      <c r="AG80" s="39"/>
      <c r="AH80" s="39"/>
      <c r="AI80" s="39"/>
      <c r="AJ80" s="39"/>
      <c r="AK80" s="39"/>
      <c r="AL80" s="39"/>
      <c r="AM80" s="42"/>
      <c r="AN80" s="42"/>
      <c r="AO80" s="10">
        <v>80920</v>
      </c>
      <c r="AP80" s="8"/>
      <c r="AQ80" s="8">
        <v>128900</v>
      </c>
      <c r="AR80" s="10">
        <v>98319</v>
      </c>
      <c r="AS80" s="53"/>
      <c r="AT80" s="53"/>
      <c r="AU80" s="53"/>
      <c r="AV80" s="53"/>
      <c r="AW80" s="53"/>
      <c r="AX80" s="53"/>
      <c r="AY80" s="53"/>
      <c r="AZ80" s="53"/>
      <c r="BA80" s="53"/>
      <c r="BB80" s="53"/>
      <c r="BC80" s="53"/>
      <c r="BD80" s="53"/>
      <c r="BE80" s="53"/>
      <c r="BF80" s="53"/>
      <c r="BG80" s="53"/>
      <c r="BH80" s="53"/>
      <c r="BI80" s="53"/>
      <c r="BJ80" s="53"/>
      <c r="BK80" s="53"/>
      <c r="BL80" s="53"/>
      <c r="BM80" s="53"/>
      <c r="BN80" s="53"/>
      <c r="BO80" s="69">
        <f>MEDIAN(AO80,AQ80,AR80)</f>
        <v>98319</v>
      </c>
      <c r="BP80" s="69">
        <f>AVERAGE(AO80,AQ80,AR80)</f>
        <v>102713</v>
      </c>
      <c r="BQ80" s="70">
        <f>STDEV(AO80,AQ80,AR80)</f>
        <v>24289.92645110314</v>
      </c>
      <c r="BR80" s="65">
        <f t="shared" si="22"/>
        <v>0.23648346802355241</v>
      </c>
      <c r="BS80" s="88">
        <f t="shared" si="11"/>
        <v>82621.008403361353</v>
      </c>
      <c r="BT80" s="88">
        <f t="shared" si="12"/>
        <v>15697.991596638658</v>
      </c>
      <c r="BU80" s="72">
        <f t="shared" si="19"/>
        <v>98319</v>
      </c>
      <c r="BV80" s="97">
        <f t="shared" si="14"/>
        <v>9831900</v>
      </c>
      <c r="BW80" s="76" t="s">
        <v>66</v>
      </c>
    </row>
    <row r="81" spans="1:76" ht="68.25" hidden="1" customHeight="1" x14ac:dyDescent="0.35">
      <c r="A81" s="298">
        <v>75</v>
      </c>
      <c r="B81" s="537"/>
      <c r="C81" s="98" t="s">
        <v>528</v>
      </c>
      <c r="D81" s="98" t="s">
        <v>529</v>
      </c>
      <c r="E81" s="38" t="s">
        <v>64</v>
      </c>
      <c r="F81" s="336">
        <v>100</v>
      </c>
      <c r="G81" s="2"/>
      <c r="H81" s="2"/>
      <c r="I81" s="2"/>
      <c r="J81" s="2"/>
      <c r="K81" s="2"/>
      <c r="L81" s="2"/>
      <c r="M81" s="41"/>
      <c r="N81" s="41"/>
      <c r="O81" s="41"/>
      <c r="P81" s="41"/>
      <c r="Q81" s="41"/>
      <c r="R81" s="41"/>
      <c r="S81" s="41"/>
      <c r="T81" s="41"/>
      <c r="U81" s="41"/>
      <c r="V81" s="41"/>
      <c r="W81" s="41"/>
      <c r="X81" s="41"/>
      <c r="Y81" s="41"/>
      <c r="Z81" s="41"/>
      <c r="AA81" s="41"/>
      <c r="AB81" s="41"/>
      <c r="AC81" s="41"/>
      <c r="AD81" s="41"/>
      <c r="AE81" s="41"/>
      <c r="AF81" s="41"/>
      <c r="AG81" s="39"/>
      <c r="AH81" s="39"/>
      <c r="AI81" s="39"/>
      <c r="AJ81" s="39"/>
      <c r="AK81" s="39"/>
      <c r="AL81" s="39"/>
      <c r="AM81" s="42"/>
      <c r="AN81" s="42"/>
      <c r="AO81" s="10">
        <v>140420</v>
      </c>
      <c r="AP81" s="10">
        <v>312000</v>
      </c>
      <c r="AQ81" s="8">
        <v>190000</v>
      </c>
      <c r="AR81" s="8"/>
      <c r="AS81" s="53"/>
      <c r="AT81" s="53"/>
      <c r="AU81" s="53"/>
      <c r="AV81" s="53"/>
      <c r="AW81" s="53"/>
      <c r="AX81" s="53"/>
      <c r="AY81" s="53"/>
      <c r="AZ81" s="53"/>
      <c r="BA81" s="53"/>
      <c r="BB81" s="53"/>
      <c r="BC81" s="53"/>
      <c r="BD81" s="53"/>
      <c r="BE81" s="53"/>
      <c r="BF81" s="53"/>
      <c r="BG81" s="53"/>
      <c r="BH81" s="53"/>
      <c r="BI81" s="53"/>
      <c r="BJ81" s="53"/>
      <c r="BK81" s="53"/>
      <c r="BL81" s="53"/>
      <c r="BM81" s="53"/>
      <c r="BN81" s="53"/>
      <c r="BO81" s="69">
        <f>MEDIAN(AO81,AQ81,AR81)</f>
        <v>165210</v>
      </c>
      <c r="BP81" s="69">
        <f>AVERAGE(AO81,AQ81,AR81)</f>
        <v>165210</v>
      </c>
      <c r="BQ81" s="70">
        <f>STDEV(AO81,AQ81,AR81)</f>
        <v>35058.354211229023</v>
      </c>
      <c r="BR81" s="65">
        <f t="shared" si="22"/>
        <v>0.21220479517722307</v>
      </c>
      <c r="BS81" s="88">
        <f t="shared" si="11"/>
        <v>138831.93277310926</v>
      </c>
      <c r="BT81" s="88">
        <f t="shared" si="12"/>
        <v>26378.067226890762</v>
      </c>
      <c r="BU81" s="72">
        <f t="shared" si="19"/>
        <v>165210</v>
      </c>
      <c r="BV81" s="97">
        <f t="shared" si="14"/>
        <v>16521000</v>
      </c>
      <c r="BW81" s="76" t="s">
        <v>66</v>
      </c>
    </row>
    <row r="82" spans="1:76" ht="68.25" hidden="1" customHeight="1" x14ac:dyDescent="0.35">
      <c r="A82" s="297">
        <v>76</v>
      </c>
      <c r="B82" s="537"/>
      <c r="C82" s="98" t="s">
        <v>530</v>
      </c>
      <c r="D82" s="98" t="s">
        <v>531</v>
      </c>
      <c r="E82" s="38" t="s">
        <v>64</v>
      </c>
      <c r="F82" s="336">
        <v>30</v>
      </c>
      <c r="G82" s="2"/>
      <c r="H82" s="2"/>
      <c r="I82" s="2"/>
      <c r="J82" s="2"/>
      <c r="K82" s="2"/>
      <c r="L82" s="2"/>
      <c r="M82" s="41"/>
      <c r="N82" s="41"/>
      <c r="O82" s="41"/>
      <c r="P82" s="41"/>
      <c r="Q82" s="41"/>
      <c r="R82" s="41"/>
      <c r="S82" s="41"/>
      <c r="T82" s="41"/>
      <c r="U82" s="41"/>
      <c r="V82" s="41"/>
      <c r="W82" s="41"/>
      <c r="X82" s="41"/>
      <c r="Y82" s="41"/>
      <c r="Z82" s="41"/>
      <c r="AA82" s="41"/>
      <c r="AB82" s="41"/>
      <c r="AC82" s="41"/>
      <c r="AD82" s="41"/>
      <c r="AE82" s="41"/>
      <c r="AF82" s="41"/>
      <c r="AG82" s="39"/>
      <c r="AH82" s="39"/>
      <c r="AI82" s="39"/>
      <c r="AJ82" s="39"/>
      <c r="AK82" s="39"/>
      <c r="AL82" s="39"/>
      <c r="AM82" s="42"/>
      <c r="AN82" s="42"/>
      <c r="AO82" s="10">
        <v>157080</v>
      </c>
      <c r="AP82" s="8"/>
      <c r="AQ82" s="8">
        <v>210000</v>
      </c>
      <c r="AR82" s="10">
        <v>302521</v>
      </c>
      <c r="AS82" s="53"/>
      <c r="AT82" s="53"/>
      <c r="AU82" s="53"/>
      <c r="AV82" s="53"/>
      <c r="AW82" s="53"/>
      <c r="AX82" s="53"/>
      <c r="AY82" s="53"/>
      <c r="AZ82" s="53"/>
      <c r="BA82" s="53"/>
      <c r="BB82" s="53"/>
      <c r="BC82" s="53"/>
      <c r="BD82" s="53"/>
      <c r="BE82" s="53"/>
      <c r="BF82" s="53"/>
      <c r="BG82" s="53"/>
      <c r="BH82" s="53"/>
      <c r="BI82" s="53"/>
      <c r="BJ82" s="53"/>
      <c r="BK82" s="53"/>
      <c r="BL82" s="8"/>
      <c r="BM82" s="8"/>
      <c r="BN82" s="8"/>
      <c r="BO82" s="69">
        <f>MEDIAN(AO82,AQ82)</f>
        <v>183540</v>
      </c>
      <c r="BP82" s="69">
        <f>AVERAGE(AO82,AQ82)</f>
        <v>183540</v>
      </c>
      <c r="BQ82" s="70">
        <f>STDEV(AO82,AQ82)</f>
        <v>37420.090860392098</v>
      </c>
      <c r="BR82" s="65">
        <f t="shared" si="22"/>
        <v>0.2038797584199199</v>
      </c>
      <c r="BS82" s="88">
        <f t="shared" si="11"/>
        <v>154235.29411764708</v>
      </c>
      <c r="BT82" s="88">
        <f t="shared" si="12"/>
        <v>29304.705882352944</v>
      </c>
      <c r="BU82" s="72">
        <f t="shared" si="19"/>
        <v>183540</v>
      </c>
      <c r="BV82" s="97">
        <f t="shared" si="14"/>
        <v>5506200</v>
      </c>
      <c r="BW82" s="76" t="s">
        <v>66</v>
      </c>
    </row>
    <row r="83" spans="1:76" ht="68.25" hidden="1" customHeight="1" x14ac:dyDescent="0.35">
      <c r="A83" s="298">
        <v>77</v>
      </c>
      <c r="B83" s="537"/>
      <c r="C83" s="98" t="s">
        <v>532</v>
      </c>
      <c r="D83" s="539" t="s">
        <v>533</v>
      </c>
      <c r="E83" s="38" t="s">
        <v>64</v>
      </c>
      <c r="F83" s="336">
        <v>8</v>
      </c>
      <c r="G83" s="2"/>
      <c r="H83" s="2"/>
      <c r="I83" s="2"/>
      <c r="J83" s="2"/>
      <c r="K83" s="2"/>
      <c r="L83" s="2"/>
      <c r="M83" s="41"/>
      <c r="N83" s="41"/>
      <c r="O83" s="41"/>
      <c r="P83" s="41"/>
      <c r="Q83" s="41"/>
      <c r="R83" s="41"/>
      <c r="S83" s="41"/>
      <c r="T83" s="41"/>
      <c r="U83" s="41"/>
      <c r="V83" s="41"/>
      <c r="W83" s="41"/>
      <c r="X83" s="41"/>
      <c r="Y83" s="41"/>
      <c r="Z83" s="41"/>
      <c r="AA83" s="41"/>
      <c r="AB83" s="41"/>
      <c r="AC83" s="41"/>
      <c r="AD83" s="41"/>
      <c r="AE83" s="41"/>
      <c r="AF83" s="41"/>
      <c r="AG83" s="39"/>
      <c r="AH83" s="39"/>
      <c r="AI83" s="39"/>
      <c r="AJ83" s="39"/>
      <c r="AK83" s="39"/>
      <c r="AL83" s="39"/>
      <c r="AM83" s="42"/>
      <c r="AN83" s="42"/>
      <c r="AO83" s="10">
        <v>82110</v>
      </c>
      <c r="AP83" s="10"/>
      <c r="AQ83" s="8">
        <v>119900</v>
      </c>
      <c r="AR83" s="10">
        <v>119328</v>
      </c>
      <c r="AS83" s="53"/>
      <c r="AT83" s="53"/>
      <c r="AU83" s="53"/>
      <c r="AV83" s="53"/>
      <c r="AW83" s="53"/>
      <c r="AX83" s="53"/>
      <c r="AY83" s="53"/>
      <c r="AZ83" s="53"/>
      <c r="BA83" s="53"/>
      <c r="BB83" s="53"/>
      <c r="BC83" s="53"/>
      <c r="BD83" s="53"/>
      <c r="BE83" s="53"/>
      <c r="BF83" s="53"/>
      <c r="BG83" s="53"/>
      <c r="BH83" s="53"/>
      <c r="BI83" s="53"/>
      <c r="BJ83" s="53"/>
      <c r="BK83" s="53"/>
      <c r="BL83" s="8">
        <v>114900</v>
      </c>
      <c r="BM83" s="24">
        <f>+BL83/1.19</f>
        <v>96554.621848739494</v>
      </c>
      <c r="BN83" s="24">
        <f>+(BM83*36%)+BM83</f>
        <v>131314.28571428571</v>
      </c>
      <c r="BO83" s="69">
        <f>MEDIAN(AO83,AQ83,AR83,BN83)</f>
        <v>119614</v>
      </c>
      <c r="BP83" s="69">
        <f>AVERAGE(AO83,AQ83,AR83,BN83)</f>
        <v>113163.07142857142</v>
      </c>
      <c r="BQ83" s="70">
        <f>STDEV(AO83,AQ83,AR83,BN83)</f>
        <v>21425.470637080791</v>
      </c>
      <c r="BR83" s="65">
        <f t="shared" si="22"/>
        <v>0.18933270692113158</v>
      </c>
      <c r="BS83" s="88">
        <f t="shared" si="11"/>
        <v>100515.96638655463</v>
      </c>
      <c r="BT83" s="88">
        <f t="shared" si="12"/>
        <v>19098.033613445379</v>
      </c>
      <c r="BU83" s="72">
        <f t="shared" si="19"/>
        <v>119614</v>
      </c>
      <c r="BV83" s="97">
        <f t="shared" si="14"/>
        <v>956912</v>
      </c>
      <c r="BW83" s="76" t="s">
        <v>66</v>
      </c>
    </row>
    <row r="84" spans="1:76" ht="68.25" hidden="1" customHeight="1" x14ac:dyDescent="0.35">
      <c r="A84" s="297">
        <v>78</v>
      </c>
      <c r="B84" s="537"/>
      <c r="C84" s="98" t="s">
        <v>534</v>
      </c>
      <c r="D84" s="540"/>
      <c r="E84" s="38" t="s">
        <v>64</v>
      </c>
      <c r="F84" s="336">
        <v>12</v>
      </c>
      <c r="G84" s="2"/>
      <c r="H84" s="2"/>
      <c r="I84" s="2"/>
      <c r="J84" s="2"/>
      <c r="K84" s="2"/>
      <c r="L84" s="2"/>
      <c r="M84" s="41"/>
      <c r="N84" s="41"/>
      <c r="O84" s="41"/>
      <c r="P84" s="41"/>
      <c r="Q84" s="41"/>
      <c r="R84" s="41"/>
      <c r="S84" s="41"/>
      <c r="T84" s="41"/>
      <c r="U84" s="41"/>
      <c r="V84" s="41"/>
      <c r="W84" s="41"/>
      <c r="X84" s="41"/>
      <c r="Y84" s="41"/>
      <c r="Z84" s="41"/>
      <c r="AA84" s="41"/>
      <c r="AB84" s="41"/>
      <c r="AC84" s="41"/>
      <c r="AD84" s="41"/>
      <c r="AE84" s="41"/>
      <c r="AF84" s="41"/>
      <c r="AG84" s="39"/>
      <c r="AH84" s="39"/>
      <c r="AI84" s="39"/>
      <c r="AJ84" s="39"/>
      <c r="AK84" s="39"/>
      <c r="AL84" s="39"/>
      <c r="AM84" s="42"/>
      <c r="AN84" s="42"/>
      <c r="AO84" s="10">
        <v>82110</v>
      </c>
      <c r="AP84" s="10">
        <v>101000</v>
      </c>
      <c r="AQ84" s="8">
        <v>119900</v>
      </c>
      <c r="AR84" s="10">
        <v>119328</v>
      </c>
      <c r="AS84" s="53"/>
      <c r="AT84" s="53"/>
      <c r="AU84" s="53"/>
      <c r="AV84" s="53"/>
      <c r="AW84" s="53"/>
      <c r="AX84" s="53"/>
      <c r="AY84" s="53"/>
      <c r="AZ84" s="53"/>
      <c r="BA84" s="53"/>
      <c r="BB84" s="53"/>
      <c r="BC84" s="53"/>
      <c r="BD84" s="53"/>
      <c r="BE84" s="53"/>
      <c r="BF84" s="53"/>
      <c r="BG84" s="53"/>
      <c r="BH84" s="53"/>
      <c r="BI84" s="53"/>
      <c r="BJ84" s="53"/>
      <c r="BK84" s="53"/>
      <c r="BL84" s="53">
        <v>106900</v>
      </c>
      <c r="BM84" s="34">
        <f>+BL84/1.19</f>
        <v>89831.932773109249</v>
      </c>
      <c r="BN84" s="34">
        <f>+(BM84*36%)+BM84</f>
        <v>122171.42857142858</v>
      </c>
      <c r="BO84" s="69">
        <f>MEDIAN(AO84,AP84,AQ84,AR84,BN84)</f>
        <v>119328</v>
      </c>
      <c r="BP84" s="69">
        <f>AVERAGE(AO84,AP84,AQ84,AR84,BN84)</f>
        <v>108901.88571428573</v>
      </c>
      <c r="BQ84" s="70">
        <f>STDEV(AO84,AP84,AQ84,AR84,BN84)</f>
        <v>17219.088844556612</v>
      </c>
      <c r="BR84" s="65">
        <f t="shared" si="22"/>
        <v>0.1581156169300181</v>
      </c>
      <c r="BS84" s="88">
        <f t="shared" si="11"/>
        <v>100275.63025210085</v>
      </c>
      <c r="BT84" s="88">
        <f t="shared" si="12"/>
        <v>19052.36974789916</v>
      </c>
      <c r="BU84" s="72">
        <f t="shared" si="19"/>
        <v>119328</v>
      </c>
      <c r="BV84" s="97">
        <f t="shared" si="14"/>
        <v>1431936</v>
      </c>
      <c r="BW84" s="76" t="s">
        <v>66</v>
      </c>
    </row>
    <row r="85" spans="1:76" ht="68.25" hidden="1" customHeight="1" x14ac:dyDescent="0.35">
      <c r="A85" s="297">
        <v>79</v>
      </c>
      <c r="B85" s="537"/>
      <c r="C85" s="98" t="s">
        <v>535</v>
      </c>
      <c r="D85" s="540"/>
      <c r="E85" s="38" t="s">
        <v>64</v>
      </c>
      <c r="F85" s="336">
        <v>80</v>
      </c>
      <c r="G85" s="2"/>
      <c r="H85" s="2"/>
      <c r="I85" s="2"/>
      <c r="J85" s="2"/>
      <c r="K85" s="2"/>
      <c r="L85" s="2"/>
      <c r="M85" s="41"/>
      <c r="N85" s="41"/>
      <c r="O85" s="41"/>
      <c r="P85" s="41"/>
      <c r="Q85" s="41"/>
      <c r="R85" s="41"/>
      <c r="S85" s="41"/>
      <c r="T85" s="41"/>
      <c r="U85" s="41"/>
      <c r="V85" s="41"/>
      <c r="W85" s="41"/>
      <c r="X85" s="41"/>
      <c r="Y85" s="41"/>
      <c r="Z85" s="41"/>
      <c r="AA85" s="41"/>
      <c r="AB85" s="41"/>
      <c r="AC85" s="41"/>
      <c r="AD85" s="41"/>
      <c r="AE85" s="41"/>
      <c r="AF85" s="41"/>
      <c r="AG85" s="39"/>
      <c r="AH85" s="39"/>
      <c r="AI85" s="39"/>
      <c r="AJ85" s="39"/>
      <c r="AK85" s="39"/>
      <c r="AL85" s="39"/>
      <c r="AM85" s="42"/>
      <c r="AN85" s="42"/>
      <c r="AO85" s="10">
        <v>82110</v>
      </c>
      <c r="AP85" s="8"/>
      <c r="AQ85" s="8">
        <v>119900</v>
      </c>
      <c r="AR85" s="10">
        <v>119328</v>
      </c>
      <c r="AS85" s="53"/>
      <c r="AT85" s="53"/>
      <c r="AU85" s="53"/>
      <c r="AV85" s="53"/>
      <c r="AW85" s="53"/>
      <c r="AX85" s="53"/>
      <c r="AY85" s="53"/>
      <c r="AZ85" s="53"/>
      <c r="BA85" s="53"/>
      <c r="BB85" s="53"/>
      <c r="BC85" s="53"/>
      <c r="BD85" s="53"/>
      <c r="BE85" s="53"/>
      <c r="BF85" s="53"/>
      <c r="BG85" s="53"/>
      <c r="BH85" s="53"/>
      <c r="BI85" s="53"/>
      <c r="BJ85" s="53"/>
      <c r="BK85" s="53"/>
      <c r="BL85" s="53">
        <v>96600</v>
      </c>
      <c r="BM85" s="34">
        <f>+BL85/1.19</f>
        <v>81176.470588235301</v>
      </c>
      <c r="BN85" s="34">
        <f>+(BM85*36%)+BM85</f>
        <v>110400</v>
      </c>
      <c r="BO85" s="69">
        <f>MEDIAN(AO85,AQ85,AR85,BN85)</f>
        <v>114864</v>
      </c>
      <c r="BP85" s="69">
        <f>AVERAGE(AO85,AQ85,AR85,BN85)</f>
        <v>107934.5</v>
      </c>
      <c r="BQ85" s="70">
        <f>STDEV(AO85,AQ85,AR85,BN85)</f>
        <v>17757.332034965162</v>
      </c>
      <c r="BR85" s="65">
        <f t="shared" si="22"/>
        <v>0.16451951910617238</v>
      </c>
      <c r="BS85" s="88">
        <f t="shared" si="11"/>
        <v>96524.369747899167</v>
      </c>
      <c r="BT85" s="88">
        <f t="shared" si="12"/>
        <v>18339.63025210084</v>
      </c>
      <c r="BU85" s="72">
        <f t="shared" si="19"/>
        <v>114864</v>
      </c>
      <c r="BV85" s="97">
        <f t="shared" si="14"/>
        <v>9189120</v>
      </c>
      <c r="BW85" s="76" t="s">
        <v>66</v>
      </c>
    </row>
    <row r="86" spans="1:76" ht="68.25" hidden="1" customHeight="1" x14ac:dyDescent="0.35">
      <c r="A86" s="298">
        <v>80</v>
      </c>
      <c r="B86" s="537"/>
      <c r="C86" s="98" t="s">
        <v>536</v>
      </c>
      <c r="D86" s="541"/>
      <c r="E86" s="38" t="s">
        <v>64</v>
      </c>
      <c r="F86" s="336">
        <v>53</v>
      </c>
      <c r="G86" s="2"/>
      <c r="H86" s="2"/>
      <c r="I86" s="2"/>
      <c r="J86" s="2"/>
      <c r="K86" s="2"/>
      <c r="L86" s="2"/>
      <c r="M86" s="41"/>
      <c r="N86" s="41"/>
      <c r="O86" s="41"/>
      <c r="P86" s="41"/>
      <c r="Q86" s="41"/>
      <c r="R86" s="41"/>
      <c r="S86" s="41"/>
      <c r="T86" s="41"/>
      <c r="U86" s="41"/>
      <c r="V86" s="41"/>
      <c r="W86" s="41"/>
      <c r="X86" s="41"/>
      <c r="Y86" s="41"/>
      <c r="Z86" s="41"/>
      <c r="AA86" s="41"/>
      <c r="AB86" s="41"/>
      <c r="AC86" s="41"/>
      <c r="AD86" s="41"/>
      <c r="AE86" s="41"/>
      <c r="AF86" s="41"/>
      <c r="AG86" s="39"/>
      <c r="AH86" s="39"/>
      <c r="AI86" s="39"/>
      <c r="AJ86" s="39"/>
      <c r="AK86" s="39"/>
      <c r="AL86" s="39"/>
      <c r="AM86" s="42"/>
      <c r="AN86" s="42"/>
      <c r="AO86" s="10">
        <v>82110</v>
      </c>
      <c r="AP86" s="8"/>
      <c r="AQ86" s="8">
        <v>124900</v>
      </c>
      <c r="AR86" s="10">
        <v>126050</v>
      </c>
      <c r="AS86" s="53"/>
      <c r="AT86" s="53"/>
      <c r="AU86" s="53"/>
      <c r="AV86" s="53"/>
      <c r="AW86" s="53"/>
      <c r="AX86" s="53"/>
      <c r="AY86" s="53"/>
      <c r="AZ86" s="53"/>
      <c r="BA86" s="53"/>
      <c r="BB86" s="53"/>
      <c r="BC86" s="53"/>
      <c r="BD86" s="53"/>
      <c r="BE86" s="53"/>
      <c r="BF86" s="53"/>
      <c r="BG86" s="53"/>
      <c r="BH86" s="53"/>
      <c r="BI86" s="53"/>
      <c r="BJ86" s="53"/>
      <c r="BK86" s="53"/>
      <c r="BL86" s="53"/>
      <c r="BM86" s="34"/>
      <c r="BN86" s="34"/>
      <c r="BO86" s="69">
        <f t="shared" ref="BO86:BO88" si="23">MEDIAN(AO86,AQ86,AR86)</f>
        <v>124900</v>
      </c>
      <c r="BP86" s="69">
        <f t="shared" ref="BP86:BP88" si="24">AVERAGE(AO86,AQ86,AR86)</f>
        <v>111020</v>
      </c>
      <c r="BQ86" s="70">
        <f t="shared" ref="BQ86:BQ88" si="25">STDEV(AO86,AQ86,AR86)</f>
        <v>25043.396335161891</v>
      </c>
      <c r="BR86" s="65">
        <f t="shared" si="22"/>
        <v>0.2255755389584029</v>
      </c>
      <c r="BS86" s="88">
        <f t="shared" si="11"/>
        <v>104957.98319327731</v>
      </c>
      <c r="BT86" s="88">
        <f t="shared" si="12"/>
        <v>19942.016806722688</v>
      </c>
      <c r="BU86" s="72">
        <f t="shared" si="19"/>
        <v>124900</v>
      </c>
      <c r="BV86" s="97">
        <f t="shared" si="14"/>
        <v>6619700</v>
      </c>
      <c r="BW86" s="76" t="s">
        <v>66</v>
      </c>
    </row>
    <row r="87" spans="1:76" ht="68.25" hidden="1" customHeight="1" x14ac:dyDescent="0.35">
      <c r="A87" s="297">
        <v>81</v>
      </c>
      <c r="B87" s="537"/>
      <c r="C87" s="98" t="s">
        <v>537</v>
      </c>
      <c r="D87" s="98" t="s">
        <v>538</v>
      </c>
      <c r="E87" s="38" t="s">
        <v>64</v>
      </c>
      <c r="F87" s="336">
        <v>198</v>
      </c>
      <c r="G87" s="2"/>
      <c r="H87" s="2"/>
      <c r="I87" s="2"/>
      <c r="J87" s="2"/>
      <c r="K87" s="2"/>
      <c r="L87" s="2"/>
      <c r="M87" s="41"/>
      <c r="N87" s="41"/>
      <c r="O87" s="41"/>
      <c r="P87" s="41"/>
      <c r="Q87" s="41"/>
      <c r="R87" s="41"/>
      <c r="S87" s="41"/>
      <c r="T87" s="41"/>
      <c r="U87" s="41"/>
      <c r="V87" s="41"/>
      <c r="W87" s="41"/>
      <c r="X87" s="41"/>
      <c r="Y87" s="41"/>
      <c r="Z87" s="41"/>
      <c r="AA87" s="41"/>
      <c r="AB87" s="41"/>
      <c r="AC87" s="41"/>
      <c r="AD87" s="41"/>
      <c r="AE87" s="41"/>
      <c r="AF87" s="41"/>
      <c r="AG87" s="39"/>
      <c r="AH87" s="39"/>
      <c r="AI87" s="39"/>
      <c r="AJ87" s="39"/>
      <c r="AK87" s="39"/>
      <c r="AL87" s="39"/>
      <c r="AM87" s="42"/>
      <c r="AN87" s="42"/>
      <c r="AO87" s="10">
        <v>21420</v>
      </c>
      <c r="AP87" s="10">
        <v>39000</v>
      </c>
      <c r="AQ87" s="8">
        <v>35900</v>
      </c>
      <c r="AR87" s="10">
        <v>25210</v>
      </c>
      <c r="AS87" s="53"/>
      <c r="AT87" s="53"/>
      <c r="AU87" s="53"/>
      <c r="AV87" s="53"/>
      <c r="AW87" s="53"/>
      <c r="AX87" s="53"/>
      <c r="AY87" s="53"/>
      <c r="AZ87" s="53"/>
      <c r="BA87" s="53"/>
      <c r="BB87" s="53"/>
      <c r="BC87" s="53"/>
      <c r="BD87" s="53"/>
      <c r="BE87" s="53"/>
      <c r="BF87" s="53"/>
      <c r="BG87" s="53"/>
      <c r="BH87" s="53"/>
      <c r="BI87" s="53"/>
      <c r="BJ87" s="53"/>
      <c r="BK87" s="53"/>
      <c r="BL87" s="53"/>
      <c r="BM87" s="53"/>
      <c r="BN87" s="53"/>
      <c r="BO87" s="69">
        <f t="shared" si="23"/>
        <v>25210</v>
      </c>
      <c r="BP87" s="69">
        <f t="shared" si="24"/>
        <v>27510</v>
      </c>
      <c r="BQ87" s="70">
        <f t="shared" si="25"/>
        <v>7509.0012651483821</v>
      </c>
      <c r="BR87" s="65">
        <f t="shared" si="22"/>
        <v>0.27295533497449592</v>
      </c>
      <c r="BS87" s="88">
        <f t="shared" si="11"/>
        <v>21184.873949579833</v>
      </c>
      <c r="BT87" s="88">
        <f t="shared" si="12"/>
        <v>4025.1260504201682</v>
      </c>
      <c r="BU87" s="72">
        <f t="shared" si="19"/>
        <v>25210</v>
      </c>
      <c r="BV87" s="97">
        <f t="shared" si="14"/>
        <v>4991580</v>
      </c>
      <c r="BW87" s="76" t="s">
        <v>66</v>
      </c>
    </row>
    <row r="88" spans="1:76" ht="68.25" customHeight="1" x14ac:dyDescent="0.35">
      <c r="A88" s="297">
        <v>82</v>
      </c>
      <c r="B88" s="537"/>
      <c r="C88" s="98" t="s">
        <v>539</v>
      </c>
      <c r="D88" s="98" t="s">
        <v>540</v>
      </c>
      <c r="E88" s="38" t="s">
        <v>64</v>
      </c>
      <c r="F88" s="336">
        <v>150</v>
      </c>
      <c r="G88" s="2"/>
      <c r="H88" s="2"/>
      <c r="I88" s="2"/>
      <c r="J88" s="2"/>
      <c r="K88" s="2"/>
      <c r="L88" s="2"/>
      <c r="M88" s="41"/>
      <c r="N88" s="41"/>
      <c r="O88" s="41"/>
      <c r="P88" s="41"/>
      <c r="Q88" s="41"/>
      <c r="R88" s="41"/>
      <c r="S88" s="41"/>
      <c r="T88" s="41"/>
      <c r="U88" s="41"/>
      <c r="V88" s="41"/>
      <c r="W88" s="41"/>
      <c r="X88" s="41"/>
      <c r="Y88" s="41"/>
      <c r="Z88" s="41"/>
      <c r="AA88" s="41"/>
      <c r="AB88" s="41"/>
      <c r="AC88" s="41"/>
      <c r="AD88" s="41"/>
      <c r="AE88" s="41"/>
      <c r="AF88" s="41"/>
      <c r="AG88" s="39"/>
      <c r="AH88" s="39"/>
      <c r="AI88" s="39"/>
      <c r="AJ88" s="39"/>
      <c r="AK88" s="39"/>
      <c r="AL88" s="39"/>
      <c r="AM88" s="42"/>
      <c r="AN88" s="42"/>
      <c r="AO88" s="10">
        <v>91630</v>
      </c>
      <c r="AP88" s="8"/>
      <c r="AQ88" s="8"/>
      <c r="AR88" s="10">
        <v>90756</v>
      </c>
      <c r="AS88" s="53"/>
      <c r="AT88" s="53"/>
      <c r="AU88" s="53"/>
      <c r="AV88" s="53"/>
      <c r="AW88" s="53"/>
      <c r="AX88" s="53"/>
      <c r="AY88" s="53"/>
      <c r="AZ88" s="53"/>
      <c r="BA88" s="53"/>
      <c r="BB88" s="53"/>
      <c r="BC88" s="53"/>
      <c r="BD88" s="53"/>
      <c r="BE88" s="53"/>
      <c r="BF88" s="53"/>
      <c r="BG88" s="53"/>
      <c r="BH88" s="53"/>
      <c r="BI88" s="53"/>
      <c r="BJ88" s="53"/>
      <c r="BK88" s="53"/>
      <c r="BL88" s="53"/>
      <c r="BM88" s="53"/>
      <c r="BN88" s="53"/>
      <c r="BO88" s="69">
        <f t="shared" si="23"/>
        <v>91193</v>
      </c>
      <c r="BP88" s="69">
        <f t="shared" si="24"/>
        <v>91193</v>
      </c>
      <c r="BQ88" s="70">
        <f t="shared" si="25"/>
        <v>618.01132675704253</v>
      </c>
      <c r="BR88" s="65">
        <f t="shared" si="22"/>
        <v>6.7769601477859322E-3</v>
      </c>
      <c r="BS88" s="88">
        <f t="shared" si="11"/>
        <v>76632.773109243702</v>
      </c>
      <c r="BT88" s="88">
        <f t="shared" si="12"/>
        <v>14560.226890756303</v>
      </c>
      <c r="BU88" s="72">
        <f t="shared" si="19"/>
        <v>91193</v>
      </c>
      <c r="BV88" s="97">
        <f t="shared" si="14"/>
        <v>13678950</v>
      </c>
      <c r="BW88" s="76" t="s">
        <v>65</v>
      </c>
    </row>
    <row r="89" spans="1:76" ht="96.75" hidden="1" customHeight="1" x14ac:dyDescent="0.35">
      <c r="A89" s="298">
        <v>83</v>
      </c>
      <c r="B89" s="537"/>
      <c r="C89" s="360" t="s">
        <v>588</v>
      </c>
      <c r="D89" s="197" t="s">
        <v>589</v>
      </c>
      <c r="E89" s="38" t="s">
        <v>64</v>
      </c>
      <c r="F89" s="336">
        <v>5</v>
      </c>
      <c r="G89" s="2"/>
      <c r="H89" s="2"/>
      <c r="I89" s="2"/>
      <c r="J89" s="2"/>
      <c r="K89" s="2"/>
      <c r="L89" s="2"/>
      <c r="M89" s="41"/>
      <c r="N89" s="41"/>
      <c r="O89" s="41"/>
      <c r="P89" s="41"/>
      <c r="Q89" s="41"/>
      <c r="R89" s="41"/>
      <c r="S89" s="41"/>
      <c r="T89" s="41"/>
      <c r="U89" s="41"/>
      <c r="V89" s="41"/>
      <c r="W89" s="41"/>
      <c r="X89" s="41"/>
      <c r="Y89" s="41"/>
      <c r="Z89" s="41"/>
      <c r="AA89" s="41"/>
      <c r="AB89" s="41"/>
      <c r="AC89" s="41"/>
      <c r="AD89" s="41"/>
      <c r="AE89" s="41"/>
      <c r="AF89" s="41"/>
      <c r="AG89" s="39"/>
      <c r="AH89" s="39"/>
      <c r="AI89" s="39"/>
      <c r="AJ89" s="39"/>
      <c r="AK89" s="39"/>
      <c r="AL89" s="39"/>
      <c r="AM89" s="42"/>
      <c r="AN89" s="42"/>
      <c r="AO89" s="10"/>
      <c r="AP89" s="10"/>
      <c r="AQ89" s="8"/>
      <c r="AR89" s="10"/>
      <c r="AS89" s="53"/>
      <c r="AT89" s="53"/>
      <c r="AU89" s="53"/>
      <c r="AV89" s="53"/>
      <c r="AW89" s="53"/>
      <c r="AX89" s="53"/>
      <c r="AY89" s="53"/>
      <c r="AZ89" s="53"/>
      <c r="BA89" s="189">
        <v>10500</v>
      </c>
      <c r="BB89" s="53"/>
      <c r="BC89" s="332">
        <v>11305</v>
      </c>
      <c r="BD89" s="302">
        <v>19635</v>
      </c>
      <c r="BE89" s="331">
        <v>14280</v>
      </c>
      <c r="BF89" s="337"/>
      <c r="BG89" s="337"/>
      <c r="BH89" s="337"/>
      <c r="BI89" s="337"/>
      <c r="BJ89" s="337"/>
      <c r="BK89" s="337"/>
      <c r="BL89" s="337"/>
      <c r="BM89" s="337"/>
      <c r="BN89" s="337"/>
      <c r="BO89" s="69">
        <f>MEDIAN(BA89,BC89,BD89,BE89)</f>
        <v>12792.5</v>
      </c>
      <c r="BP89" s="69">
        <f>AVERAGE(BA89,BC89,BD89,BE89)</f>
        <v>13930</v>
      </c>
      <c r="BQ89" s="70">
        <f>STDEV(BA89,BC89,BD89,BE89)</f>
        <v>4136.2241235213551</v>
      </c>
      <c r="BR89" s="65">
        <f t="shared" si="22"/>
        <v>0.2969292263834426</v>
      </c>
      <c r="BS89" s="88">
        <f t="shared" si="11"/>
        <v>10750.420168067227</v>
      </c>
      <c r="BT89" s="88">
        <f t="shared" si="12"/>
        <v>2042.579831932773</v>
      </c>
      <c r="BU89" s="72">
        <f t="shared" si="19"/>
        <v>12793</v>
      </c>
      <c r="BV89" s="97">
        <f t="shared" si="14"/>
        <v>63965</v>
      </c>
      <c r="BW89" s="76" t="s">
        <v>65</v>
      </c>
      <c r="BX89" s="27" t="s">
        <v>1050</v>
      </c>
    </row>
    <row r="90" spans="1:76" ht="68.25" hidden="1" customHeight="1" x14ac:dyDescent="0.35">
      <c r="A90" s="297">
        <v>84</v>
      </c>
      <c r="B90" s="538"/>
      <c r="C90" s="98" t="s">
        <v>541</v>
      </c>
      <c r="D90" s="98" t="s">
        <v>542</v>
      </c>
      <c r="E90" s="38" t="s">
        <v>64</v>
      </c>
      <c r="F90" s="336">
        <v>5</v>
      </c>
      <c r="G90" s="2"/>
      <c r="H90" s="2"/>
      <c r="I90" s="2"/>
      <c r="J90" s="2"/>
      <c r="K90" s="2"/>
      <c r="L90" s="2"/>
      <c r="M90" s="41"/>
      <c r="N90" s="41"/>
      <c r="O90" s="41"/>
      <c r="P90" s="41"/>
      <c r="Q90" s="41"/>
      <c r="R90" s="41"/>
      <c r="S90" s="41"/>
      <c r="T90" s="41"/>
      <c r="U90" s="41"/>
      <c r="V90" s="41"/>
      <c r="W90" s="41"/>
      <c r="X90" s="41"/>
      <c r="Y90" s="41"/>
      <c r="Z90" s="41"/>
      <c r="AA90" s="41"/>
      <c r="AB90" s="41"/>
      <c r="AC90" s="41"/>
      <c r="AD90" s="41"/>
      <c r="AE90" s="41"/>
      <c r="AF90" s="41"/>
      <c r="AG90" s="39"/>
      <c r="AH90" s="39"/>
      <c r="AI90" s="39"/>
      <c r="AJ90" s="39"/>
      <c r="AK90" s="39"/>
      <c r="AL90" s="39"/>
      <c r="AM90" s="42"/>
      <c r="AN90" s="42"/>
      <c r="AO90" s="10">
        <v>95200</v>
      </c>
      <c r="AP90" s="8"/>
      <c r="AQ90" s="8"/>
      <c r="AR90" s="10">
        <v>110924</v>
      </c>
      <c r="AS90" s="53"/>
      <c r="AT90" s="53"/>
      <c r="AU90" s="53"/>
      <c r="AV90" s="53"/>
      <c r="AW90" s="53"/>
      <c r="AX90" s="53"/>
      <c r="AY90" s="53"/>
      <c r="AZ90" s="53"/>
      <c r="BA90" s="53"/>
      <c r="BB90" s="53"/>
      <c r="BC90" s="53"/>
      <c r="BD90" s="53"/>
      <c r="BE90" s="53"/>
      <c r="BF90" s="53"/>
      <c r="BG90" s="53"/>
      <c r="BH90" s="53"/>
      <c r="BI90" s="53"/>
      <c r="BJ90" s="53"/>
      <c r="BK90" s="53"/>
      <c r="BL90" s="53"/>
      <c r="BM90" s="53"/>
      <c r="BN90" s="53"/>
      <c r="BO90" s="69">
        <f>MEDIAN(AO90,AQ90,AR90)</f>
        <v>103062</v>
      </c>
      <c r="BP90" s="69">
        <f>AVERAGE(AO90,AQ90,AR90)</f>
        <v>103062</v>
      </c>
      <c r="BQ90" s="70">
        <f>STDEV(AO90,AQ90,AR90)</f>
        <v>11118.547027377273</v>
      </c>
      <c r="BR90" s="65">
        <f t="shared" si="22"/>
        <v>0.10788211976652183</v>
      </c>
      <c r="BS90" s="88">
        <f t="shared" si="11"/>
        <v>86606.722689075628</v>
      </c>
      <c r="BT90" s="88">
        <f t="shared" si="12"/>
        <v>16455.277310924368</v>
      </c>
      <c r="BU90" s="72">
        <f t="shared" si="19"/>
        <v>103062</v>
      </c>
      <c r="BV90" s="97">
        <f t="shared" si="14"/>
        <v>515310</v>
      </c>
      <c r="BW90" s="76" t="s">
        <v>65</v>
      </c>
    </row>
    <row r="91" spans="1:76" ht="68.25" hidden="1" customHeight="1" x14ac:dyDescent="0.35">
      <c r="A91" s="298">
        <v>85</v>
      </c>
      <c r="B91" s="537"/>
      <c r="C91" s="98" t="s">
        <v>543</v>
      </c>
      <c r="D91" s="98" t="s">
        <v>544</v>
      </c>
      <c r="E91" s="38" t="s">
        <v>64</v>
      </c>
      <c r="F91" s="336">
        <v>20</v>
      </c>
      <c r="G91" s="2"/>
      <c r="H91" s="2"/>
      <c r="I91" s="2"/>
      <c r="J91" s="2"/>
      <c r="K91" s="2"/>
      <c r="L91" s="2"/>
      <c r="M91" s="41"/>
      <c r="N91" s="41"/>
      <c r="O91" s="41"/>
      <c r="P91" s="41"/>
      <c r="Q91" s="41"/>
      <c r="R91" s="41"/>
      <c r="S91" s="41"/>
      <c r="T91" s="41"/>
      <c r="U91" s="41"/>
      <c r="V91" s="41"/>
      <c r="W91" s="41"/>
      <c r="X91" s="41"/>
      <c r="Y91" s="41"/>
      <c r="Z91" s="41"/>
      <c r="AA91" s="41"/>
      <c r="AB91" s="41"/>
      <c r="AC91" s="41"/>
      <c r="AD91" s="41"/>
      <c r="AE91" s="41"/>
      <c r="AF91" s="41"/>
      <c r="AG91" s="39"/>
      <c r="AH91" s="39"/>
      <c r="AI91" s="39"/>
      <c r="AJ91" s="39"/>
      <c r="AK91" s="39"/>
      <c r="AL91" s="39"/>
      <c r="AM91" s="42"/>
      <c r="AN91" s="42"/>
      <c r="AO91" s="10">
        <v>1705270</v>
      </c>
      <c r="AP91" s="10">
        <v>1542000</v>
      </c>
      <c r="AQ91" s="8">
        <v>386000</v>
      </c>
      <c r="AR91" s="10">
        <v>126891</v>
      </c>
      <c r="AS91" s="53"/>
      <c r="AT91" s="53"/>
      <c r="AU91" s="53"/>
      <c r="AV91" s="53"/>
      <c r="AW91" s="53"/>
      <c r="AX91" s="53"/>
      <c r="AY91" s="53"/>
      <c r="AZ91" s="53"/>
      <c r="BA91" s="53"/>
      <c r="BB91" s="53"/>
      <c r="BC91" s="53"/>
      <c r="BD91" s="53"/>
      <c r="BE91" s="53"/>
      <c r="BF91" s="53"/>
      <c r="BG91" s="53"/>
      <c r="BH91" s="53"/>
      <c r="BI91" s="53"/>
      <c r="BJ91" s="53"/>
      <c r="BK91" s="53"/>
      <c r="BL91" s="53"/>
      <c r="BM91" s="53"/>
      <c r="BN91" s="53"/>
      <c r="BO91" s="69">
        <f>MEDIAN(AO91,AP91)</f>
        <v>1623635</v>
      </c>
      <c r="BP91" s="69">
        <f>AVERAGE(AO91,AP91)</f>
        <v>1623635</v>
      </c>
      <c r="BQ91" s="70">
        <f>STDEV(AO91,AP91)</f>
        <v>115449.32416432761</v>
      </c>
      <c r="BR91" s="65">
        <f t="shared" si="22"/>
        <v>7.1105466539171436E-2</v>
      </c>
      <c r="BS91" s="88">
        <f t="shared" si="11"/>
        <v>1364399.1596638656</v>
      </c>
      <c r="BT91" s="88">
        <f t="shared" si="12"/>
        <v>259235.84033613445</v>
      </c>
      <c r="BU91" s="72">
        <f t="shared" si="19"/>
        <v>1623635</v>
      </c>
      <c r="BV91" s="97">
        <f t="shared" si="14"/>
        <v>32472700</v>
      </c>
      <c r="BW91" s="76" t="s">
        <v>65</v>
      </c>
    </row>
    <row r="92" spans="1:76" ht="68.25" customHeight="1" x14ac:dyDescent="0.35">
      <c r="A92" s="297">
        <v>86</v>
      </c>
      <c r="B92" s="537"/>
      <c r="C92" s="98" t="s">
        <v>545</v>
      </c>
      <c r="D92" s="98" t="s">
        <v>546</v>
      </c>
      <c r="E92" s="38" t="s">
        <v>64</v>
      </c>
      <c r="F92" s="336">
        <v>144</v>
      </c>
      <c r="G92" s="2"/>
      <c r="H92" s="2"/>
      <c r="I92" s="2"/>
      <c r="J92" s="2"/>
      <c r="K92" s="2"/>
      <c r="L92" s="2"/>
      <c r="M92" s="41"/>
      <c r="N92" s="41"/>
      <c r="O92" s="41"/>
      <c r="P92" s="41"/>
      <c r="Q92" s="41"/>
      <c r="R92" s="41"/>
      <c r="S92" s="41"/>
      <c r="T92" s="41"/>
      <c r="U92" s="41"/>
      <c r="V92" s="41"/>
      <c r="W92" s="41"/>
      <c r="X92" s="41"/>
      <c r="Y92" s="41"/>
      <c r="Z92" s="41"/>
      <c r="AA92" s="41"/>
      <c r="AB92" s="41"/>
      <c r="AC92" s="41"/>
      <c r="AD92" s="41"/>
      <c r="AE92" s="41"/>
      <c r="AF92" s="41"/>
      <c r="AG92" s="39"/>
      <c r="AH92" s="39"/>
      <c r="AI92" s="39"/>
      <c r="AJ92" s="39"/>
      <c r="AK92" s="39"/>
      <c r="AL92" s="39"/>
      <c r="AM92" s="42"/>
      <c r="AN92" s="42"/>
      <c r="AO92" s="10">
        <v>553350</v>
      </c>
      <c r="AP92" s="8"/>
      <c r="AQ92" s="8"/>
      <c r="AR92" s="10">
        <v>667227</v>
      </c>
      <c r="AS92" s="53"/>
      <c r="AT92" s="53"/>
      <c r="AU92" s="53"/>
      <c r="AV92" s="53"/>
      <c r="AW92" s="53"/>
      <c r="AX92" s="53"/>
      <c r="AY92" s="53"/>
      <c r="AZ92" s="53"/>
      <c r="BA92" s="53"/>
      <c r="BB92" s="53"/>
      <c r="BC92" s="53"/>
      <c r="BD92" s="53"/>
      <c r="BE92" s="53"/>
      <c r="BF92" s="53"/>
      <c r="BG92" s="53"/>
      <c r="BH92" s="53"/>
      <c r="BI92" s="53"/>
      <c r="BJ92" s="53"/>
      <c r="BK92" s="53"/>
      <c r="BL92" s="53"/>
      <c r="BM92" s="53"/>
      <c r="BN92" s="53"/>
      <c r="BO92" s="69">
        <f>MEDIAN(AO92,AQ92,AR92)</f>
        <v>610288.5</v>
      </c>
      <c r="BP92" s="69">
        <f>AVERAGE(AO92,AQ92,AR92)</f>
        <v>610288.5</v>
      </c>
      <c r="BQ92" s="70">
        <f>STDEV(AO92,AQ92,AR92)</f>
        <v>80523.198921180476</v>
      </c>
      <c r="BR92" s="65">
        <f t="shared" si="22"/>
        <v>0.13194284165797074</v>
      </c>
      <c r="BS92" s="88">
        <f t="shared" si="11"/>
        <v>512847.89915966388</v>
      </c>
      <c r="BT92" s="88">
        <f t="shared" si="12"/>
        <v>97441.100840336134</v>
      </c>
      <c r="BU92" s="72">
        <f t="shared" si="19"/>
        <v>610289</v>
      </c>
      <c r="BV92" s="97">
        <f t="shared" si="14"/>
        <v>87881616</v>
      </c>
      <c r="BW92" s="76" t="s">
        <v>65</v>
      </c>
    </row>
    <row r="93" spans="1:76" ht="68.25" hidden="1" customHeight="1" x14ac:dyDescent="0.35">
      <c r="A93" s="297">
        <v>87</v>
      </c>
      <c r="B93" s="537"/>
      <c r="C93" s="98" t="s">
        <v>547</v>
      </c>
      <c r="D93" s="98" t="s">
        <v>548</v>
      </c>
      <c r="E93" s="38" t="s">
        <v>64</v>
      </c>
      <c r="F93" s="336">
        <v>50</v>
      </c>
      <c r="G93" s="2"/>
      <c r="H93" s="2"/>
      <c r="I93" s="2"/>
      <c r="J93" s="2"/>
      <c r="K93" s="2"/>
      <c r="L93" s="2"/>
      <c r="M93" s="41"/>
      <c r="N93" s="41"/>
      <c r="O93" s="41"/>
      <c r="P93" s="41"/>
      <c r="Q93" s="41"/>
      <c r="R93" s="41"/>
      <c r="S93" s="41"/>
      <c r="T93" s="41"/>
      <c r="U93" s="41"/>
      <c r="V93" s="41"/>
      <c r="W93" s="41"/>
      <c r="X93" s="41"/>
      <c r="Y93" s="41"/>
      <c r="Z93" s="41"/>
      <c r="AA93" s="41"/>
      <c r="AB93" s="41"/>
      <c r="AC93" s="41"/>
      <c r="AD93" s="41"/>
      <c r="AE93" s="41"/>
      <c r="AF93" s="41"/>
      <c r="AG93" s="39"/>
      <c r="AH93" s="39"/>
      <c r="AI93" s="39"/>
      <c r="AJ93" s="39"/>
      <c r="AK93" s="39"/>
      <c r="AL93" s="39"/>
      <c r="AM93" s="42"/>
      <c r="AN93" s="42"/>
      <c r="AO93" s="10">
        <v>27370</v>
      </c>
      <c r="AP93" s="10"/>
      <c r="AQ93" s="8"/>
      <c r="AR93" s="10">
        <v>33613</v>
      </c>
      <c r="AS93" s="53"/>
      <c r="AT93" s="53"/>
      <c r="AU93" s="53"/>
      <c r="AV93" s="53"/>
      <c r="AW93" s="53"/>
      <c r="AX93" s="53"/>
      <c r="AY93" s="53"/>
      <c r="AZ93" s="53"/>
      <c r="BA93" s="53"/>
      <c r="BB93" s="53"/>
      <c r="BC93" s="53"/>
      <c r="BD93" s="53"/>
      <c r="BE93" s="53"/>
      <c r="BF93" s="53"/>
      <c r="BG93" s="53"/>
      <c r="BH93" s="53"/>
      <c r="BI93" s="53"/>
      <c r="BJ93" s="53"/>
      <c r="BK93" s="53"/>
      <c r="BL93" s="53"/>
      <c r="BM93" s="53"/>
      <c r="BN93" s="53"/>
      <c r="BO93" s="69">
        <f>MEDIAN(AO93,AQ93,AR93)</f>
        <v>30491.5</v>
      </c>
      <c r="BP93" s="69">
        <f>AVERAGE(AO93,AQ93,AR93)</f>
        <v>30491.5</v>
      </c>
      <c r="BQ93" s="70">
        <f>STDEV(AO93,AQ93,AR93)</f>
        <v>4414.4676349476158</v>
      </c>
      <c r="BR93" s="65">
        <f t="shared" si="22"/>
        <v>0.14477699145491746</v>
      </c>
      <c r="BS93" s="88">
        <f t="shared" si="11"/>
        <v>25623.529411764706</v>
      </c>
      <c r="BT93" s="88">
        <f t="shared" si="12"/>
        <v>4868.4705882352946</v>
      </c>
      <c r="BU93" s="72">
        <f t="shared" si="19"/>
        <v>30492</v>
      </c>
      <c r="BV93" s="97">
        <f t="shared" si="14"/>
        <v>1524600</v>
      </c>
      <c r="BW93" s="76" t="s">
        <v>65</v>
      </c>
    </row>
    <row r="94" spans="1:76" ht="83" customHeight="1" x14ac:dyDescent="0.35">
      <c r="A94" s="298">
        <v>88</v>
      </c>
      <c r="B94" s="537"/>
      <c r="C94" s="98" t="s">
        <v>549</v>
      </c>
      <c r="D94" s="98" t="s">
        <v>550</v>
      </c>
      <c r="E94" s="38" t="s">
        <v>64</v>
      </c>
      <c r="F94" s="336">
        <v>1</v>
      </c>
      <c r="G94" s="2"/>
      <c r="H94" s="2"/>
      <c r="I94" s="2"/>
      <c r="J94" s="2"/>
      <c r="K94" s="2"/>
      <c r="L94" s="2"/>
      <c r="M94" s="41"/>
      <c r="N94" s="41"/>
      <c r="O94" s="41"/>
      <c r="P94" s="41"/>
      <c r="Q94" s="41"/>
      <c r="R94" s="41"/>
      <c r="S94" s="41"/>
      <c r="T94" s="41"/>
      <c r="U94" s="41"/>
      <c r="V94" s="41"/>
      <c r="W94" s="41"/>
      <c r="X94" s="41"/>
      <c r="Y94" s="41"/>
      <c r="Z94" s="41"/>
      <c r="AA94" s="41"/>
      <c r="AB94" s="41"/>
      <c r="AC94" s="41"/>
      <c r="AD94" s="41"/>
      <c r="AE94" s="41"/>
      <c r="AF94" s="41"/>
      <c r="AG94" s="39"/>
      <c r="AH94" s="39"/>
      <c r="AI94" s="39"/>
      <c r="AJ94" s="39"/>
      <c r="AK94" s="39"/>
      <c r="AL94" s="39"/>
      <c r="AM94" s="42"/>
      <c r="AN94" s="42"/>
      <c r="AO94" s="10">
        <v>1568420</v>
      </c>
      <c r="AP94" s="8"/>
      <c r="AQ94" s="8"/>
      <c r="AR94" s="10"/>
      <c r="AS94" s="53"/>
      <c r="AT94" s="10">
        <v>1455370</v>
      </c>
      <c r="AU94" s="53">
        <v>1630000</v>
      </c>
      <c r="AV94" s="53"/>
      <c r="AW94" s="53"/>
      <c r="AX94" s="53"/>
      <c r="AY94" s="53"/>
      <c r="AZ94" s="53"/>
      <c r="BA94" s="53"/>
      <c r="BB94" s="53"/>
      <c r="BC94" s="53"/>
      <c r="BD94" s="53"/>
      <c r="BE94" s="53"/>
      <c r="BF94" s="53"/>
      <c r="BG94" s="53"/>
      <c r="BH94" s="53"/>
      <c r="BI94" s="53"/>
      <c r="BJ94" s="53"/>
      <c r="BK94" s="53"/>
      <c r="BL94" s="53"/>
      <c r="BM94" s="53"/>
      <c r="BN94" s="53"/>
      <c r="BO94" s="69">
        <f>MEDIAN(AO94,AT94,AU94)</f>
        <v>1568420</v>
      </c>
      <c r="BP94" s="69">
        <f>AVERAGE(AO94,AT94,AU94)</f>
        <v>1551263.3333333333</v>
      </c>
      <c r="BQ94" s="70">
        <f>STDEV(AO94,AT94,AU94)</f>
        <v>88570.156561526601</v>
      </c>
      <c r="BR94" s="65">
        <f t="shared" si="22"/>
        <v>5.7095500588677149E-2</v>
      </c>
      <c r="BS94" s="88">
        <f t="shared" si="11"/>
        <v>1303583.193277311</v>
      </c>
      <c r="BT94" s="88">
        <f t="shared" si="12"/>
        <v>247680.8067226891</v>
      </c>
      <c r="BU94" s="72">
        <f>ROUNDUP(IF(BR94&lt;15%,BP94,BO94),0)</f>
        <v>1551264</v>
      </c>
      <c r="BV94" s="97">
        <f t="shared" si="14"/>
        <v>1551264</v>
      </c>
      <c r="BW94" s="76" t="s">
        <v>65</v>
      </c>
    </row>
    <row r="95" spans="1:76" ht="68.25" hidden="1" customHeight="1" x14ac:dyDescent="0.35">
      <c r="A95" s="297">
        <v>89</v>
      </c>
      <c r="B95" s="537"/>
      <c r="C95" s="91" t="s">
        <v>487</v>
      </c>
      <c r="D95" s="89" t="s">
        <v>1065</v>
      </c>
      <c r="E95" s="38" t="s">
        <v>64</v>
      </c>
      <c r="F95" s="336">
        <v>4</v>
      </c>
      <c r="G95" s="8"/>
      <c r="H95" s="12"/>
      <c r="I95" s="8">
        <v>40000</v>
      </c>
      <c r="J95" s="10">
        <f>+(I95*5.1%)+I95</f>
        <v>42040</v>
      </c>
      <c r="K95" s="8">
        <v>33000</v>
      </c>
      <c r="L95" s="10">
        <f>+(K95*5.1%)+K95</f>
        <v>34683</v>
      </c>
      <c r="M95" s="10"/>
      <c r="N95" s="13"/>
      <c r="O95" s="30"/>
      <c r="P95" s="12"/>
      <c r="Q95" s="13"/>
      <c r="R95" s="13"/>
      <c r="S95" s="13"/>
      <c r="T95" s="13"/>
      <c r="U95" s="13"/>
      <c r="V95" s="13"/>
      <c r="W95" s="13"/>
      <c r="X95" s="13"/>
      <c r="Y95" s="13"/>
      <c r="Z95" s="13"/>
      <c r="AA95" s="13"/>
      <c r="AB95" s="13"/>
      <c r="AC95" s="13"/>
      <c r="AD95" s="13"/>
      <c r="AE95" s="13"/>
      <c r="AF95" s="13"/>
      <c r="AG95" s="13"/>
      <c r="AH95" s="13"/>
      <c r="AI95" s="13"/>
      <c r="AJ95" s="13"/>
      <c r="AK95" s="13"/>
      <c r="AL95" s="13"/>
      <c r="AM95" s="12"/>
      <c r="AN95" s="12"/>
      <c r="AO95" s="10"/>
      <c r="AP95" s="8"/>
      <c r="AQ95" s="8">
        <v>49900</v>
      </c>
      <c r="AR95" s="10"/>
      <c r="AS95" s="53"/>
      <c r="AT95" s="105"/>
      <c r="AU95" s="8"/>
      <c r="AV95" s="8"/>
      <c r="AW95" s="8"/>
      <c r="AX95" s="8"/>
      <c r="AY95" s="8"/>
      <c r="AZ95" s="8"/>
      <c r="BA95" s="8"/>
      <c r="BB95" s="8"/>
      <c r="BC95" s="8"/>
      <c r="BD95" s="8"/>
      <c r="BE95" s="8"/>
      <c r="BF95" s="8"/>
      <c r="BG95" s="8"/>
      <c r="BH95" s="8"/>
      <c r="BI95" s="8"/>
      <c r="BJ95" s="8"/>
      <c r="BK95" s="8"/>
      <c r="BL95" s="8"/>
      <c r="BM95" s="8"/>
      <c r="BN95" s="8"/>
      <c r="BO95" s="63">
        <f>MEDIAN(J95,L95,AQ95)</f>
        <v>42040</v>
      </c>
      <c r="BP95" s="63">
        <f>AVERAGE(J95,L95,AQ95)</f>
        <v>42207.666666666664</v>
      </c>
      <c r="BQ95" s="64">
        <f>STDEV(J95,L95,AQ95)</f>
        <v>7609.8854349676967</v>
      </c>
      <c r="BR95" s="65">
        <f t="shared" si="22"/>
        <v>0.1802962834943343</v>
      </c>
      <c r="BS95" s="88">
        <f t="shared" si="11"/>
        <v>35327.731092436974</v>
      </c>
      <c r="BT95" s="88">
        <f t="shared" si="12"/>
        <v>6712.2689075630251</v>
      </c>
      <c r="BU95" s="74">
        <f t="shared" si="19"/>
        <v>42040</v>
      </c>
      <c r="BV95" s="75">
        <f t="shared" si="14"/>
        <v>168160</v>
      </c>
      <c r="BW95" s="76" t="s">
        <v>66</v>
      </c>
    </row>
    <row r="96" spans="1:76" ht="68.25" hidden="1" customHeight="1" x14ac:dyDescent="0.35">
      <c r="A96" s="297">
        <v>90</v>
      </c>
      <c r="B96" s="537"/>
      <c r="C96" s="98" t="s">
        <v>551</v>
      </c>
      <c r="D96" s="98" t="s">
        <v>552</v>
      </c>
      <c r="E96" s="38" t="s">
        <v>64</v>
      </c>
      <c r="F96" s="336">
        <v>1</v>
      </c>
      <c r="G96" s="2"/>
      <c r="H96" s="2"/>
      <c r="I96" s="2"/>
      <c r="J96" s="2"/>
      <c r="K96" s="2"/>
      <c r="L96" s="2"/>
      <c r="M96" s="41"/>
      <c r="N96" s="41"/>
      <c r="O96" s="41"/>
      <c r="P96" s="41"/>
      <c r="Q96" s="41"/>
      <c r="R96" s="41"/>
      <c r="S96" s="41"/>
      <c r="T96" s="41"/>
      <c r="U96" s="41"/>
      <c r="V96" s="41"/>
      <c r="W96" s="41"/>
      <c r="X96" s="41"/>
      <c r="Y96" s="41"/>
      <c r="Z96" s="41"/>
      <c r="AA96" s="41"/>
      <c r="AB96" s="41"/>
      <c r="AC96" s="41"/>
      <c r="AD96" s="41"/>
      <c r="AE96" s="41"/>
      <c r="AF96" s="41"/>
      <c r="AG96" s="39"/>
      <c r="AH96" s="39"/>
      <c r="AI96" s="39"/>
      <c r="AJ96" s="39"/>
      <c r="AK96" s="39"/>
      <c r="AL96" s="39"/>
      <c r="AM96" s="42"/>
      <c r="AN96" s="42"/>
      <c r="AO96" s="10">
        <v>17850</v>
      </c>
      <c r="AP96" s="10">
        <v>82000</v>
      </c>
      <c r="AQ96" s="8">
        <v>29900</v>
      </c>
      <c r="AR96" s="10">
        <v>25210</v>
      </c>
      <c r="AS96" s="53"/>
      <c r="AT96" s="53"/>
      <c r="AU96" s="107"/>
      <c r="AV96" s="107"/>
      <c r="AW96" s="107"/>
      <c r="AX96" s="107"/>
      <c r="AY96" s="107"/>
      <c r="AZ96" s="107"/>
      <c r="BA96" s="107"/>
      <c r="BB96" s="107"/>
      <c r="BC96" s="107"/>
      <c r="BD96" s="107"/>
      <c r="BE96" s="107"/>
      <c r="BF96" s="107"/>
      <c r="BG96" s="107"/>
      <c r="BH96" s="107"/>
      <c r="BI96" s="107"/>
      <c r="BJ96" s="107"/>
      <c r="BK96" s="107"/>
      <c r="BL96" s="107"/>
      <c r="BM96" s="107"/>
      <c r="BN96" s="107"/>
      <c r="BO96" s="69">
        <f>MEDIAN(AO96,AQ96,AR96)</f>
        <v>25210</v>
      </c>
      <c r="BP96" s="69">
        <f>AVERAGE(AO96,AQ96,AR96)</f>
        <v>24320</v>
      </c>
      <c r="BQ96" s="70">
        <f>STDEV(AO96,AQ96,AR96)</f>
        <v>6074.1007564906267</v>
      </c>
      <c r="BR96" s="65">
        <f t="shared" si="22"/>
        <v>0.24975743242148959</v>
      </c>
      <c r="BS96" s="88">
        <f t="shared" si="11"/>
        <v>21184.873949579833</v>
      </c>
      <c r="BT96" s="88">
        <f t="shared" si="12"/>
        <v>4025.1260504201682</v>
      </c>
      <c r="BU96" s="72">
        <f t="shared" si="19"/>
        <v>25210</v>
      </c>
      <c r="BV96" s="97">
        <f t="shared" si="14"/>
        <v>25210</v>
      </c>
      <c r="BW96" s="76" t="s">
        <v>66</v>
      </c>
    </row>
    <row r="97" spans="1:93" ht="101.5" hidden="1" x14ac:dyDescent="0.35">
      <c r="A97" s="298">
        <v>91</v>
      </c>
      <c r="B97" s="537"/>
      <c r="C97" s="98" t="s">
        <v>553</v>
      </c>
      <c r="D97" s="98" t="s">
        <v>554</v>
      </c>
      <c r="E97" s="38" t="s">
        <v>64</v>
      </c>
      <c r="F97" s="336">
        <v>1</v>
      </c>
      <c r="G97" s="2"/>
      <c r="H97" s="2"/>
      <c r="I97" s="2"/>
      <c r="J97" s="2"/>
      <c r="K97" s="2"/>
      <c r="L97" s="2"/>
      <c r="M97" s="41"/>
      <c r="N97" s="41"/>
      <c r="O97" s="41"/>
      <c r="P97" s="41"/>
      <c r="Q97" s="41"/>
      <c r="R97" s="41"/>
      <c r="S97" s="41"/>
      <c r="T97" s="41"/>
      <c r="U97" s="41"/>
      <c r="V97" s="41"/>
      <c r="W97" s="41"/>
      <c r="X97" s="41"/>
      <c r="Y97" s="41"/>
      <c r="Z97" s="41"/>
      <c r="AA97" s="41"/>
      <c r="AB97" s="41"/>
      <c r="AC97" s="41"/>
      <c r="AD97" s="41"/>
      <c r="AE97" s="41"/>
      <c r="AF97" s="41"/>
      <c r="AG97" s="39"/>
      <c r="AH97" s="39"/>
      <c r="AI97" s="39"/>
      <c r="AJ97" s="39"/>
      <c r="AK97" s="39"/>
      <c r="AL97" s="39"/>
      <c r="AM97" s="42"/>
      <c r="AN97" s="42"/>
      <c r="AO97" s="8"/>
      <c r="AP97" s="8"/>
      <c r="AQ97" s="8"/>
      <c r="AR97" s="8"/>
      <c r="AS97" s="53"/>
      <c r="AT97" s="10">
        <v>285600</v>
      </c>
      <c r="AU97" s="53">
        <v>300000</v>
      </c>
      <c r="AV97" s="53"/>
      <c r="AW97" s="53"/>
      <c r="AX97" s="53"/>
      <c r="AY97" s="53"/>
      <c r="AZ97" s="53"/>
      <c r="BA97" s="53"/>
      <c r="BB97" s="53"/>
      <c r="BC97" s="53"/>
      <c r="BD97" s="53"/>
      <c r="BE97" s="53"/>
      <c r="BF97" s="53"/>
      <c r="BG97" s="53"/>
      <c r="BH97" s="53"/>
      <c r="BI97" s="53"/>
      <c r="BJ97" s="53"/>
      <c r="BK97" s="53"/>
      <c r="BL97" s="53"/>
      <c r="BM97" s="53"/>
      <c r="BN97" s="53"/>
      <c r="BO97" s="69">
        <f>MEDIAN(AT97,AU97)</f>
        <v>292800</v>
      </c>
      <c r="BP97" s="69">
        <f>AVERAGE(AT97,AU97)</f>
        <v>292800</v>
      </c>
      <c r="BQ97" s="70">
        <f>STDEV(AT97,AU97)</f>
        <v>10182.337649086285</v>
      </c>
      <c r="BR97" s="65">
        <f>BQ97/BP97</f>
        <v>3.4775743337043322E-2</v>
      </c>
      <c r="BS97" s="88">
        <f t="shared" si="11"/>
        <v>246050.42016806724</v>
      </c>
      <c r="BT97" s="88">
        <f t="shared" si="12"/>
        <v>46749.579831932773</v>
      </c>
      <c r="BU97" s="72">
        <f t="shared" si="19"/>
        <v>292800</v>
      </c>
      <c r="BV97" s="97">
        <f t="shared" si="14"/>
        <v>292800</v>
      </c>
      <c r="BW97" s="76" t="s">
        <v>65</v>
      </c>
    </row>
    <row r="98" spans="1:93" ht="29" hidden="1" x14ac:dyDescent="0.35">
      <c r="A98" s="297">
        <v>92</v>
      </c>
      <c r="B98" s="537"/>
      <c r="C98" s="98" t="s">
        <v>555</v>
      </c>
      <c r="D98" s="98" t="s">
        <v>556</v>
      </c>
      <c r="E98" s="38" t="s">
        <v>64</v>
      </c>
      <c r="F98" s="336">
        <v>22</v>
      </c>
      <c r="G98" s="2"/>
      <c r="H98" s="2"/>
      <c r="I98" s="2"/>
      <c r="J98" s="2"/>
      <c r="K98" s="2"/>
      <c r="L98" s="2"/>
      <c r="M98" s="41"/>
      <c r="N98" s="41"/>
      <c r="O98" s="41"/>
      <c r="P98" s="41"/>
      <c r="Q98" s="41"/>
      <c r="R98" s="41"/>
      <c r="S98" s="41"/>
      <c r="T98" s="41"/>
      <c r="U98" s="41"/>
      <c r="V98" s="41"/>
      <c r="W98" s="41"/>
      <c r="X98" s="41"/>
      <c r="Y98" s="41"/>
      <c r="Z98" s="41"/>
      <c r="AA98" s="41"/>
      <c r="AB98" s="41"/>
      <c r="AC98" s="41"/>
      <c r="AD98" s="41"/>
      <c r="AE98" s="41"/>
      <c r="AF98" s="41"/>
      <c r="AG98" s="39"/>
      <c r="AH98" s="39"/>
      <c r="AI98" s="39"/>
      <c r="AJ98" s="39"/>
      <c r="AK98" s="39"/>
      <c r="AL98" s="39"/>
      <c r="AM98" s="42"/>
      <c r="AN98" s="42"/>
      <c r="AO98" s="10">
        <v>47600</v>
      </c>
      <c r="AP98" s="8"/>
      <c r="AQ98" s="8">
        <v>68900</v>
      </c>
      <c r="AR98" s="10">
        <v>57143</v>
      </c>
      <c r="AS98" s="53"/>
      <c r="AT98" s="53"/>
      <c r="AU98" s="53"/>
      <c r="AV98" s="53"/>
      <c r="AW98" s="53"/>
      <c r="AX98" s="53"/>
      <c r="AY98" s="53"/>
      <c r="AZ98" s="53"/>
      <c r="BA98" s="53"/>
      <c r="BB98" s="53"/>
      <c r="BC98" s="53"/>
      <c r="BD98" s="53"/>
      <c r="BE98" s="53"/>
      <c r="BF98" s="53"/>
      <c r="BG98" s="53"/>
      <c r="BH98" s="53"/>
      <c r="BI98" s="53"/>
      <c r="BJ98" s="53"/>
      <c r="BK98" s="53"/>
      <c r="BL98" s="53"/>
      <c r="BM98" s="53"/>
      <c r="BN98" s="53"/>
      <c r="BO98" s="69">
        <f>MEDIAN(AO98,AQ98,AR98)</f>
        <v>57143</v>
      </c>
      <c r="BP98" s="69">
        <f>AVERAGE(AO98,AQ98,AR98)</f>
        <v>57881</v>
      </c>
      <c r="BQ98" s="70">
        <f>STDEV(AO98,AQ98,AR98)</f>
        <v>10669.160369963514</v>
      </c>
      <c r="BR98" s="65">
        <f t="shared" si="22"/>
        <v>0.184329233599342</v>
      </c>
      <c r="BS98" s="88">
        <f t="shared" si="11"/>
        <v>48019.327731092439</v>
      </c>
      <c r="BT98" s="88">
        <f t="shared" si="12"/>
        <v>9123.6722689075632</v>
      </c>
      <c r="BU98" s="72">
        <f t="shared" si="19"/>
        <v>57143</v>
      </c>
      <c r="BV98" s="97">
        <f t="shared" si="14"/>
        <v>1257146</v>
      </c>
      <c r="BW98" s="76" t="s">
        <v>66</v>
      </c>
    </row>
    <row r="99" spans="1:93" ht="68.25" hidden="1" customHeight="1" x14ac:dyDescent="0.35">
      <c r="A99" s="298">
        <v>93</v>
      </c>
      <c r="B99" s="537"/>
      <c r="C99" s="98" t="s">
        <v>557</v>
      </c>
      <c r="D99" s="98" t="s">
        <v>558</v>
      </c>
      <c r="E99" s="38" t="s">
        <v>64</v>
      </c>
      <c r="F99" s="336">
        <v>20</v>
      </c>
      <c r="G99" s="2"/>
      <c r="H99" s="2"/>
      <c r="I99" s="2"/>
      <c r="J99" s="2"/>
      <c r="K99" s="2"/>
      <c r="L99" s="2"/>
      <c r="M99" s="41"/>
      <c r="N99" s="41"/>
      <c r="O99" s="41"/>
      <c r="P99" s="41"/>
      <c r="Q99" s="41"/>
      <c r="R99" s="41"/>
      <c r="S99" s="41"/>
      <c r="T99" s="41"/>
      <c r="U99" s="41"/>
      <c r="V99" s="41"/>
      <c r="W99" s="41"/>
      <c r="X99" s="41"/>
      <c r="Y99" s="41"/>
      <c r="Z99" s="41"/>
      <c r="AA99" s="41"/>
      <c r="AB99" s="41"/>
      <c r="AC99" s="41"/>
      <c r="AD99" s="41"/>
      <c r="AE99" s="41"/>
      <c r="AF99" s="41"/>
      <c r="AG99" s="39"/>
      <c r="AH99" s="39"/>
      <c r="AI99" s="39"/>
      <c r="AJ99" s="39"/>
      <c r="AK99" s="39"/>
      <c r="AL99" s="39"/>
      <c r="AM99" s="42"/>
      <c r="AN99" s="42"/>
      <c r="AO99" s="8"/>
      <c r="AP99" s="8"/>
      <c r="AQ99" s="8"/>
      <c r="AR99" s="8"/>
      <c r="AS99" s="53"/>
      <c r="AT99" s="10">
        <v>58250</v>
      </c>
      <c r="AU99" s="53">
        <v>60000</v>
      </c>
      <c r="AV99" s="53"/>
      <c r="AW99" s="53"/>
      <c r="AX99" s="53"/>
      <c r="AY99" s="53"/>
      <c r="AZ99" s="53"/>
      <c r="BA99" s="53"/>
      <c r="BB99" s="53"/>
      <c r="BC99" s="53"/>
      <c r="BD99" s="53"/>
      <c r="BE99" s="53"/>
      <c r="BF99" s="53"/>
      <c r="BG99" s="53"/>
      <c r="BH99" s="53"/>
      <c r="BI99" s="53"/>
      <c r="BJ99" s="53"/>
      <c r="BK99" s="53"/>
      <c r="BL99" s="53"/>
      <c r="BM99" s="53"/>
      <c r="BN99" s="53"/>
      <c r="BO99" s="69">
        <f>MEDIAN(AT99,AU99)</f>
        <v>59125</v>
      </c>
      <c r="BP99" s="69">
        <f>AVERAGE(AT99,AU99)</f>
        <v>59125</v>
      </c>
      <c r="BQ99" s="70">
        <f>STDEV(AT99,AU99)</f>
        <v>1237.4368670764582</v>
      </c>
      <c r="BR99" s="65">
        <f t="shared" si="22"/>
        <v>2.0929164770849187E-2</v>
      </c>
      <c r="BS99" s="88">
        <f t="shared" si="11"/>
        <v>49684.873949579836</v>
      </c>
      <c r="BT99" s="88">
        <f t="shared" si="12"/>
        <v>9440.1260504201691</v>
      </c>
      <c r="BU99" s="72">
        <f t="shared" si="19"/>
        <v>59125</v>
      </c>
      <c r="BV99" s="97">
        <f t="shared" si="14"/>
        <v>1182500</v>
      </c>
      <c r="BW99" s="76" t="s">
        <v>65</v>
      </c>
    </row>
    <row r="100" spans="1:93" ht="68.25" hidden="1" customHeight="1" x14ac:dyDescent="0.35">
      <c r="A100" s="359">
        <v>94</v>
      </c>
      <c r="B100" s="537"/>
      <c r="C100" s="361" t="s">
        <v>1122</v>
      </c>
      <c r="D100" s="361" t="s">
        <v>1123</v>
      </c>
      <c r="E100" s="362" t="s">
        <v>64</v>
      </c>
      <c r="F100" s="363">
        <v>500</v>
      </c>
      <c r="G100" s="2"/>
      <c r="H100" s="2"/>
      <c r="I100" s="2"/>
      <c r="J100" s="2"/>
      <c r="K100" s="2"/>
      <c r="L100" s="2"/>
      <c r="M100" s="364"/>
      <c r="N100" s="364"/>
      <c r="O100" s="364"/>
      <c r="P100" s="364"/>
      <c r="Q100" s="364"/>
      <c r="R100" s="364"/>
      <c r="S100" s="364"/>
      <c r="T100" s="364"/>
      <c r="U100" s="364"/>
      <c r="V100" s="364"/>
      <c r="W100" s="364"/>
      <c r="X100" s="364"/>
      <c r="Y100" s="364"/>
      <c r="Z100" s="364"/>
      <c r="AA100" s="364"/>
      <c r="AB100" s="364"/>
      <c r="AC100" s="364"/>
      <c r="AD100" s="364"/>
      <c r="AE100" s="364"/>
      <c r="AF100" s="364"/>
      <c r="AG100" s="39"/>
      <c r="AH100" s="39"/>
      <c r="AI100" s="39"/>
      <c r="AJ100" s="39"/>
      <c r="AK100" s="39"/>
      <c r="AL100" s="39"/>
      <c r="AM100" s="365"/>
      <c r="AN100" s="365"/>
      <c r="AO100" s="366">
        <v>179799</v>
      </c>
      <c r="AP100" s="366"/>
      <c r="AQ100" s="366"/>
      <c r="AR100" s="366">
        <v>129412</v>
      </c>
      <c r="AS100" s="367"/>
      <c r="AT100" s="367"/>
      <c r="AU100" s="367"/>
      <c r="AV100" s="367"/>
      <c r="AW100" s="367"/>
      <c r="AX100" s="367"/>
      <c r="AY100" s="367"/>
      <c r="AZ100" s="367"/>
      <c r="BA100" s="367"/>
      <c r="BB100" s="367"/>
      <c r="BC100" s="367"/>
      <c r="BD100" s="367"/>
      <c r="BE100" s="367"/>
      <c r="BF100" s="367"/>
      <c r="BG100" s="367"/>
      <c r="BH100" s="367"/>
      <c r="BI100" s="367"/>
      <c r="BJ100" s="367"/>
      <c r="BK100" s="367"/>
      <c r="BL100" s="367"/>
      <c r="BM100" s="367"/>
      <c r="BN100" s="367"/>
      <c r="BO100" s="368">
        <f>MEDIAN(AO100,AQ100,AR100)</f>
        <v>154605.5</v>
      </c>
      <c r="BP100" s="368">
        <f>AVERAGE(AO100,AQ100,AR100)</f>
        <v>154605.5</v>
      </c>
      <c r="BQ100" s="369">
        <f>STDEV(AO100,AQ100,AR100)</f>
        <v>35628.989383646571</v>
      </c>
      <c r="BR100" s="370">
        <f t="shared" si="22"/>
        <v>0.23045098255654922</v>
      </c>
      <c r="BS100" s="88">
        <f t="shared" si="11"/>
        <v>129921.00840336135</v>
      </c>
      <c r="BT100" s="88">
        <f t="shared" si="12"/>
        <v>24684.991596638658</v>
      </c>
      <c r="BU100" s="72">
        <f t="shared" si="19"/>
        <v>154606</v>
      </c>
      <c r="BV100" s="97">
        <f t="shared" si="14"/>
        <v>77303000</v>
      </c>
      <c r="BW100" s="371" t="s">
        <v>66</v>
      </c>
    </row>
    <row r="101" spans="1:93" hidden="1" x14ac:dyDescent="0.35">
      <c r="A101" s="526" t="s">
        <v>138</v>
      </c>
      <c r="B101" s="526"/>
      <c r="C101" s="526"/>
      <c r="D101" s="526"/>
      <c r="E101" s="526"/>
      <c r="F101" s="526"/>
      <c r="G101" s="7"/>
      <c r="H101" s="7"/>
      <c r="I101" s="7"/>
      <c r="J101" s="7"/>
      <c r="K101" s="7">
        <f t="shared" ref="K101:L101" si="26">+SUM(K7:K75)</f>
        <v>673557</v>
      </c>
      <c r="L101" s="7">
        <f t="shared" si="26"/>
        <v>1017908.4069999999</v>
      </c>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114">
        <f t="shared" ref="AO101:AU101" ca="1" si="27">+SUM(AO7:AO102)</f>
        <v>0</v>
      </c>
      <c r="AP101" s="7">
        <f t="shared" ca="1" si="27"/>
        <v>0</v>
      </c>
      <c r="AQ101" s="7">
        <f t="shared" ca="1" si="27"/>
        <v>0</v>
      </c>
      <c r="AR101" s="7">
        <f t="shared" ca="1" si="27"/>
        <v>0</v>
      </c>
      <c r="AS101" s="7">
        <f t="shared" ca="1" si="27"/>
        <v>0</v>
      </c>
      <c r="AT101" s="7">
        <f t="shared" ca="1" si="27"/>
        <v>0</v>
      </c>
      <c r="AU101" s="7">
        <f t="shared" ca="1" si="27"/>
        <v>0</v>
      </c>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35">
        <f>+SUM(BU7:BU100)</f>
        <v>14209806</v>
      </c>
      <c r="BV101" s="35">
        <f>+SUM(BV7:BV100)</f>
        <v>763353196</v>
      </c>
      <c r="BW101" s="4"/>
      <c r="BY101" s="43"/>
    </row>
    <row r="102" spans="1:93" hidden="1" x14ac:dyDescent="0.35">
      <c r="BT102" s="3"/>
      <c r="BU102" s="3"/>
    </row>
    <row r="103" spans="1:93" hidden="1" x14ac:dyDescent="0.35">
      <c r="BU103" s="49"/>
      <c r="BV103" s="356"/>
      <c r="BW103" s="49"/>
    </row>
    <row r="104" spans="1:93" s="6" customFormat="1" ht="88.5" hidden="1" customHeight="1" x14ac:dyDescent="0.3">
      <c r="A104" s="520" t="s">
        <v>1040</v>
      </c>
      <c r="B104" s="520"/>
      <c r="C104" s="520"/>
      <c r="D104" s="520"/>
      <c r="E104" s="338"/>
      <c r="F104" s="116"/>
      <c r="G104" s="338"/>
      <c r="H104" s="338"/>
      <c r="I104" s="338"/>
      <c r="J104" s="338"/>
      <c r="K104" s="338"/>
      <c r="L104" s="338"/>
      <c r="M104" s="338"/>
      <c r="N104" s="338"/>
      <c r="O104" s="338"/>
      <c r="P104" s="338"/>
      <c r="Q104" s="338"/>
      <c r="R104" s="338"/>
      <c r="S104" s="338"/>
      <c r="T104" s="338"/>
      <c r="U104" s="338"/>
      <c r="V104" s="338"/>
      <c r="W104" s="338"/>
      <c r="X104" s="338"/>
      <c r="Y104" s="338"/>
      <c r="Z104" s="338"/>
      <c r="AA104" s="338"/>
      <c r="AB104" s="338"/>
      <c r="AC104" s="338"/>
      <c r="AD104" s="338"/>
      <c r="AE104" s="338"/>
      <c r="AF104" s="338"/>
      <c r="AG104" s="338"/>
      <c r="AH104" s="338"/>
      <c r="AI104" s="338"/>
      <c r="AJ104" s="338"/>
      <c r="AK104" s="338"/>
      <c r="AL104" s="338"/>
      <c r="AM104" s="338"/>
      <c r="AN104" s="338"/>
      <c r="AO104" s="338"/>
      <c r="AP104" s="338"/>
      <c r="AQ104" s="338"/>
      <c r="AR104" s="338"/>
      <c r="AS104" s="338"/>
      <c r="AT104" s="338"/>
      <c r="AU104" s="338"/>
      <c r="AV104" s="338"/>
      <c r="AW104" s="338"/>
      <c r="AX104" s="338"/>
      <c r="AY104" s="338"/>
      <c r="AZ104" s="338"/>
      <c r="BA104" s="338"/>
      <c r="BB104" s="338"/>
      <c r="BC104" s="338"/>
      <c r="BD104" s="338"/>
      <c r="BE104" s="338"/>
      <c r="BF104" s="338"/>
      <c r="BG104" s="338"/>
      <c r="BH104" s="338"/>
      <c r="BI104" s="338"/>
      <c r="BJ104" s="338"/>
      <c r="BK104" s="338"/>
      <c r="BL104" s="338"/>
      <c r="BM104" s="338"/>
      <c r="BN104" s="338"/>
      <c r="BO104" s="338"/>
      <c r="BP104" s="338"/>
      <c r="BQ104" s="338"/>
      <c r="BR104" s="338"/>
      <c r="BS104" s="338"/>
      <c r="BT104" s="338"/>
      <c r="BU104" s="338"/>
      <c r="BV104" s="294"/>
      <c r="BW104" s="354"/>
      <c r="BX104" s="338"/>
      <c r="BY104" s="338"/>
      <c r="BZ104" s="338"/>
      <c r="CA104" s="338"/>
      <c r="CB104" s="338"/>
      <c r="CC104" s="338"/>
      <c r="CD104" s="338"/>
      <c r="CE104" s="338"/>
      <c r="CF104" s="338"/>
      <c r="CG104" s="338"/>
      <c r="CH104" s="338"/>
      <c r="CI104" s="338"/>
      <c r="CJ104" s="338"/>
      <c r="CK104" s="338"/>
      <c r="CL104" s="338"/>
      <c r="CM104" s="338"/>
      <c r="CN104" s="338"/>
      <c r="CO104" s="338"/>
    </row>
  </sheetData>
  <autoFilter ref="A6:CO104" xr:uid="{00000000-0001-0000-0000-000000000000}">
    <filterColumn colId="2">
      <filters>
        <filter val="Balon de baloncesto para personas con discapacidad"/>
        <filter val="Chaquetas rompe vientos con logo diseño y estampado"/>
        <filter val="Kit pesas rusas de 5 a 15 Kg"/>
        <filter val="Pads para golpeó (manoplas para golpeó y almuadillas para golpeo)"/>
        <filter val="Paos pequeños"/>
        <filter val="Petos deportivos talla S, M y L"/>
        <filter val="Protectores pecho"/>
        <filter val="Sets discos para pesas de 5 a 25 kg"/>
      </filters>
    </filterColumn>
  </autoFilter>
  <mergeCells count="56">
    <mergeCell ref="A1:I1"/>
    <mergeCell ref="A4:F5"/>
    <mergeCell ref="U4:V5"/>
    <mergeCell ref="G4:H5"/>
    <mergeCell ref="I4:J5"/>
    <mergeCell ref="K4:L5"/>
    <mergeCell ref="M4:N5"/>
    <mergeCell ref="O4:P5"/>
    <mergeCell ref="Q4:R5"/>
    <mergeCell ref="A2:BW3"/>
    <mergeCell ref="BL4:BN5"/>
    <mergeCell ref="BO4:BT5"/>
    <mergeCell ref="BU4:BW5"/>
    <mergeCell ref="BC4:BC5"/>
    <mergeCell ref="BD4:BD5"/>
    <mergeCell ref="AE4:AF5"/>
    <mergeCell ref="AU4:AU5"/>
    <mergeCell ref="BB4:BB5"/>
    <mergeCell ref="BA4:BA5"/>
    <mergeCell ref="AY4:AY5"/>
    <mergeCell ref="AZ4:AZ5"/>
    <mergeCell ref="AV4:AV5"/>
    <mergeCell ref="AW4:AW5"/>
    <mergeCell ref="AX4:AX5"/>
    <mergeCell ref="B41:B47"/>
    <mergeCell ref="B48:B52"/>
    <mergeCell ref="AR4:AR5"/>
    <mergeCell ref="AS4:AS5"/>
    <mergeCell ref="AT4:AT5"/>
    <mergeCell ref="S4:T5"/>
    <mergeCell ref="W4:X5"/>
    <mergeCell ref="Y4:Z5"/>
    <mergeCell ref="AG4:AH5"/>
    <mergeCell ref="AM4:AN5"/>
    <mergeCell ref="AK4:AL5"/>
    <mergeCell ref="B76:B79"/>
    <mergeCell ref="B80:B100"/>
    <mergeCell ref="B53:B61"/>
    <mergeCell ref="B62:B68"/>
    <mergeCell ref="D83:D86"/>
    <mergeCell ref="BF4:BH5"/>
    <mergeCell ref="BI4:BK5"/>
    <mergeCell ref="BE4:BE5"/>
    <mergeCell ref="A104:D104"/>
    <mergeCell ref="AA4:AB5"/>
    <mergeCell ref="AC4:AD5"/>
    <mergeCell ref="AP4:AP5"/>
    <mergeCell ref="AQ4:AQ5"/>
    <mergeCell ref="AI4:AJ5"/>
    <mergeCell ref="AO4:AO5"/>
    <mergeCell ref="A101:F101"/>
    <mergeCell ref="B7:B16"/>
    <mergeCell ref="B17:B26"/>
    <mergeCell ref="B27:B34"/>
    <mergeCell ref="B35:B40"/>
    <mergeCell ref="B69:B75"/>
  </mergeCells>
  <conditionalFormatting sqref="BR7:BR100">
    <cfRule type="cellIs" dxfId="0" priority="1" operator="greaterThan">
      <formula>0.3</formula>
    </cfRule>
  </conditionalFormatting>
  <pageMargins left="0.7" right="0.7" top="0.75" bottom="0.75" header="0.3" footer="0.3"/>
  <pageSetup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167FE-F5AE-4607-B699-EDC436BDE277}">
  <dimension ref="A1:CF128"/>
  <sheetViews>
    <sheetView topLeftCell="BS77" zoomScale="70" zoomScaleNormal="38" workbookViewId="0">
      <selection activeCell="BZ53" sqref="BZ53"/>
    </sheetView>
  </sheetViews>
  <sheetFormatPr baseColWidth="10" defaultColWidth="11.453125" defaultRowHeight="15.5" x14ac:dyDescent="0.35"/>
  <cols>
    <col min="1" max="1" width="9.26953125" style="121" customWidth="1"/>
    <col min="2" max="2" width="24" style="120" customWidth="1"/>
    <col min="3" max="3" width="50.26953125" style="167" customWidth="1"/>
    <col min="4" max="4" width="13.7265625" style="120" customWidth="1"/>
    <col min="5" max="5" width="13.453125" style="120" customWidth="1"/>
    <col min="6" max="6" width="32.1796875" style="120" bestFit="1" customWidth="1"/>
    <col min="7" max="7" width="24" style="121" bestFit="1" customWidth="1"/>
    <col min="8" max="8" width="32.1796875" style="120" bestFit="1" customWidth="1"/>
    <col min="9" max="9" width="24.1796875" style="120" bestFit="1" customWidth="1"/>
    <col min="10" max="10" width="32.1796875" style="120" bestFit="1" customWidth="1"/>
    <col min="11" max="11" width="24.1796875" style="120" bestFit="1" customWidth="1"/>
    <col min="12" max="26" width="32.453125" style="120" customWidth="1"/>
    <col min="27" max="27" width="36" style="120" customWidth="1"/>
    <col min="28" max="70" width="32.453125" style="120" customWidth="1"/>
    <col min="71" max="71" width="20.7265625" style="129" customWidth="1"/>
    <col min="72" max="72" width="16.1796875" style="129" customWidth="1"/>
    <col min="73" max="73" width="25.453125" style="120" bestFit="1" customWidth="1"/>
    <col min="74" max="74" width="26.1796875" style="121" bestFit="1" customWidth="1"/>
    <col min="75" max="75" width="28" style="130" bestFit="1" customWidth="1"/>
    <col min="76" max="76" width="28" style="130" customWidth="1"/>
    <col min="77" max="77" width="27" style="120" bestFit="1" customWidth="1"/>
    <col min="78" max="78" width="29.453125" style="129" customWidth="1"/>
    <col min="79" max="79" width="52.453125" style="131" customWidth="1"/>
    <col min="80" max="16384" width="11.453125" style="120"/>
  </cols>
  <sheetData>
    <row r="1" spans="1:84" x14ac:dyDescent="0.35">
      <c r="A1" s="413"/>
      <c r="B1" s="414"/>
      <c r="C1" s="415"/>
      <c r="D1" s="414"/>
      <c r="E1" s="414"/>
      <c r="F1" s="414"/>
      <c r="G1" s="414"/>
      <c r="H1" s="414"/>
      <c r="I1" s="414"/>
      <c r="J1" s="414"/>
      <c r="K1" s="414"/>
      <c r="L1" s="414"/>
      <c r="M1" s="414"/>
      <c r="N1" s="121"/>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1"/>
      <c r="AO1" s="121"/>
      <c r="AP1" s="121"/>
      <c r="AQ1" s="121"/>
      <c r="AR1" s="121"/>
      <c r="AS1" s="121"/>
      <c r="AT1" s="121"/>
      <c r="AU1" s="121"/>
      <c r="AV1" s="121"/>
      <c r="AW1" s="121"/>
      <c r="AX1" s="121"/>
      <c r="AY1" s="121"/>
      <c r="AZ1" s="121"/>
      <c r="BA1" s="121"/>
      <c r="BB1" s="121"/>
      <c r="BC1" s="121"/>
      <c r="BD1" s="121"/>
      <c r="BE1" s="121"/>
      <c r="BF1" s="121"/>
      <c r="BG1" s="121"/>
      <c r="BH1" s="121"/>
      <c r="BI1" s="121"/>
      <c r="BJ1" s="121"/>
      <c r="BK1" s="121"/>
      <c r="BL1" s="121"/>
      <c r="BM1" s="121"/>
      <c r="BN1" s="121"/>
      <c r="BO1" s="121"/>
      <c r="BP1" s="121"/>
      <c r="BQ1" s="121"/>
      <c r="BR1" s="121"/>
    </row>
    <row r="2" spans="1:84" ht="42" customHeight="1" x14ac:dyDescent="0.35">
      <c r="A2" s="416" t="s">
        <v>602</v>
      </c>
      <c r="B2" s="417"/>
      <c r="C2" s="418"/>
      <c r="D2" s="417"/>
      <c r="E2" s="417"/>
      <c r="F2" s="417"/>
      <c r="G2" s="417"/>
      <c r="H2" s="417"/>
      <c r="I2" s="417"/>
      <c r="J2" s="417"/>
      <c r="K2" s="417"/>
      <c r="L2" s="417"/>
      <c r="M2" s="417"/>
      <c r="N2" s="132"/>
      <c r="O2" s="132"/>
      <c r="P2" s="132"/>
      <c r="Q2" s="132"/>
      <c r="R2" s="132"/>
      <c r="S2" s="132"/>
      <c r="T2" s="132"/>
      <c r="U2" s="132"/>
      <c r="V2" s="132"/>
      <c r="W2" s="132"/>
      <c r="X2" s="132"/>
      <c r="Y2" s="132"/>
      <c r="Z2" s="132"/>
      <c r="AA2" s="132"/>
      <c r="AB2" s="132"/>
      <c r="AC2" s="132"/>
      <c r="AD2" s="132"/>
      <c r="AE2" s="132"/>
      <c r="AF2" s="132"/>
      <c r="AG2" s="132"/>
      <c r="AH2" s="132"/>
      <c r="AI2" s="132"/>
      <c r="AJ2" s="132"/>
      <c r="AK2" s="132"/>
      <c r="AL2" s="132"/>
      <c r="AM2" s="132"/>
      <c r="AN2" s="132"/>
      <c r="AO2" s="132"/>
      <c r="AP2" s="132"/>
      <c r="AQ2" s="132"/>
      <c r="AR2" s="132"/>
      <c r="AS2" s="132"/>
      <c r="AT2" s="132"/>
      <c r="AU2" s="132"/>
      <c r="AV2" s="132"/>
      <c r="AW2" s="132"/>
      <c r="AX2" s="132"/>
      <c r="AY2" s="132"/>
      <c r="AZ2" s="132"/>
      <c r="BA2" s="132"/>
      <c r="BB2" s="132"/>
      <c r="BC2" s="132"/>
      <c r="BD2" s="132"/>
      <c r="BE2" s="132"/>
      <c r="BF2" s="132"/>
      <c r="BG2" s="132"/>
      <c r="BH2" s="132"/>
      <c r="BI2" s="132"/>
      <c r="BJ2" s="132"/>
      <c r="BK2" s="132"/>
      <c r="BL2" s="132"/>
      <c r="BM2" s="132"/>
      <c r="BN2" s="132"/>
      <c r="BO2" s="132"/>
      <c r="BP2" s="132"/>
      <c r="BQ2" s="132"/>
      <c r="BR2" s="132"/>
    </row>
    <row r="3" spans="1:84" ht="28.5" customHeight="1" x14ac:dyDescent="0.35">
      <c r="A3" s="419" t="s">
        <v>603</v>
      </c>
      <c r="B3" s="420"/>
      <c r="C3" s="421"/>
      <c r="D3" s="420"/>
      <c r="E3" s="420"/>
      <c r="F3" s="420"/>
      <c r="G3" s="420"/>
      <c r="H3" s="420"/>
      <c r="I3" s="420"/>
      <c r="J3" s="420"/>
      <c r="K3" s="420"/>
      <c r="L3" s="420"/>
      <c r="M3" s="420"/>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c r="BE3" s="133"/>
      <c r="BF3" s="133"/>
      <c r="BG3" s="133"/>
      <c r="BH3" s="133"/>
      <c r="BI3" s="133"/>
      <c r="BJ3" s="133"/>
      <c r="BK3" s="133"/>
      <c r="BL3" s="133"/>
      <c r="BM3" s="133"/>
      <c r="BN3" s="133"/>
      <c r="BO3" s="133"/>
      <c r="BP3" s="133"/>
      <c r="BQ3" s="133"/>
      <c r="BR3" s="133"/>
    </row>
    <row r="4" spans="1:84" ht="35.25" customHeight="1" x14ac:dyDescent="0.35">
      <c r="A4" s="422" t="s">
        <v>876</v>
      </c>
      <c r="B4" s="423"/>
      <c r="C4" s="423"/>
      <c r="D4" s="423"/>
      <c r="E4" s="423"/>
      <c r="F4" s="423"/>
      <c r="G4" s="424"/>
      <c r="H4" s="423"/>
      <c r="I4" s="423"/>
      <c r="J4" s="423"/>
      <c r="K4" s="423"/>
      <c r="L4" s="423"/>
      <c r="M4" s="423"/>
      <c r="N4" s="134"/>
      <c r="O4" s="134"/>
      <c r="P4" s="134"/>
      <c r="Q4" s="134"/>
      <c r="R4" s="134"/>
      <c r="S4" s="134"/>
      <c r="T4" s="134"/>
      <c r="U4" s="134"/>
      <c r="V4" s="134"/>
      <c r="W4" s="134"/>
      <c r="X4" s="134"/>
      <c r="Y4" s="134"/>
      <c r="Z4" s="134"/>
      <c r="AA4" s="134"/>
      <c r="AB4" s="134"/>
      <c r="AC4" s="134"/>
      <c r="AD4" s="134"/>
      <c r="AE4" s="134"/>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c r="BM4" s="134"/>
      <c r="BN4" s="134"/>
      <c r="BO4" s="134"/>
      <c r="BP4" s="134"/>
      <c r="BQ4" s="134"/>
      <c r="BR4" s="134"/>
      <c r="BT4" s="221"/>
    </row>
    <row r="5" spans="1:84" ht="47.65" customHeight="1" x14ac:dyDescent="0.35">
      <c r="A5" s="425" t="s">
        <v>49</v>
      </c>
      <c r="B5" s="425" t="s">
        <v>50</v>
      </c>
      <c r="C5" s="426" t="s">
        <v>51</v>
      </c>
      <c r="D5" s="425" t="s">
        <v>52</v>
      </c>
      <c r="E5" s="427" t="s">
        <v>569</v>
      </c>
      <c r="F5" s="136" t="s">
        <v>604</v>
      </c>
      <c r="G5" s="135" t="s">
        <v>605</v>
      </c>
      <c r="H5" s="136" t="s">
        <v>606</v>
      </c>
      <c r="I5" s="135" t="s">
        <v>607</v>
      </c>
      <c r="J5" s="136" t="s">
        <v>608</v>
      </c>
      <c r="K5" s="135" t="s">
        <v>609</v>
      </c>
      <c r="L5" s="136" t="s">
        <v>610</v>
      </c>
      <c r="M5" s="135" t="s">
        <v>611</v>
      </c>
      <c r="N5" s="136" t="s">
        <v>612</v>
      </c>
      <c r="O5" s="387" t="s">
        <v>613</v>
      </c>
      <c r="P5" s="388"/>
      <c r="Q5" s="377" t="s">
        <v>614</v>
      </c>
      <c r="R5" s="400"/>
      <c r="S5" s="387" t="s">
        <v>615</v>
      </c>
      <c r="T5" s="388"/>
      <c r="U5" s="377" t="s">
        <v>616</v>
      </c>
      <c r="V5" s="400"/>
      <c r="W5" s="387" t="s">
        <v>617</v>
      </c>
      <c r="X5" s="388"/>
      <c r="Y5" s="377" t="s">
        <v>618</v>
      </c>
      <c r="Z5" s="378"/>
      <c r="AA5" s="378"/>
      <c r="AB5" s="381" t="s">
        <v>619</v>
      </c>
      <c r="AC5" s="382"/>
      <c r="AD5" s="383"/>
      <c r="AE5" s="377" t="s">
        <v>620</v>
      </c>
      <c r="AF5" s="378"/>
      <c r="AG5" s="400"/>
      <c r="AH5" s="381" t="s">
        <v>621</v>
      </c>
      <c r="AI5" s="382"/>
      <c r="AJ5" s="383"/>
      <c r="AK5" s="377" t="s">
        <v>622</v>
      </c>
      <c r="AL5" s="378"/>
      <c r="AM5" s="400"/>
      <c r="AN5" s="381" t="s">
        <v>623</v>
      </c>
      <c r="AO5" s="382"/>
      <c r="AP5" s="383"/>
      <c r="AQ5" s="377" t="s">
        <v>624</v>
      </c>
      <c r="AR5" s="378"/>
      <c r="AS5" s="400"/>
      <c r="AT5" s="381" t="s">
        <v>625</v>
      </c>
      <c r="AU5" s="382"/>
      <c r="AV5" s="383"/>
      <c r="AW5" s="377" t="s">
        <v>626</v>
      </c>
      <c r="AX5" s="378"/>
      <c r="AY5" s="400"/>
      <c r="AZ5" s="381" t="s">
        <v>627</v>
      </c>
      <c r="BA5" s="382"/>
      <c r="BB5" s="383"/>
      <c r="BC5" s="377" t="s">
        <v>628</v>
      </c>
      <c r="BD5" s="378"/>
      <c r="BE5" s="400"/>
      <c r="BF5" s="381" t="s">
        <v>629</v>
      </c>
      <c r="BG5" s="382"/>
      <c r="BH5" s="383"/>
      <c r="BI5" s="289" t="s">
        <v>1056</v>
      </c>
      <c r="BJ5" s="289" t="s">
        <v>1058</v>
      </c>
      <c r="BK5" s="289" t="s">
        <v>1060</v>
      </c>
      <c r="BL5" s="396" t="s">
        <v>142</v>
      </c>
      <c r="BM5" s="396"/>
      <c r="BN5" s="398" t="s">
        <v>12</v>
      </c>
      <c r="BO5" s="398"/>
      <c r="BP5" s="399" t="s">
        <v>898</v>
      </c>
      <c r="BQ5" s="399"/>
      <c r="BR5" s="399"/>
      <c r="BS5" s="402" t="s">
        <v>47</v>
      </c>
      <c r="BT5" s="402"/>
      <c r="BU5" s="402"/>
      <c r="BV5" s="402"/>
      <c r="BW5" s="403" t="s">
        <v>869</v>
      </c>
      <c r="BX5" s="406" t="s">
        <v>838</v>
      </c>
      <c r="BY5" s="409" t="s">
        <v>466</v>
      </c>
      <c r="BZ5" s="403" t="s">
        <v>630</v>
      </c>
      <c r="CA5" s="401" t="s">
        <v>631</v>
      </c>
    </row>
    <row r="6" spans="1:84" ht="37.5" customHeight="1" x14ac:dyDescent="0.35">
      <c r="A6" s="425"/>
      <c r="B6" s="425"/>
      <c r="C6" s="426"/>
      <c r="D6" s="425"/>
      <c r="E6" s="427"/>
      <c r="F6" s="136" t="s">
        <v>632</v>
      </c>
      <c r="G6" s="135" t="s">
        <v>633</v>
      </c>
      <c r="H6" s="136" t="s">
        <v>634</v>
      </c>
      <c r="I6" s="135" t="s">
        <v>635</v>
      </c>
      <c r="J6" s="136" t="s">
        <v>636</v>
      </c>
      <c r="K6" s="135" t="s">
        <v>637</v>
      </c>
      <c r="L6" s="136" t="s">
        <v>638</v>
      </c>
      <c r="M6" s="135" t="s">
        <v>639</v>
      </c>
      <c r="N6" s="136" t="s">
        <v>640</v>
      </c>
      <c r="O6" s="387" t="s">
        <v>641</v>
      </c>
      <c r="P6" s="388"/>
      <c r="Q6" s="379" t="s">
        <v>642</v>
      </c>
      <c r="R6" s="395"/>
      <c r="S6" s="387" t="s">
        <v>643</v>
      </c>
      <c r="T6" s="388"/>
      <c r="U6" s="379" t="s">
        <v>644</v>
      </c>
      <c r="V6" s="395"/>
      <c r="W6" s="387" t="s">
        <v>645</v>
      </c>
      <c r="X6" s="388"/>
      <c r="Y6" s="379" t="s">
        <v>646</v>
      </c>
      <c r="Z6" s="380"/>
      <c r="AA6" s="380"/>
      <c r="AB6" s="384" t="s">
        <v>647</v>
      </c>
      <c r="AC6" s="385"/>
      <c r="AD6" s="386"/>
      <c r="AE6" s="379" t="s">
        <v>648</v>
      </c>
      <c r="AF6" s="380"/>
      <c r="AG6" s="395"/>
      <c r="AH6" s="384" t="s">
        <v>649</v>
      </c>
      <c r="AI6" s="385"/>
      <c r="AJ6" s="386"/>
      <c r="AK6" s="379" t="s">
        <v>650</v>
      </c>
      <c r="AL6" s="380"/>
      <c r="AM6" s="395"/>
      <c r="AN6" s="384" t="s">
        <v>651</v>
      </c>
      <c r="AO6" s="385"/>
      <c r="AP6" s="386"/>
      <c r="AQ6" s="377" t="s">
        <v>870</v>
      </c>
      <c r="AR6" s="378"/>
      <c r="AS6" s="400"/>
      <c r="AT6" s="384" t="s">
        <v>652</v>
      </c>
      <c r="AU6" s="385"/>
      <c r="AV6" s="386"/>
      <c r="AW6" s="379" t="s">
        <v>653</v>
      </c>
      <c r="AX6" s="380"/>
      <c r="AY6" s="395"/>
      <c r="AZ6" s="384" t="s">
        <v>654</v>
      </c>
      <c r="BA6" s="385"/>
      <c r="BB6" s="386"/>
      <c r="BC6" s="379" t="s">
        <v>655</v>
      </c>
      <c r="BD6" s="380"/>
      <c r="BE6" s="395"/>
      <c r="BF6" s="428" t="s">
        <v>656</v>
      </c>
      <c r="BG6" s="429"/>
      <c r="BH6" s="430"/>
      <c r="BI6" s="289" t="s">
        <v>1057</v>
      </c>
      <c r="BJ6" s="289" t="s">
        <v>1059</v>
      </c>
      <c r="BK6" s="289" t="s">
        <v>1061</v>
      </c>
      <c r="BL6" s="397"/>
      <c r="BM6" s="397"/>
      <c r="BN6" s="398"/>
      <c r="BO6" s="398"/>
      <c r="BP6" s="399"/>
      <c r="BQ6" s="399"/>
      <c r="BR6" s="399"/>
      <c r="BS6" s="389" t="s">
        <v>56</v>
      </c>
      <c r="BT6" s="389" t="s">
        <v>57</v>
      </c>
      <c r="BU6" s="412" t="s">
        <v>58</v>
      </c>
      <c r="BV6" s="412" t="s">
        <v>59</v>
      </c>
      <c r="BW6" s="404"/>
      <c r="BX6" s="407"/>
      <c r="BY6" s="410"/>
      <c r="BZ6" s="404"/>
      <c r="CA6" s="401"/>
    </row>
    <row r="7" spans="1:84" ht="66" customHeight="1" x14ac:dyDescent="0.35">
      <c r="A7" s="425"/>
      <c r="B7" s="425"/>
      <c r="C7" s="426"/>
      <c r="D7" s="425"/>
      <c r="E7" s="427"/>
      <c r="F7" s="128" t="s">
        <v>572</v>
      </c>
      <c r="G7" s="128" t="s">
        <v>657</v>
      </c>
      <c r="H7" s="128" t="s">
        <v>572</v>
      </c>
      <c r="I7" s="128" t="s">
        <v>657</v>
      </c>
      <c r="J7" s="128" t="s">
        <v>572</v>
      </c>
      <c r="K7" s="128" t="s">
        <v>657</v>
      </c>
      <c r="L7" s="128" t="s">
        <v>572</v>
      </c>
      <c r="M7" s="128" t="s">
        <v>657</v>
      </c>
      <c r="N7" s="128" t="s">
        <v>572</v>
      </c>
      <c r="O7" s="168" t="s">
        <v>658</v>
      </c>
      <c r="P7" s="169" t="s">
        <v>871</v>
      </c>
      <c r="Q7" s="168" t="s">
        <v>658</v>
      </c>
      <c r="R7" s="169" t="s">
        <v>871</v>
      </c>
      <c r="S7" s="168" t="s">
        <v>658</v>
      </c>
      <c r="T7" s="169" t="s">
        <v>871</v>
      </c>
      <c r="U7" s="168" t="s">
        <v>658</v>
      </c>
      <c r="V7" s="169" t="s">
        <v>871</v>
      </c>
      <c r="W7" s="168" t="s">
        <v>658</v>
      </c>
      <c r="X7" s="169" t="s">
        <v>871</v>
      </c>
      <c r="Y7" s="122" t="s">
        <v>1038</v>
      </c>
      <c r="Z7" s="122" t="s">
        <v>896</v>
      </c>
      <c r="AA7" s="123" t="s">
        <v>1039</v>
      </c>
      <c r="AB7" s="122" t="s">
        <v>1038</v>
      </c>
      <c r="AC7" s="122" t="s">
        <v>896</v>
      </c>
      <c r="AD7" s="123" t="s">
        <v>1039</v>
      </c>
      <c r="AE7" s="122" t="s">
        <v>1038</v>
      </c>
      <c r="AF7" s="122" t="s">
        <v>896</v>
      </c>
      <c r="AG7" s="123" t="s">
        <v>1039</v>
      </c>
      <c r="AH7" s="122" t="s">
        <v>1038</v>
      </c>
      <c r="AI7" s="122" t="s">
        <v>896</v>
      </c>
      <c r="AJ7" s="123" t="s">
        <v>1039</v>
      </c>
      <c r="AK7" s="122" t="s">
        <v>1038</v>
      </c>
      <c r="AL7" s="122" t="s">
        <v>896</v>
      </c>
      <c r="AM7" s="123" t="s">
        <v>1039</v>
      </c>
      <c r="AN7" s="122" t="s">
        <v>1038</v>
      </c>
      <c r="AO7" s="122" t="s">
        <v>896</v>
      </c>
      <c r="AP7" s="123" t="s">
        <v>1039</v>
      </c>
      <c r="AQ7" s="122" t="s">
        <v>1038</v>
      </c>
      <c r="AR7" s="122" t="s">
        <v>896</v>
      </c>
      <c r="AS7" s="123" t="s">
        <v>1039</v>
      </c>
      <c r="AT7" s="122" t="s">
        <v>1038</v>
      </c>
      <c r="AU7" s="122" t="s">
        <v>896</v>
      </c>
      <c r="AV7" s="123" t="s">
        <v>1039</v>
      </c>
      <c r="AW7" s="122" t="s">
        <v>1038</v>
      </c>
      <c r="AX7" s="122" t="s">
        <v>896</v>
      </c>
      <c r="AY7" s="123" t="s">
        <v>1039</v>
      </c>
      <c r="AZ7" s="122" t="s">
        <v>1038</v>
      </c>
      <c r="BA7" s="122" t="s">
        <v>896</v>
      </c>
      <c r="BB7" s="123" t="s">
        <v>1039</v>
      </c>
      <c r="BC7" s="122" t="s">
        <v>1038</v>
      </c>
      <c r="BD7" s="122" t="s">
        <v>896</v>
      </c>
      <c r="BE7" s="123" t="s">
        <v>1039</v>
      </c>
      <c r="BF7" s="122" t="s">
        <v>1038</v>
      </c>
      <c r="BG7" s="122" t="s">
        <v>896</v>
      </c>
      <c r="BH7" s="123" t="s">
        <v>1039</v>
      </c>
      <c r="BI7" s="271" t="s">
        <v>54</v>
      </c>
      <c r="BJ7" s="270" t="s">
        <v>54</v>
      </c>
      <c r="BK7" s="271" t="s">
        <v>54</v>
      </c>
      <c r="BL7" s="271"/>
      <c r="BM7" s="271"/>
      <c r="BN7" s="271"/>
      <c r="BO7" s="271"/>
      <c r="BP7" s="271"/>
      <c r="BQ7" s="271"/>
      <c r="BR7" s="271"/>
      <c r="BS7" s="389"/>
      <c r="BT7" s="389"/>
      <c r="BU7" s="412"/>
      <c r="BV7" s="412"/>
      <c r="BW7" s="405"/>
      <c r="BX7" s="408"/>
      <c r="BY7" s="411"/>
      <c r="BZ7" s="405"/>
      <c r="CA7" s="401"/>
    </row>
    <row r="8" spans="1:84" s="145" customFormat="1" ht="65" x14ac:dyDescent="0.35">
      <c r="A8" s="170">
        <v>1</v>
      </c>
      <c r="B8" s="171" t="s">
        <v>659</v>
      </c>
      <c r="C8" s="172" t="s">
        <v>660</v>
      </c>
      <c r="D8" s="171" t="s">
        <v>212</v>
      </c>
      <c r="E8" s="200">
        <v>35</v>
      </c>
      <c r="F8" s="173"/>
      <c r="G8" s="19"/>
      <c r="H8" s="19"/>
      <c r="I8" s="19"/>
      <c r="J8" s="19"/>
      <c r="K8" s="19"/>
      <c r="L8" s="19"/>
      <c r="M8" s="19">
        <f>[1]PAPELERIA!G7</f>
        <v>72400</v>
      </c>
      <c r="N8" s="19">
        <v>72400</v>
      </c>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42">
        <f>MEDIAN(F8:N8)</f>
        <v>72400</v>
      </c>
      <c r="BT8" s="142">
        <f>AVERAGE(F8:N8)</f>
        <v>72400</v>
      </c>
      <c r="BU8" s="143">
        <f>STDEV(F8:N8)</f>
        <v>0</v>
      </c>
      <c r="BV8" s="62">
        <f>BU8/BT8</f>
        <v>0</v>
      </c>
      <c r="BW8" s="144">
        <f>ROUNDUP(IF(BV8&lt;15%,BT8,BS8),0)</f>
        <v>72400</v>
      </c>
      <c r="BX8" s="144">
        <f t="shared" ref="BX8:BX25" si="0">+BW8/1.19</f>
        <v>60840.336134453784</v>
      </c>
      <c r="BY8" s="31">
        <f>+BX8*19%</f>
        <v>11559.663865546219</v>
      </c>
      <c r="BZ8" s="331">
        <f t="shared" ref="BZ8:BZ25" si="1">+BW8*E8</f>
        <v>2534000</v>
      </c>
      <c r="CA8" s="47" t="s">
        <v>662</v>
      </c>
      <c r="CB8" s="3"/>
      <c r="CC8" s="3"/>
      <c r="CD8" s="3"/>
      <c r="CE8" s="3"/>
      <c r="CF8" s="3"/>
    </row>
    <row r="9" spans="1:84" s="145" customFormat="1" ht="29" x14ac:dyDescent="0.35">
      <c r="A9" s="170">
        <v>2</v>
      </c>
      <c r="B9" s="171" t="s">
        <v>663</v>
      </c>
      <c r="C9" s="174" t="s">
        <v>664</v>
      </c>
      <c r="D9" s="171" t="s">
        <v>661</v>
      </c>
      <c r="E9" s="200">
        <v>104</v>
      </c>
      <c r="F9" s="173"/>
      <c r="G9" s="19"/>
      <c r="H9" s="19"/>
      <c r="I9" s="19">
        <v>9400</v>
      </c>
      <c r="J9" s="19"/>
      <c r="K9" s="19">
        <v>6295</v>
      </c>
      <c r="L9" s="19">
        <v>5720</v>
      </c>
      <c r="M9" s="19">
        <f>[1]PAPELERIA!G8</f>
        <v>9500</v>
      </c>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42">
        <f>MEDIAN(F9:M9)</f>
        <v>7847.5</v>
      </c>
      <c r="BT9" s="142">
        <f>AVERAGE(F9:M9)</f>
        <v>7728.75</v>
      </c>
      <c r="BU9" s="143">
        <f>STDEV(F9:M9)</f>
        <v>2001.7591222055999</v>
      </c>
      <c r="BV9" s="62">
        <f t="shared" ref="BV9:BV73" si="2">BU9/BT9</f>
        <v>0.2590016654964386</v>
      </c>
      <c r="BW9" s="144">
        <f t="shared" ref="BW9:BW73" si="3">ROUNDUP(IF(BV9&lt;15%,BT9,BS9),0)</f>
        <v>7848</v>
      </c>
      <c r="BX9" s="144">
        <f t="shared" si="0"/>
        <v>6594.9579831932779</v>
      </c>
      <c r="BY9" s="31">
        <f t="shared" ref="BY9:BY73" si="4">+BX9*19%</f>
        <v>1253.0420168067228</v>
      </c>
      <c r="BZ9" s="331">
        <f t="shared" si="1"/>
        <v>816192</v>
      </c>
      <c r="CA9" s="47" t="s">
        <v>665</v>
      </c>
      <c r="CB9" s="3"/>
      <c r="CC9" s="3"/>
      <c r="CD9" s="3"/>
      <c r="CE9" s="3"/>
      <c r="CF9" s="3"/>
    </row>
    <row r="10" spans="1:84" s="145" customFormat="1" ht="30" customHeight="1" x14ac:dyDescent="0.35">
      <c r="A10" s="170">
        <v>3</v>
      </c>
      <c r="B10" s="171" t="s">
        <v>666</v>
      </c>
      <c r="C10" s="174" t="s">
        <v>667</v>
      </c>
      <c r="D10" s="171" t="s">
        <v>212</v>
      </c>
      <c r="E10" s="200">
        <v>190</v>
      </c>
      <c r="F10" s="173"/>
      <c r="G10" s="19"/>
      <c r="H10" s="19"/>
      <c r="I10" s="19">
        <v>1500</v>
      </c>
      <c r="J10" s="19"/>
      <c r="K10" s="19"/>
      <c r="L10" s="19"/>
      <c r="M10" s="19">
        <f>[1]PAPELERIA!G9</f>
        <v>1100</v>
      </c>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42">
        <f>MEDIAN(F10:M10)</f>
        <v>1300</v>
      </c>
      <c r="BT10" s="142">
        <f>AVERAGE(F10:M10)</f>
        <v>1300</v>
      </c>
      <c r="BU10" s="143">
        <f>STDEV(F10:M10)</f>
        <v>282.84271247461902</v>
      </c>
      <c r="BV10" s="62">
        <f t="shared" si="2"/>
        <v>0.21757131728816848</v>
      </c>
      <c r="BW10" s="144">
        <f t="shared" si="3"/>
        <v>1300</v>
      </c>
      <c r="BX10" s="144">
        <f t="shared" si="0"/>
        <v>1092.4369747899161</v>
      </c>
      <c r="BY10" s="31">
        <f t="shared" si="4"/>
        <v>207.56302521008408</v>
      </c>
      <c r="BZ10" s="331">
        <f t="shared" si="1"/>
        <v>247000</v>
      </c>
      <c r="CA10" s="47" t="s">
        <v>665</v>
      </c>
      <c r="CB10" s="3"/>
      <c r="CC10" s="3"/>
      <c r="CD10" s="3"/>
      <c r="CE10" s="3"/>
      <c r="CF10" s="3"/>
    </row>
    <row r="11" spans="1:84" s="145" customFormat="1" ht="72.5" x14ac:dyDescent="0.35">
      <c r="A11" s="170">
        <v>4</v>
      </c>
      <c r="B11" s="210" t="s">
        <v>320</v>
      </c>
      <c r="C11" s="210" t="s">
        <v>988</v>
      </c>
      <c r="D11" s="171" t="s">
        <v>661</v>
      </c>
      <c r="E11" s="200">
        <v>450</v>
      </c>
      <c r="F11" s="173"/>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1">
        <v>16000</v>
      </c>
      <c r="BJ11" s="221">
        <v>14500</v>
      </c>
      <c r="BK11" s="209">
        <v>15000</v>
      </c>
      <c r="BL11" s="292"/>
      <c r="BM11" s="292"/>
      <c r="BN11" s="292"/>
      <c r="BO11" s="292"/>
      <c r="BP11" s="292"/>
      <c r="BQ11" s="292"/>
      <c r="BR11" s="292"/>
      <c r="BS11" s="142">
        <f>MEDIAN(BI11,BJ11,BK11)</f>
        <v>15000</v>
      </c>
      <c r="BT11" s="142">
        <f>AVERAGE(BI11,BJ11,BK11)</f>
        <v>15166.666666666666</v>
      </c>
      <c r="BU11" s="143">
        <f>STDEV(BI11,BJ11,BK11)</f>
        <v>763.76261582597328</v>
      </c>
      <c r="BV11" s="62">
        <f t="shared" si="2"/>
        <v>5.0357974669844395E-2</v>
      </c>
      <c r="BW11" s="144">
        <f t="shared" si="3"/>
        <v>15167</v>
      </c>
      <c r="BX11" s="144">
        <f t="shared" si="0"/>
        <v>12745.378151260506</v>
      </c>
      <c r="BY11" s="31">
        <f t="shared" si="4"/>
        <v>2421.6218487394963</v>
      </c>
      <c r="BZ11" s="331">
        <f t="shared" si="1"/>
        <v>6825150</v>
      </c>
      <c r="CA11" s="47" t="s">
        <v>662</v>
      </c>
      <c r="CB11" s="3"/>
      <c r="CC11" s="3"/>
      <c r="CD11" s="3"/>
      <c r="CE11" s="3"/>
      <c r="CF11" s="3"/>
    </row>
    <row r="12" spans="1:84" s="145" customFormat="1" ht="52" x14ac:dyDescent="0.35">
      <c r="A12" s="170">
        <v>5</v>
      </c>
      <c r="B12" s="175" t="s">
        <v>668</v>
      </c>
      <c r="C12" s="172" t="s">
        <v>669</v>
      </c>
      <c r="D12" s="171" t="s">
        <v>661</v>
      </c>
      <c r="E12" s="200">
        <v>70</v>
      </c>
      <c r="F12" s="173"/>
      <c r="G12" s="19"/>
      <c r="H12" s="19"/>
      <c r="I12" s="19"/>
      <c r="J12" s="19"/>
      <c r="K12" s="19"/>
      <c r="L12" s="19"/>
      <c r="M12" s="19"/>
      <c r="N12" s="19"/>
      <c r="O12" s="176">
        <v>4202</v>
      </c>
      <c r="P12" s="177">
        <f t="shared" ref="P12" si="5">((O12*5.1%)+O12)</f>
        <v>4416.3019999999997</v>
      </c>
      <c r="Q12" s="176">
        <v>3200</v>
      </c>
      <c r="R12" s="176">
        <f t="shared" ref="R12" si="6">((Q12*5.1%)+Q12)</f>
        <v>3363.2</v>
      </c>
      <c r="S12" s="176">
        <v>3415</v>
      </c>
      <c r="T12" s="178">
        <f t="shared" ref="T12" si="7">((S12*5.1%)+S12)</f>
        <v>3589.165</v>
      </c>
      <c r="U12" s="162">
        <v>3800</v>
      </c>
      <c r="V12" s="162">
        <v>3993.8</v>
      </c>
      <c r="W12" s="162"/>
      <c r="X12" s="162"/>
      <c r="Y12" s="162"/>
      <c r="Z12" s="162"/>
      <c r="AA12" s="162"/>
      <c r="AB12" s="162"/>
      <c r="AC12" s="162"/>
      <c r="AD12" s="162"/>
      <c r="AE12" s="162"/>
      <c r="AF12" s="162"/>
      <c r="AG12" s="162"/>
      <c r="AH12" s="162"/>
      <c r="AI12" s="162"/>
      <c r="AJ12" s="162"/>
      <c r="AK12" s="162"/>
      <c r="AL12" s="162"/>
      <c r="AM12" s="162"/>
      <c r="AN12" s="162"/>
      <c r="AO12" s="162"/>
      <c r="AP12" s="162"/>
      <c r="AQ12" s="162"/>
      <c r="AR12" s="162"/>
      <c r="AS12" s="162"/>
      <c r="AT12" s="162"/>
      <c r="AU12" s="162"/>
      <c r="AV12" s="162"/>
      <c r="AW12" s="162"/>
      <c r="AX12" s="162"/>
      <c r="AY12" s="162"/>
      <c r="AZ12" s="162"/>
      <c r="BA12" s="162"/>
      <c r="BB12" s="162"/>
      <c r="BC12" s="162"/>
      <c r="BD12" s="162"/>
      <c r="BE12" s="162"/>
      <c r="BF12" s="162"/>
      <c r="BG12" s="162"/>
      <c r="BH12" s="162"/>
      <c r="BI12" s="162"/>
      <c r="BJ12" s="162"/>
      <c r="BK12" s="162"/>
      <c r="BL12" s="162"/>
      <c r="BM12" s="162"/>
      <c r="BN12" s="162"/>
      <c r="BO12" s="162"/>
      <c r="BP12" s="162"/>
      <c r="BQ12" s="162"/>
      <c r="BR12" s="162"/>
      <c r="BS12" s="142">
        <f>MEDIAN(P12,R12,T12,V12,X12)</f>
        <v>3791.4825000000001</v>
      </c>
      <c r="BT12" s="142">
        <f>AVERAGE(P12,R12,T12,V12,X12)</f>
        <v>3840.6167500000001</v>
      </c>
      <c r="BU12" s="143">
        <f>STDEV(P12,R12,T12,V12,X12)</f>
        <v>464.05220644044806</v>
      </c>
      <c r="BV12" s="62">
        <f t="shared" si="2"/>
        <v>0.12082752241302079</v>
      </c>
      <c r="BW12" s="144">
        <f t="shared" si="3"/>
        <v>3841</v>
      </c>
      <c r="BX12" s="144">
        <f t="shared" si="0"/>
        <v>3227.7310924369749</v>
      </c>
      <c r="BY12" s="31">
        <f t="shared" si="4"/>
        <v>613.26890756302521</v>
      </c>
      <c r="BZ12" s="331">
        <f t="shared" si="1"/>
        <v>268870</v>
      </c>
      <c r="CA12" s="47" t="s">
        <v>662</v>
      </c>
      <c r="CB12" s="3"/>
      <c r="CC12" s="3"/>
      <c r="CD12" s="3"/>
      <c r="CE12" s="3"/>
      <c r="CF12" s="3"/>
    </row>
    <row r="13" spans="1:84" s="145" customFormat="1" ht="52.5" customHeight="1" x14ac:dyDescent="0.35">
      <c r="A13" s="170">
        <v>6</v>
      </c>
      <c r="B13" s="175" t="s">
        <v>670</v>
      </c>
      <c r="C13" s="174" t="s">
        <v>671</v>
      </c>
      <c r="D13" s="171" t="s">
        <v>212</v>
      </c>
      <c r="E13" s="200">
        <v>300</v>
      </c>
      <c r="F13" s="173"/>
      <c r="G13" s="19"/>
      <c r="H13" s="19"/>
      <c r="I13" s="19"/>
      <c r="J13" s="19">
        <f>[2]PAPELERIA!I12</f>
        <v>7000</v>
      </c>
      <c r="K13" s="19"/>
      <c r="L13" s="19">
        <v>6360</v>
      </c>
      <c r="M13" s="19">
        <f>[1]PAPELERIA!G12</f>
        <v>9200</v>
      </c>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42">
        <f>MEDIAN(F13:M13)</f>
        <v>7000</v>
      </c>
      <c r="BT13" s="142">
        <f>AVERAGE(F13:M13)</f>
        <v>7520</v>
      </c>
      <c r="BU13" s="143">
        <f>STDEV(F13:M13)</f>
        <v>1489.6979559628858</v>
      </c>
      <c r="BV13" s="62">
        <f t="shared" si="2"/>
        <v>0.1980981324418731</v>
      </c>
      <c r="BW13" s="144">
        <f t="shared" si="3"/>
        <v>7000</v>
      </c>
      <c r="BX13" s="144">
        <f t="shared" si="0"/>
        <v>5882.3529411764712</v>
      </c>
      <c r="BY13" s="31">
        <f t="shared" si="4"/>
        <v>1117.6470588235295</v>
      </c>
      <c r="BZ13" s="331">
        <f t="shared" si="1"/>
        <v>2100000</v>
      </c>
      <c r="CA13" s="47" t="s">
        <v>665</v>
      </c>
      <c r="CB13" s="3"/>
      <c r="CC13" s="3"/>
      <c r="CD13" s="3"/>
      <c r="CE13" s="3"/>
      <c r="CF13" s="3"/>
    </row>
    <row r="14" spans="1:84" s="145" customFormat="1" ht="29" x14ac:dyDescent="0.35">
      <c r="A14" s="170">
        <v>7</v>
      </c>
      <c r="B14" s="175" t="s">
        <v>672</v>
      </c>
      <c r="C14" s="174" t="s">
        <v>673</v>
      </c>
      <c r="D14" s="171" t="s">
        <v>661</v>
      </c>
      <c r="E14" s="201">
        <v>60</v>
      </c>
      <c r="F14" s="173">
        <v>3500</v>
      </c>
      <c r="G14" s="19"/>
      <c r="H14" s="19"/>
      <c r="I14" s="19"/>
      <c r="J14" s="19"/>
      <c r="K14" s="19"/>
      <c r="L14" s="19"/>
      <c r="M14" s="19"/>
      <c r="N14" s="19"/>
      <c r="O14" s="19">
        <v>2521</v>
      </c>
      <c r="P14" s="19">
        <v>2649.5709999999999</v>
      </c>
      <c r="Q14" s="19">
        <v>2200</v>
      </c>
      <c r="R14" s="19">
        <v>2312.1999999999998</v>
      </c>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42">
        <f>MEDIAN(F14,P14,R14)</f>
        <v>2649.5709999999999</v>
      </c>
      <c r="BT14" s="142">
        <f>AVERAGE(F14,P14,R14)</f>
        <v>2820.5903333333335</v>
      </c>
      <c r="BU14" s="143">
        <f>STDEV(F14,P14,R14)</f>
        <v>612.08897987166029</v>
      </c>
      <c r="BV14" s="62">
        <f t="shared" si="2"/>
        <v>0.21700740183290007</v>
      </c>
      <c r="BW14" s="144">
        <f t="shared" si="3"/>
        <v>2650</v>
      </c>
      <c r="BX14" s="144">
        <f t="shared" si="0"/>
        <v>2226.8907563025209</v>
      </c>
      <c r="BY14" s="31">
        <f t="shared" si="4"/>
        <v>423.10924369747897</v>
      </c>
      <c r="BZ14" s="331">
        <f t="shared" si="1"/>
        <v>159000</v>
      </c>
      <c r="CA14" s="47" t="s">
        <v>665</v>
      </c>
      <c r="CB14" s="3"/>
      <c r="CC14" s="3"/>
      <c r="CD14" s="3"/>
      <c r="CE14" s="3"/>
      <c r="CF14" s="3"/>
    </row>
    <row r="15" spans="1:84" s="145" customFormat="1" ht="29" x14ac:dyDescent="0.35">
      <c r="A15" s="170">
        <v>8</v>
      </c>
      <c r="B15" s="175" t="s">
        <v>674</v>
      </c>
      <c r="C15" s="174" t="s">
        <v>675</v>
      </c>
      <c r="D15" s="171" t="s">
        <v>661</v>
      </c>
      <c r="E15" s="201">
        <v>1000</v>
      </c>
      <c r="F15" s="173">
        <v>800</v>
      </c>
      <c r="G15" s="19"/>
      <c r="H15" s="19"/>
      <c r="I15" s="19"/>
      <c r="J15" s="19"/>
      <c r="K15" s="19"/>
      <c r="L15" s="19"/>
      <c r="M15" s="19"/>
      <c r="N15" s="19"/>
      <c r="O15" s="19"/>
      <c r="P15" s="19"/>
      <c r="Q15" s="19">
        <v>550</v>
      </c>
      <c r="R15" s="19">
        <v>578.04999999999995</v>
      </c>
      <c r="S15" s="19">
        <v>526</v>
      </c>
      <c r="T15" s="19">
        <v>552.82600000000002</v>
      </c>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42">
        <f>MEDIAN(F15,R15,T15)</f>
        <v>578.04999999999995</v>
      </c>
      <c r="BT15" s="142">
        <f>AVERAGE(F15,R15,T15)</f>
        <v>643.62533333333329</v>
      </c>
      <c r="BU15" s="143">
        <f>STDEV(F15,R15,T15)</f>
        <v>136.01044013359211</v>
      </c>
      <c r="BV15" s="62">
        <f t="shared" si="2"/>
        <v>0.21131927705392597</v>
      </c>
      <c r="BW15" s="144">
        <f t="shared" si="3"/>
        <v>579</v>
      </c>
      <c r="BX15" s="144">
        <f t="shared" si="0"/>
        <v>486.55462184873954</v>
      </c>
      <c r="BY15" s="31">
        <f t="shared" si="4"/>
        <v>92.445378151260513</v>
      </c>
      <c r="BZ15" s="331">
        <f t="shared" si="1"/>
        <v>579000</v>
      </c>
      <c r="CA15" s="47" t="s">
        <v>665</v>
      </c>
      <c r="CB15" s="3"/>
      <c r="CC15" s="3"/>
      <c r="CD15" s="3"/>
      <c r="CE15" s="3"/>
      <c r="CF15" s="3"/>
    </row>
    <row r="16" spans="1:84" s="145" customFormat="1" ht="29" x14ac:dyDescent="0.35">
      <c r="A16" s="170">
        <v>9</v>
      </c>
      <c r="B16" s="175" t="s">
        <v>676</v>
      </c>
      <c r="C16" s="172" t="s">
        <v>677</v>
      </c>
      <c r="D16" s="171" t="s">
        <v>661</v>
      </c>
      <c r="E16" s="183">
        <v>153</v>
      </c>
      <c r="F16" s="173">
        <v>2500</v>
      </c>
      <c r="G16" s="19"/>
      <c r="H16" s="19"/>
      <c r="I16" s="19"/>
      <c r="J16" s="19"/>
      <c r="K16" s="19"/>
      <c r="L16" s="19"/>
      <c r="M16" s="19"/>
      <c r="N16" s="19"/>
      <c r="O16" s="19"/>
      <c r="P16" s="19"/>
      <c r="Q16" s="19"/>
      <c r="R16" s="19"/>
      <c r="S16" s="19"/>
      <c r="T16" s="19"/>
      <c r="U16" s="19">
        <v>2400</v>
      </c>
      <c r="V16" s="19">
        <v>2522.4</v>
      </c>
      <c r="W16" s="19">
        <v>2000</v>
      </c>
      <c r="X16" s="19">
        <v>2102</v>
      </c>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42">
        <f>MEDIAN(X16,V16,F16)</f>
        <v>2500</v>
      </c>
      <c r="BT16" s="142">
        <f>AVERAGE(X16,V16,F16)</f>
        <v>2374.7999999999997</v>
      </c>
      <c r="BU16" s="143">
        <f>STDEV(X16,V16,F16)</f>
        <v>236.51706069541794</v>
      </c>
      <c r="BV16" s="62">
        <f t="shared" si="2"/>
        <v>9.9594517725879211E-2</v>
      </c>
      <c r="BW16" s="144">
        <f t="shared" si="3"/>
        <v>2375</v>
      </c>
      <c r="BX16" s="144">
        <f t="shared" si="0"/>
        <v>1995.7983193277312</v>
      </c>
      <c r="BY16" s="31">
        <f t="shared" si="4"/>
        <v>379.20168067226894</v>
      </c>
      <c r="BZ16" s="331">
        <f t="shared" si="1"/>
        <v>363375</v>
      </c>
      <c r="CA16" s="47" t="s">
        <v>662</v>
      </c>
      <c r="CB16" s="3"/>
      <c r="CC16" s="3"/>
      <c r="CD16" s="3"/>
      <c r="CE16" s="3"/>
      <c r="CF16" s="3"/>
    </row>
    <row r="17" spans="1:84" s="145" customFormat="1" ht="130" x14ac:dyDescent="0.35">
      <c r="A17" s="170">
        <v>10</v>
      </c>
      <c r="B17" s="171" t="s">
        <v>678</v>
      </c>
      <c r="C17" s="174" t="s">
        <v>679</v>
      </c>
      <c r="D17" s="171" t="s">
        <v>350</v>
      </c>
      <c r="E17" s="202">
        <v>150</v>
      </c>
      <c r="F17" s="173"/>
      <c r="G17" s="19"/>
      <c r="H17" s="19"/>
      <c r="I17" s="19"/>
      <c r="J17" s="19">
        <f>[2]PAPELERIA!I17</f>
        <v>14500</v>
      </c>
      <c r="K17" s="19">
        <v>10756</v>
      </c>
      <c r="L17" s="19">
        <v>12760</v>
      </c>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42">
        <f>MEDIAN(F17:M17)</f>
        <v>12760</v>
      </c>
      <c r="BT17" s="142">
        <f>AVERAGE(F17:M17)</f>
        <v>12672</v>
      </c>
      <c r="BU17" s="143">
        <f>STDEV(F17:M17)</f>
        <v>1873.5506398280245</v>
      </c>
      <c r="BV17" s="62">
        <f t="shared" si="2"/>
        <v>0.14784964013794386</v>
      </c>
      <c r="BW17" s="144">
        <f t="shared" si="3"/>
        <v>12672</v>
      </c>
      <c r="BX17" s="144">
        <f t="shared" si="0"/>
        <v>10648.73949579832</v>
      </c>
      <c r="BY17" s="31">
        <f t="shared" si="4"/>
        <v>2023.2605042016808</v>
      </c>
      <c r="BZ17" s="331">
        <f t="shared" si="1"/>
        <v>1900800</v>
      </c>
      <c r="CA17" s="47" t="s">
        <v>662</v>
      </c>
      <c r="CB17" s="3"/>
      <c r="CC17" s="3"/>
      <c r="CD17" s="3"/>
      <c r="CE17" s="3"/>
      <c r="CF17" s="3"/>
    </row>
    <row r="18" spans="1:84" s="145" customFormat="1" ht="29" x14ac:dyDescent="0.35">
      <c r="A18" s="170">
        <v>11</v>
      </c>
      <c r="B18" s="171" t="s">
        <v>680</v>
      </c>
      <c r="C18" s="174" t="s">
        <v>681</v>
      </c>
      <c r="D18" s="171" t="s">
        <v>682</v>
      </c>
      <c r="E18" s="202">
        <v>26</v>
      </c>
      <c r="F18" s="173"/>
      <c r="G18" s="19"/>
      <c r="H18" s="19"/>
      <c r="I18" s="19"/>
      <c r="J18" s="19">
        <f>[2]PAPELERIA!I18</f>
        <v>2200</v>
      </c>
      <c r="K18" s="19">
        <v>2353</v>
      </c>
      <c r="L18" s="19">
        <v>2200</v>
      </c>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42">
        <f>MEDIAN(F18:M18)</f>
        <v>2200</v>
      </c>
      <c r="BT18" s="142">
        <f>AVERAGE(F18:M18)</f>
        <v>2251</v>
      </c>
      <c r="BU18" s="143">
        <f>STDEV(F18:M18)</f>
        <v>88.334591186012744</v>
      </c>
      <c r="BV18" s="62">
        <f t="shared" si="2"/>
        <v>3.9242377248339733E-2</v>
      </c>
      <c r="BW18" s="144">
        <f t="shared" si="3"/>
        <v>2251</v>
      </c>
      <c r="BX18" s="144">
        <f t="shared" si="0"/>
        <v>1891.5966386554624</v>
      </c>
      <c r="BY18" s="31">
        <f t="shared" si="4"/>
        <v>359.40336134453787</v>
      </c>
      <c r="BZ18" s="331">
        <f t="shared" si="1"/>
        <v>58526</v>
      </c>
      <c r="CA18" s="47" t="s">
        <v>662</v>
      </c>
      <c r="CB18" s="3"/>
      <c r="CC18" s="3"/>
      <c r="CD18" s="3"/>
      <c r="CE18" s="3"/>
      <c r="CF18" s="3"/>
    </row>
    <row r="19" spans="1:84" s="145" customFormat="1" ht="29" x14ac:dyDescent="0.35">
      <c r="A19" s="170">
        <v>12</v>
      </c>
      <c r="B19" s="171" t="s">
        <v>683</v>
      </c>
      <c r="C19" s="172" t="s">
        <v>684</v>
      </c>
      <c r="D19" s="171" t="s">
        <v>350</v>
      </c>
      <c r="E19" s="202">
        <v>50</v>
      </c>
      <c r="F19" s="173"/>
      <c r="G19" s="19"/>
      <c r="H19" s="19"/>
      <c r="I19" s="19"/>
      <c r="J19" s="19">
        <f>[2]PAPELERIA!I20</f>
        <v>25000</v>
      </c>
      <c r="K19" s="19">
        <v>24180</v>
      </c>
      <c r="L19" s="19">
        <v>26400</v>
      </c>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42">
        <f>MEDIAN(F19:M19)</f>
        <v>25000</v>
      </c>
      <c r="BT19" s="142">
        <f>AVERAGE(F19:M19)</f>
        <v>25193.333333333332</v>
      </c>
      <c r="BU19" s="143">
        <f>STDEV(F19:M19)</f>
        <v>1122.5566058481566</v>
      </c>
      <c r="BV19" s="62">
        <f t="shared" si="2"/>
        <v>4.4557684804769383E-2</v>
      </c>
      <c r="BW19" s="144">
        <f t="shared" si="3"/>
        <v>25194</v>
      </c>
      <c r="BX19" s="144">
        <f t="shared" si="0"/>
        <v>21171.428571428572</v>
      </c>
      <c r="BY19" s="31">
        <f t="shared" si="4"/>
        <v>4022.5714285714289</v>
      </c>
      <c r="BZ19" s="331">
        <f t="shared" si="1"/>
        <v>1259700</v>
      </c>
      <c r="CA19" s="47" t="s">
        <v>662</v>
      </c>
      <c r="CB19" s="3"/>
      <c r="CC19" s="3"/>
      <c r="CD19" s="3"/>
      <c r="CE19" s="3"/>
      <c r="CF19" s="3"/>
    </row>
    <row r="20" spans="1:84" s="145" customFormat="1" ht="29" x14ac:dyDescent="0.35">
      <c r="A20" s="170">
        <v>13</v>
      </c>
      <c r="B20" s="171" t="s">
        <v>685</v>
      </c>
      <c r="C20" s="174" t="s">
        <v>686</v>
      </c>
      <c r="D20" s="171" t="s">
        <v>313</v>
      </c>
      <c r="E20" s="202">
        <v>700</v>
      </c>
      <c r="F20" s="173"/>
      <c r="G20" s="19"/>
      <c r="H20" s="19"/>
      <c r="I20" s="19"/>
      <c r="J20" s="19"/>
      <c r="K20" s="19"/>
      <c r="L20" s="19"/>
      <c r="M20" s="19"/>
      <c r="N20" s="19"/>
      <c r="O20" s="176">
        <v>5462</v>
      </c>
      <c r="P20" s="177">
        <f t="shared" ref="P20:P21" si="8">((O20*5.1%)+O20)</f>
        <v>5740.5619999999999</v>
      </c>
      <c r="Q20" s="176">
        <v>4000</v>
      </c>
      <c r="R20" s="176">
        <f t="shared" ref="R20:R21" si="9">((Q20*5.1%)+Q20)</f>
        <v>4204</v>
      </c>
      <c r="S20" s="176">
        <v>4096</v>
      </c>
      <c r="T20" s="176">
        <f t="shared" ref="T20" si="10">((S20*5.1%)+S20)</f>
        <v>4304.8959999999997</v>
      </c>
      <c r="U20" s="19"/>
      <c r="V20" s="19"/>
      <c r="W20" s="19"/>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42">
        <f>MEDIAN(T20,R20,P20)</f>
        <v>4304.8959999999997</v>
      </c>
      <c r="BT20" s="142">
        <f>AVERAGE(T20,R20,P20)</f>
        <v>4749.8193333333338</v>
      </c>
      <c r="BU20" s="143">
        <f>STDEV(T20,R20,P20)</f>
        <v>859.4901246491022</v>
      </c>
      <c r="BV20" s="62">
        <f t="shared" si="2"/>
        <v>0.18095217193154339</v>
      </c>
      <c r="BW20" s="144">
        <f t="shared" si="3"/>
        <v>4305</v>
      </c>
      <c r="BX20" s="144">
        <f t="shared" si="0"/>
        <v>3617.6470588235297</v>
      </c>
      <c r="BY20" s="31">
        <f t="shared" si="4"/>
        <v>687.35294117647061</v>
      </c>
      <c r="BZ20" s="331">
        <f t="shared" si="1"/>
        <v>3013500</v>
      </c>
      <c r="CA20" s="47" t="s">
        <v>665</v>
      </c>
      <c r="CB20" s="3"/>
      <c r="CC20" s="3"/>
      <c r="CD20" s="3"/>
      <c r="CE20" s="3"/>
      <c r="CF20" s="3"/>
    </row>
    <row r="21" spans="1:84" s="145" customFormat="1" ht="29" x14ac:dyDescent="0.35">
      <c r="A21" s="170">
        <v>14</v>
      </c>
      <c r="B21" s="171" t="s">
        <v>685</v>
      </c>
      <c r="C21" s="174" t="s">
        <v>687</v>
      </c>
      <c r="D21" s="171" t="s">
        <v>313</v>
      </c>
      <c r="E21" s="202">
        <v>400</v>
      </c>
      <c r="F21" s="173">
        <v>4200</v>
      </c>
      <c r="G21" s="19"/>
      <c r="H21" s="19"/>
      <c r="I21" s="19"/>
      <c r="J21" s="19"/>
      <c r="K21" s="19"/>
      <c r="L21" s="19"/>
      <c r="M21" s="19"/>
      <c r="N21" s="19"/>
      <c r="O21" s="176">
        <v>2941</v>
      </c>
      <c r="P21" s="177">
        <f t="shared" si="8"/>
        <v>3090.991</v>
      </c>
      <c r="Q21" s="176">
        <v>3100</v>
      </c>
      <c r="R21" s="176">
        <f t="shared" si="9"/>
        <v>3258.1</v>
      </c>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42">
        <f>MEDIAN(F21,P21,R21)</f>
        <v>3258.1</v>
      </c>
      <c r="BT21" s="142">
        <f>AVERAGE(F21,P21,R21)</f>
        <v>3516.3636666666666</v>
      </c>
      <c r="BU21" s="143">
        <f>STDEV(F21,P21,R21)</f>
        <v>597.91331450330676</v>
      </c>
      <c r="BV21" s="62">
        <f t="shared" si="2"/>
        <v>0.17003739407593699</v>
      </c>
      <c r="BW21" s="144">
        <f t="shared" si="3"/>
        <v>3259</v>
      </c>
      <c r="BX21" s="144">
        <f t="shared" si="0"/>
        <v>2738.6554621848741</v>
      </c>
      <c r="BY21" s="31">
        <f t="shared" si="4"/>
        <v>520.34453781512605</v>
      </c>
      <c r="BZ21" s="331">
        <f t="shared" si="1"/>
        <v>1303600</v>
      </c>
      <c r="CA21" s="47" t="s">
        <v>665</v>
      </c>
      <c r="CB21" s="3"/>
      <c r="CC21" s="3"/>
      <c r="CD21" s="3"/>
      <c r="CE21" s="3"/>
      <c r="CF21" s="3"/>
    </row>
    <row r="22" spans="1:84" s="145" customFormat="1" ht="29" x14ac:dyDescent="0.35">
      <c r="A22" s="170">
        <v>15</v>
      </c>
      <c r="B22" s="171" t="s">
        <v>685</v>
      </c>
      <c r="C22" s="174" t="s">
        <v>688</v>
      </c>
      <c r="D22" s="171" t="s">
        <v>313</v>
      </c>
      <c r="E22" s="183">
        <v>350</v>
      </c>
      <c r="F22" s="173"/>
      <c r="G22" s="19"/>
      <c r="H22" s="19"/>
      <c r="I22" s="19"/>
      <c r="J22" s="19">
        <f>[2]PAPELERIA!I23</f>
        <v>4800</v>
      </c>
      <c r="K22" s="19">
        <v>7983</v>
      </c>
      <c r="L22" s="19">
        <v>5940</v>
      </c>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42">
        <f>MEDIAN(F22:M22)</f>
        <v>5940</v>
      </c>
      <c r="BT22" s="142">
        <f>AVERAGE(F22:M22)</f>
        <v>6241</v>
      </c>
      <c r="BU22" s="143">
        <f>STDEV(F22:M22)</f>
        <v>1612.706730934053</v>
      </c>
      <c r="BV22" s="62">
        <f t="shared" si="2"/>
        <v>0.25840518040923777</v>
      </c>
      <c r="BW22" s="144">
        <f t="shared" si="3"/>
        <v>5940</v>
      </c>
      <c r="BX22" s="144">
        <f t="shared" si="0"/>
        <v>4991.5966386554628</v>
      </c>
      <c r="BY22" s="31">
        <f t="shared" si="4"/>
        <v>948.40336134453798</v>
      </c>
      <c r="BZ22" s="331">
        <f t="shared" si="1"/>
        <v>2079000</v>
      </c>
      <c r="CA22" s="47" t="s">
        <v>665</v>
      </c>
      <c r="CB22" s="3"/>
      <c r="CC22" s="3"/>
      <c r="CD22" s="3"/>
      <c r="CE22" s="3"/>
      <c r="CF22" s="3"/>
    </row>
    <row r="23" spans="1:84" s="145" customFormat="1" ht="29" x14ac:dyDescent="0.35">
      <c r="A23" s="170">
        <v>16</v>
      </c>
      <c r="B23" s="171" t="s">
        <v>685</v>
      </c>
      <c r="C23" s="174" t="s">
        <v>689</v>
      </c>
      <c r="D23" s="171" t="s">
        <v>313</v>
      </c>
      <c r="E23" s="183">
        <v>300</v>
      </c>
      <c r="F23" s="173">
        <v>8000</v>
      </c>
      <c r="G23" s="19"/>
      <c r="H23" s="19"/>
      <c r="I23" s="19"/>
      <c r="J23" s="19"/>
      <c r="K23" s="19"/>
      <c r="L23" s="19"/>
      <c r="M23" s="19"/>
      <c r="N23" s="19"/>
      <c r="O23" s="176">
        <v>5262</v>
      </c>
      <c r="P23" s="177">
        <f t="shared" ref="P23" si="11">((O23*5.1%)+O23)</f>
        <v>5530.3620000000001</v>
      </c>
      <c r="Q23" s="176">
        <v>7400</v>
      </c>
      <c r="R23" s="176">
        <f t="shared" ref="R23:R24" si="12">((Q23*5.1%)+Q23)</f>
        <v>7777.4</v>
      </c>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42">
        <f>MEDIAN(F23,P23,R23)</f>
        <v>7777.4</v>
      </c>
      <c r="BT23" s="142">
        <f>AVERAGE(F23,P23,R23)</f>
        <v>7102.5873333333338</v>
      </c>
      <c r="BU23" s="143">
        <f>STDEV(F23,P23,R23)</f>
        <v>1366.1284947183085</v>
      </c>
      <c r="BV23" s="62">
        <f t="shared" si="2"/>
        <v>0.19234237195604706</v>
      </c>
      <c r="BW23" s="144">
        <f t="shared" si="3"/>
        <v>7778</v>
      </c>
      <c r="BX23" s="144">
        <f t="shared" si="0"/>
        <v>6536.134453781513</v>
      </c>
      <c r="BY23" s="31">
        <f t="shared" si="4"/>
        <v>1241.8655462184875</v>
      </c>
      <c r="BZ23" s="331">
        <f t="shared" si="1"/>
        <v>2333400</v>
      </c>
      <c r="CA23" s="47" t="s">
        <v>665</v>
      </c>
      <c r="CB23" s="3"/>
      <c r="CC23" s="3"/>
      <c r="CD23" s="3"/>
      <c r="CE23" s="3"/>
      <c r="CF23" s="3"/>
    </row>
    <row r="24" spans="1:84" s="145" customFormat="1" ht="29" x14ac:dyDescent="0.35">
      <c r="A24" s="170">
        <v>17</v>
      </c>
      <c r="B24" s="171" t="s">
        <v>685</v>
      </c>
      <c r="C24" s="172" t="s">
        <v>690</v>
      </c>
      <c r="D24" s="171" t="s">
        <v>313</v>
      </c>
      <c r="E24" s="183">
        <v>400</v>
      </c>
      <c r="F24" s="173">
        <v>5600</v>
      </c>
      <c r="G24" s="19"/>
      <c r="H24" s="19"/>
      <c r="I24" s="19"/>
      <c r="J24" s="19"/>
      <c r="K24" s="19"/>
      <c r="L24" s="19"/>
      <c r="M24" s="19"/>
      <c r="N24" s="19"/>
      <c r="O24" s="19"/>
      <c r="P24" s="19"/>
      <c r="Q24" s="176">
        <v>4000</v>
      </c>
      <c r="R24" s="176">
        <f t="shared" si="12"/>
        <v>4204</v>
      </c>
      <c r="S24" s="176">
        <v>5030</v>
      </c>
      <c r="T24" s="176">
        <f t="shared" ref="T24" si="13">((S24*5.1%)+S24)</f>
        <v>5286.53</v>
      </c>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42">
        <f>MEDIAN(F24,R24,T24)</f>
        <v>5286.53</v>
      </c>
      <c r="BT24" s="142">
        <f>AVERAGE(F24,R24,T24)</f>
        <v>5030.1766666666663</v>
      </c>
      <c r="BU24" s="143">
        <f>STDEV(F24,R24,T24)</f>
        <v>732.45598750596514</v>
      </c>
      <c r="BV24" s="62">
        <f t="shared" si="2"/>
        <v>0.1456123782609289</v>
      </c>
      <c r="BW24" s="144">
        <f t="shared" si="3"/>
        <v>5031</v>
      </c>
      <c r="BX24" s="144">
        <f t="shared" si="0"/>
        <v>4227.7310924369749</v>
      </c>
      <c r="BY24" s="31">
        <f t="shared" si="4"/>
        <v>803.26890756302521</v>
      </c>
      <c r="BZ24" s="331">
        <f t="shared" si="1"/>
        <v>2012400</v>
      </c>
      <c r="CA24" s="47" t="s">
        <v>662</v>
      </c>
      <c r="CB24" s="3"/>
      <c r="CC24" s="3"/>
      <c r="CD24" s="3"/>
      <c r="CE24" s="3"/>
      <c r="CF24" s="3"/>
    </row>
    <row r="25" spans="1:84" s="145" customFormat="1" ht="29" x14ac:dyDescent="0.35">
      <c r="A25" s="170">
        <v>18</v>
      </c>
      <c r="B25" s="171" t="s">
        <v>691</v>
      </c>
      <c r="C25" s="174" t="s">
        <v>692</v>
      </c>
      <c r="D25" s="171" t="s">
        <v>212</v>
      </c>
      <c r="E25" s="183">
        <v>800</v>
      </c>
      <c r="F25" s="173"/>
      <c r="G25" s="19"/>
      <c r="H25" s="19"/>
      <c r="I25" s="19"/>
      <c r="J25" s="19">
        <f>[2]PAPELERIA!I26</f>
        <v>3500</v>
      </c>
      <c r="K25" s="19">
        <v>2479</v>
      </c>
      <c r="L25" s="19">
        <v>2620</v>
      </c>
      <c r="M25" s="19">
        <f>[1]PAPELERIA!G26</f>
        <v>3500</v>
      </c>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42">
        <f>MEDIAN(F25:M25)</f>
        <v>3060</v>
      </c>
      <c r="BT25" s="142">
        <f>AVERAGE(F25:M25)</f>
        <v>3024.75</v>
      </c>
      <c r="BU25" s="143">
        <f>STDEV(F25:M25)</f>
        <v>551.78218830742742</v>
      </c>
      <c r="BV25" s="62">
        <f t="shared" si="2"/>
        <v>0.18242241120999336</v>
      </c>
      <c r="BW25" s="144">
        <f t="shared" si="3"/>
        <v>3060</v>
      </c>
      <c r="BX25" s="144">
        <f t="shared" si="0"/>
        <v>2571.4285714285716</v>
      </c>
      <c r="BY25" s="31">
        <f t="shared" si="4"/>
        <v>488.57142857142861</v>
      </c>
      <c r="BZ25" s="331">
        <f t="shared" si="1"/>
        <v>2448000</v>
      </c>
      <c r="CA25" s="47" t="s">
        <v>665</v>
      </c>
      <c r="CB25" s="3"/>
      <c r="CC25" s="3"/>
      <c r="CD25" s="3"/>
      <c r="CE25" s="3"/>
      <c r="CF25" s="3"/>
    </row>
    <row r="26" spans="1:84" s="145" customFormat="1" ht="29" x14ac:dyDescent="0.35">
      <c r="A26" s="170">
        <v>19</v>
      </c>
      <c r="B26" s="171" t="s">
        <v>693</v>
      </c>
      <c r="C26" s="172" t="s">
        <v>694</v>
      </c>
      <c r="D26" s="171" t="s">
        <v>212</v>
      </c>
      <c r="E26" s="183">
        <v>82</v>
      </c>
      <c r="F26" s="173">
        <v>18000</v>
      </c>
      <c r="G26" s="19"/>
      <c r="H26" s="19"/>
      <c r="I26" s="19"/>
      <c r="J26" s="19">
        <v>19600</v>
      </c>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42">
        <f>MEDIAN(F26:M26)</f>
        <v>18800</v>
      </c>
      <c r="BT26" s="142">
        <f>AVERAGE(F26:M26)</f>
        <v>18800</v>
      </c>
      <c r="BU26" s="143">
        <f>STDEV(F26:M26)</f>
        <v>1131.3708498984761</v>
      </c>
      <c r="BV26" s="62">
        <f t="shared" si="2"/>
        <v>6.0179300526514684E-2</v>
      </c>
      <c r="BW26" s="144">
        <f>+BS26</f>
        <v>18800</v>
      </c>
      <c r="BX26" s="144">
        <v>18800</v>
      </c>
      <c r="BY26" s="31">
        <v>0</v>
      </c>
      <c r="BZ26" s="331">
        <f>BX26*E26</f>
        <v>1541600</v>
      </c>
      <c r="CA26" s="47" t="s">
        <v>662</v>
      </c>
      <c r="CB26" s="3"/>
      <c r="CC26" s="3"/>
      <c r="CD26" s="3"/>
      <c r="CE26" s="3"/>
      <c r="CF26" s="3"/>
    </row>
    <row r="27" spans="1:84" s="145" customFormat="1" ht="29" x14ac:dyDescent="0.35">
      <c r="A27" s="170">
        <v>20</v>
      </c>
      <c r="B27" s="171" t="s">
        <v>695</v>
      </c>
      <c r="C27" s="172" t="s">
        <v>696</v>
      </c>
      <c r="D27" s="171" t="s">
        <v>212</v>
      </c>
      <c r="E27" s="183">
        <v>30</v>
      </c>
      <c r="F27" s="173"/>
      <c r="G27" s="19"/>
      <c r="H27" s="19"/>
      <c r="I27" s="19">
        <v>11200</v>
      </c>
      <c r="J27" s="19"/>
      <c r="K27" s="19"/>
      <c r="L27" s="19"/>
      <c r="M27" s="19">
        <f>[1]PAPELERIA!G28</f>
        <v>12000</v>
      </c>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42">
        <f>MEDIAN(F27:M27)</f>
        <v>11600</v>
      </c>
      <c r="BT27" s="142">
        <f>AVERAGE(F27:M27)</f>
        <v>11600</v>
      </c>
      <c r="BU27" s="143">
        <f>STDEV(F27:M27)</f>
        <v>565.68542494923804</v>
      </c>
      <c r="BV27" s="62">
        <f t="shared" si="2"/>
        <v>4.8765984909417075E-2</v>
      </c>
      <c r="BW27" s="144">
        <f>+BS27</f>
        <v>11600</v>
      </c>
      <c r="BX27" s="144">
        <v>11600</v>
      </c>
      <c r="BY27" s="31">
        <v>0</v>
      </c>
      <c r="BZ27" s="331">
        <f>BX27*E27</f>
        <v>348000</v>
      </c>
      <c r="CA27" s="47" t="s">
        <v>662</v>
      </c>
      <c r="CB27" s="3"/>
      <c r="CC27" s="3"/>
      <c r="CD27" s="3"/>
      <c r="CE27" s="3"/>
      <c r="CF27" s="3"/>
    </row>
    <row r="28" spans="1:84" s="145" customFormat="1" ht="29" x14ac:dyDescent="0.35">
      <c r="A28" s="170">
        <v>21</v>
      </c>
      <c r="B28" s="171" t="s">
        <v>697</v>
      </c>
      <c r="C28" s="174" t="s">
        <v>698</v>
      </c>
      <c r="D28" s="171" t="s">
        <v>212</v>
      </c>
      <c r="E28" s="183">
        <v>202</v>
      </c>
      <c r="F28" s="173"/>
      <c r="G28" s="19"/>
      <c r="H28" s="19"/>
      <c r="I28" s="19">
        <v>17400</v>
      </c>
      <c r="J28" s="19">
        <f>[2]PAPELERIA!I29</f>
        <v>12000</v>
      </c>
      <c r="K28" s="19">
        <v>19072</v>
      </c>
      <c r="L28" s="19">
        <v>18580</v>
      </c>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42">
        <f>MEDIAN(F28:M28)</f>
        <v>17990</v>
      </c>
      <c r="BT28" s="142">
        <f>AVERAGE(F28:M28)</f>
        <v>16763</v>
      </c>
      <c r="BU28" s="143">
        <f>STDEV(F28:M28)</f>
        <v>3251.917793138894</v>
      </c>
      <c r="BV28" s="62">
        <f t="shared" si="2"/>
        <v>0.1939937835195904</v>
      </c>
      <c r="BW28" s="144">
        <f t="shared" si="3"/>
        <v>17990</v>
      </c>
      <c r="BX28" s="144">
        <f t="shared" ref="BX28:BX50" si="14">+BW28/1.19</f>
        <v>15117.64705882353</v>
      </c>
      <c r="BY28" s="31">
        <f t="shared" si="4"/>
        <v>2872.3529411764707</v>
      </c>
      <c r="BZ28" s="331">
        <f t="shared" ref="BZ28:BZ50" si="15">+BW28*E28</f>
        <v>3633980</v>
      </c>
      <c r="CA28" s="47" t="s">
        <v>665</v>
      </c>
      <c r="CB28" s="3"/>
      <c r="CC28" s="3"/>
      <c r="CD28" s="3"/>
      <c r="CE28" s="3"/>
      <c r="CF28" s="3"/>
    </row>
    <row r="29" spans="1:84" s="145" customFormat="1" ht="29" x14ac:dyDescent="0.35">
      <c r="A29" s="170">
        <v>22</v>
      </c>
      <c r="B29" s="171" t="s">
        <v>699</v>
      </c>
      <c r="C29" s="172" t="s">
        <v>700</v>
      </c>
      <c r="D29" s="171" t="s">
        <v>661</v>
      </c>
      <c r="E29" s="183">
        <v>300</v>
      </c>
      <c r="F29" s="173"/>
      <c r="G29" s="19"/>
      <c r="H29" s="19"/>
      <c r="I29" s="19"/>
      <c r="J29" s="19"/>
      <c r="K29" s="19">
        <v>6303</v>
      </c>
      <c r="L29" s="19">
        <v>7660</v>
      </c>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42">
        <f>MEDIAN(F29:M29)</f>
        <v>6981.5</v>
      </c>
      <c r="BT29" s="142">
        <f>AVERAGE(F29:M29)</f>
        <v>6981.5</v>
      </c>
      <c r="BU29" s="143">
        <f>STDEV(F29:M29)</f>
        <v>959.54390207014501</v>
      </c>
      <c r="BV29" s="62">
        <f t="shared" si="2"/>
        <v>0.13744093705795962</v>
      </c>
      <c r="BW29" s="144">
        <f t="shared" si="3"/>
        <v>6982</v>
      </c>
      <c r="BX29" s="144">
        <f t="shared" si="14"/>
        <v>5867.226890756303</v>
      </c>
      <c r="BY29" s="31">
        <f t="shared" si="4"/>
        <v>1114.7731092436975</v>
      </c>
      <c r="BZ29" s="331">
        <f t="shared" si="15"/>
        <v>2094600</v>
      </c>
      <c r="CA29" s="47" t="s">
        <v>662</v>
      </c>
      <c r="CB29" s="3"/>
      <c r="CC29" s="3"/>
      <c r="CD29" s="3"/>
      <c r="CE29" s="3"/>
      <c r="CF29" s="3"/>
    </row>
    <row r="30" spans="1:84" s="145" customFormat="1" ht="29" x14ac:dyDescent="0.35">
      <c r="A30" s="170">
        <v>23</v>
      </c>
      <c r="B30" s="171" t="s">
        <v>701</v>
      </c>
      <c r="C30" s="174" t="s">
        <v>702</v>
      </c>
      <c r="D30" s="171" t="s">
        <v>661</v>
      </c>
      <c r="E30" s="183">
        <v>310</v>
      </c>
      <c r="F30" s="173">
        <v>3200</v>
      </c>
      <c r="G30" s="19"/>
      <c r="H30" s="19"/>
      <c r="I30" s="19"/>
      <c r="J30" s="19"/>
      <c r="K30" s="19"/>
      <c r="L30" s="19"/>
      <c r="M30" s="19"/>
      <c r="N30" s="19"/>
      <c r="O30" s="176">
        <v>2200</v>
      </c>
      <c r="P30" s="177">
        <f>((O30*5.1%)+O30)</f>
        <v>2312.1999999999998</v>
      </c>
      <c r="Q30" s="176">
        <v>2528</v>
      </c>
      <c r="R30" s="176">
        <f t="shared" ref="R30" si="16">((Q30*5.1%)+Q30)</f>
        <v>2656.9279999999999</v>
      </c>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42">
        <f>MEDIAN(R30,P30,F30)</f>
        <v>2656.9279999999999</v>
      </c>
      <c r="BT30" s="142">
        <f>AVERAGE(R30,P30,F30)</f>
        <v>2723.0426666666667</v>
      </c>
      <c r="BU30" s="143">
        <f>STDEV(R30,P30,F30)</f>
        <v>447.57744789179685</v>
      </c>
      <c r="BV30" s="62">
        <f t="shared" si="2"/>
        <v>0.16436666724715179</v>
      </c>
      <c r="BW30" s="144">
        <f t="shared" si="3"/>
        <v>2657</v>
      </c>
      <c r="BX30" s="144">
        <f t="shared" si="14"/>
        <v>2232.7731092436975</v>
      </c>
      <c r="BY30" s="31">
        <f t="shared" si="4"/>
        <v>424.22689075630251</v>
      </c>
      <c r="BZ30" s="331">
        <f t="shared" si="15"/>
        <v>823670</v>
      </c>
      <c r="CA30" s="47" t="s">
        <v>665</v>
      </c>
      <c r="CB30" s="3"/>
      <c r="CC30" s="3"/>
      <c r="CD30" s="3"/>
      <c r="CE30" s="3"/>
      <c r="CF30" s="3"/>
    </row>
    <row r="31" spans="1:84" s="145" customFormat="1" ht="29" x14ac:dyDescent="0.35">
      <c r="A31" s="170">
        <v>24</v>
      </c>
      <c r="B31" s="171" t="s">
        <v>703</v>
      </c>
      <c r="C31" s="174" t="s">
        <v>704</v>
      </c>
      <c r="D31" s="171" t="s">
        <v>350</v>
      </c>
      <c r="E31" s="183">
        <v>4</v>
      </c>
      <c r="F31" s="173"/>
      <c r="G31" s="19"/>
      <c r="H31" s="19"/>
      <c r="I31" s="19">
        <v>4400</v>
      </c>
      <c r="J31" s="19">
        <f>[2]PAPELERIA!I32</f>
        <v>3500</v>
      </c>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42">
        <f t="shared" ref="BS31:BS49" si="17">MEDIAN(F31:M31)</f>
        <v>3950</v>
      </c>
      <c r="BT31" s="142">
        <f t="shared" ref="BT31:BT49" si="18">AVERAGE(F31:M31)</f>
        <v>3950</v>
      </c>
      <c r="BU31" s="143">
        <f t="shared" ref="BU31:BU49" si="19">STDEV(F31:M31)</f>
        <v>636.3961030678928</v>
      </c>
      <c r="BV31" s="62">
        <f t="shared" si="2"/>
        <v>0.16111293748554248</v>
      </c>
      <c r="BW31" s="144">
        <f t="shared" si="3"/>
        <v>3950</v>
      </c>
      <c r="BX31" s="144">
        <f t="shared" si="14"/>
        <v>3319.3277310924373</v>
      </c>
      <c r="BY31" s="31">
        <f t="shared" si="4"/>
        <v>630.67226890756308</v>
      </c>
      <c r="BZ31" s="331">
        <f t="shared" si="15"/>
        <v>15800</v>
      </c>
      <c r="CA31" s="47" t="s">
        <v>665</v>
      </c>
      <c r="CB31" s="3"/>
      <c r="CC31" s="3"/>
      <c r="CD31" s="3"/>
      <c r="CE31" s="3"/>
      <c r="CF31" s="3"/>
    </row>
    <row r="32" spans="1:84" s="145" customFormat="1" ht="29" x14ac:dyDescent="0.35">
      <c r="A32" s="170">
        <v>25</v>
      </c>
      <c r="B32" s="171" t="s">
        <v>705</v>
      </c>
      <c r="C32" s="172" t="s">
        <v>706</v>
      </c>
      <c r="D32" s="171" t="s">
        <v>661</v>
      </c>
      <c r="E32" s="183">
        <v>5000</v>
      </c>
      <c r="F32" s="173"/>
      <c r="G32" s="19">
        <f>[3]PAPELERIA!K7</f>
        <v>178.5</v>
      </c>
      <c r="H32" s="19"/>
      <c r="I32" s="19"/>
      <c r="J32" s="19"/>
      <c r="K32" s="19"/>
      <c r="L32" s="19"/>
      <c r="M32" s="19">
        <f>[1]PAPELERIA!G33</f>
        <v>150</v>
      </c>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42">
        <f t="shared" si="17"/>
        <v>164.25</v>
      </c>
      <c r="BT32" s="142">
        <f t="shared" si="18"/>
        <v>164.25</v>
      </c>
      <c r="BU32" s="143">
        <f t="shared" si="19"/>
        <v>20.152543263816604</v>
      </c>
      <c r="BV32" s="62">
        <f t="shared" si="2"/>
        <v>0.12269432732917263</v>
      </c>
      <c r="BW32" s="144">
        <f t="shared" si="3"/>
        <v>165</v>
      </c>
      <c r="BX32" s="144">
        <f t="shared" si="14"/>
        <v>138.65546218487395</v>
      </c>
      <c r="BY32" s="31">
        <f t="shared" si="4"/>
        <v>26.344537815126053</v>
      </c>
      <c r="BZ32" s="331">
        <f t="shared" si="15"/>
        <v>825000</v>
      </c>
      <c r="CA32" s="47" t="s">
        <v>662</v>
      </c>
      <c r="CB32" s="3"/>
      <c r="CC32" s="3"/>
      <c r="CD32" s="3"/>
      <c r="CE32" s="3"/>
      <c r="CF32" s="3"/>
    </row>
    <row r="33" spans="1:84" s="145" customFormat="1" ht="29" x14ac:dyDescent="0.35">
      <c r="A33" s="170">
        <v>26</v>
      </c>
      <c r="B33" s="171" t="s">
        <v>707</v>
      </c>
      <c r="C33" s="172" t="s">
        <v>706</v>
      </c>
      <c r="D33" s="171" t="s">
        <v>661</v>
      </c>
      <c r="E33" s="183">
        <v>5400</v>
      </c>
      <c r="F33" s="173"/>
      <c r="G33" s="19">
        <f>[3]PAPELERIA!K8</f>
        <v>178.5</v>
      </c>
      <c r="H33" s="19"/>
      <c r="I33" s="19"/>
      <c r="J33" s="19"/>
      <c r="K33" s="19"/>
      <c r="L33" s="19"/>
      <c r="M33" s="19">
        <f>[1]PAPELERIA!G34</f>
        <v>150</v>
      </c>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42">
        <f t="shared" si="17"/>
        <v>164.25</v>
      </c>
      <c r="BT33" s="142">
        <f t="shared" si="18"/>
        <v>164.25</v>
      </c>
      <c r="BU33" s="143">
        <f t="shared" si="19"/>
        <v>20.152543263816604</v>
      </c>
      <c r="BV33" s="62">
        <f t="shared" si="2"/>
        <v>0.12269432732917263</v>
      </c>
      <c r="BW33" s="144">
        <f t="shared" si="3"/>
        <v>165</v>
      </c>
      <c r="BX33" s="144">
        <f t="shared" si="14"/>
        <v>138.65546218487395</v>
      </c>
      <c r="BY33" s="31">
        <f t="shared" si="4"/>
        <v>26.344537815126053</v>
      </c>
      <c r="BZ33" s="331">
        <f t="shared" si="15"/>
        <v>891000</v>
      </c>
      <c r="CA33" s="47" t="s">
        <v>662</v>
      </c>
      <c r="CB33" s="3"/>
      <c r="CC33" s="3"/>
      <c r="CD33" s="3"/>
      <c r="CE33" s="3"/>
      <c r="CF33" s="3"/>
    </row>
    <row r="34" spans="1:84" s="145" customFormat="1" ht="29" x14ac:dyDescent="0.35">
      <c r="A34" s="170">
        <v>27</v>
      </c>
      <c r="B34" s="171" t="s">
        <v>708</v>
      </c>
      <c r="C34" s="172" t="s">
        <v>706</v>
      </c>
      <c r="D34" s="171" t="s">
        <v>661</v>
      </c>
      <c r="E34" s="183">
        <v>5000</v>
      </c>
      <c r="F34" s="173"/>
      <c r="G34" s="19">
        <f>[3]PAPELERIA!K9</f>
        <v>178.5</v>
      </c>
      <c r="H34" s="19"/>
      <c r="I34" s="19"/>
      <c r="J34" s="19"/>
      <c r="K34" s="19"/>
      <c r="L34" s="19"/>
      <c r="M34" s="19">
        <f>[1]PAPELERIA!G35</f>
        <v>150</v>
      </c>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42">
        <f t="shared" si="17"/>
        <v>164.25</v>
      </c>
      <c r="BT34" s="142">
        <f t="shared" si="18"/>
        <v>164.25</v>
      </c>
      <c r="BU34" s="143">
        <f t="shared" si="19"/>
        <v>20.152543263816604</v>
      </c>
      <c r="BV34" s="62">
        <f t="shared" si="2"/>
        <v>0.12269432732917263</v>
      </c>
      <c r="BW34" s="144">
        <f t="shared" si="3"/>
        <v>165</v>
      </c>
      <c r="BX34" s="144">
        <f t="shared" si="14"/>
        <v>138.65546218487395</v>
      </c>
      <c r="BY34" s="31">
        <f t="shared" si="4"/>
        <v>26.344537815126053</v>
      </c>
      <c r="BZ34" s="331">
        <f t="shared" si="15"/>
        <v>825000</v>
      </c>
      <c r="CA34" s="47" t="s">
        <v>662</v>
      </c>
      <c r="CB34" s="3"/>
      <c r="CC34" s="3"/>
      <c r="CD34" s="3"/>
      <c r="CE34" s="3"/>
      <c r="CF34" s="3"/>
    </row>
    <row r="35" spans="1:84" s="145" customFormat="1" ht="29" x14ac:dyDescent="0.35">
      <c r="A35" s="170">
        <v>28</v>
      </c>
      <c r="B35" s="171" t="s">
        <v>709</v>
      </c>
      <c r="C35" s="174" t="s">
        <v>706</v>
      </c>
      <c r="D35" s="171" t="s">
        <v>661</v>
      </c>
      <c r="E35" s="183">
        <v>1000</v>
      </c>
      <c r="F35" s="173"/>
      <c r="G35" s="19">
        <f>[3]PAPELERIA!K10</f>
        <v>214.2</v>
      </c>
      <c r="H35" s="19"/>
      <c r="I35" s="19"/>
      <c r="J35" s="19"/>
      <c r="K35" s="19"/>
      <c r="L35" s="19"/>
      <c r="M35" s="19">
        <f>[1]PAPELERIA!G36</f>
        <v>150</v>
      </c>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42">
        <f t="shared" si="17"/>
        <v>182.1</v>
      </c>
      <c r="BT35" s="142">
        <f t="shared" si="18"/>
        <v>182.1</v>
      </c>
      <c r="BU35" s="143">
        <f t="shared" si="19"/>
        <v>45.396255352176269</v>
      </c>
      <c r="BV35" s="62">
        <f t="shared" si="2"/>
        <v>0.24929300028652537</v>
      </c>
      <c r="BW35" s="144">
        <f t="shared" si="3"/>
        <v>183</v>
      </c>
      <c r="BX35" s="144">
        <f t="shared" si="14"/>
        <v>153.78151260504202</v>
      </c>
      <c r="BY35" s="31">
        <f t="shared" si="4"/>
        <v>29.218487394957986</v>
      </c>
      <c r="BZ35" s="331">
        <f t="shared" si="15"/>
        <v>183000</v>
      </c>
      <c r="CA35" s="47" t="s">
        <v>665</v>
      </c>
      <c r="CB35" s="3"/>
      <c r="CC35" s="3"/>
      <c r="CD35" s="3"/>
      <c r="CE35" s="3"/>
      <c r="CF35" s="3"/>
    </row>
    <row r="36" spans="1:84" s="145" customFormat="1" ht="29" x14ac:dyDescent="0.35">
      <c r="A36" s="170">
        <v>29</v>
      </c>
      <c r="B36" s="171" t="s">
        <v>710</v>
      </c>
      <c r="C36" s="172" t="s">
        <v>706</v>
      </c>
      <c r="D36" s="171" t="s">
        <v>661</v>
      </c>
      <c r="E36" s="183">
        <v>5000</v>
      </c>
      <c r="F36" s="173"/>
      <c r="G36" s="19">
        <f>[3]PAPELERIA!K11</f>
        <v>178.5</v>
      </c>
      <c r="H36" s="19"/>
      <c r="I36" s="19"/>
      <c r="J36" s="19"/>
      <c r="K36" s="19"/>
      <c r="L36" s="19"/>
      <c r="M36" s="19">
        <f>[1]PAPELERIA!G37</f>
        <v>150</v>
      </c>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42">
        <f t="shared" si="17"/>
        <v>164.25</v>
      </c>
      <c r="BT36" s="142">
        <f t="shared" si="18"/>
        <v>164.25</v>
      </c>
      <c r="BU36" s="143">
        <f t="shared" si="19"/>
        <v>20.152543263816604</v>
      </c>
      <c r="BV36" s="62">
        <f t="shared" si="2"/>
        <v>0.12269432732917263</v>
      </c>
      <c r="BW36" s="144">
        <f t="shared" si="3"/>
        <v>165</v>
      </c>
      <c r="BX36" s="144">
        <f t="shared" si="14"/>
        <v>138.65546218487395</v>
      </c>
      <c r="BY36" s="31">
        <f t="shared" si="4"/>
        <v>26.344537815126053</v>
      </c>
      <c r="BZ36" s="331">
        <f t="shared" si="15"/>
        <v>825000</v>
      </c>
      <c r="CA36" s="47" t="s">
        <v>662</v>
      </c>
      <c r="CB36" s="3"/>
      <c r="CC36" s="3"/>
      <c r="CD36" s="3"/>
      <c r="CE36" s="3"/>
      <c r="CF36" s="3"/>
    </row>
    <row r="37" spans="1:84" s="145" customFormat="1" ht="29" x14ac:dyDescent="0.35">
      <c r="A37" s="170">
        <v>30</v>
      </c>
      <c r="B37" s="171" t="s">
        <v>711</v>
      </c>
      <c r="C37" s="174" t="s">
        <v>706</v>
      </c>
      <c r="D37" s="171" t="s">
        <v>661</v>
      </c>
      <c r="E37" s="183">
        <v>2000</v>
      </c>
      <c r="F37" s="173"/>
      <c r="G37" s="19">
        <f>[3]PAPELERIA!K12</f>
        <v>190.4</v>
      </c>
      <c r="H37" s="19"/>
      <c r="I37" s="19"/>
      <c r="J37" s="19"/>
      <c r="K37" s="19"/>
      <c r="L37" s="19"/>
      <c r="M37" s="19">
        <f>[1]PAPELERIA!G38</f>
        <v>150</v>
      </c>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42">
        <f t="shared" si="17"/>
        <v>170.2</v>
      </c>
      <c r="BT37" s="142">
        <f t="shared" si="18"/>
        <v>170.2</v>
      </c>
      <c r="BU37" s="143">
        <f t="shared" si="19"/>
        <v>28.567113959936677</v>
      </c>
      <c r="BV37" s="62">
        <f t="shared" si="2"/>
        <v>0.16784438284334124</v>
      </c>
      <c r="BW37" s="144">
        <f t="shared" si="3"/>
        <v>171</v>
      </c>
      <c r="BX37" s="144">
        <f t="shared" si="14"/>
        <v>143.69747899159665</v>
      </c>
      <c r="BY37" s="31">
        <f t="shared" si="4"/>
        <v>27.302521008403364</v>
      </c>
      <c r="BZ37" s="331">
        <f t="shared" si="15"/>
        <v>342000</v>
      </c>
      <c r="CA37" s="47" t="s">
        <v>665</v>
      </c>
      <c r="CB37" s="3"/>
      <c r="CC37" s="3"/>
      <c r="CD37" s="3"/>
      <c r="CE37" s="3"/>
      <c r="CF37" s="3"/>
    </row>
    <row r="38" spans="1:84" s="145" customFormat="1" ht="29" x14ac:dyDescent="0.35">
      <c r="A38" s="170">
        <v>31</v>
      </c>
      <c r="B38" s="171" t="s">
        <v>712</v>
      </c>
      <c r="C38" s="172" t="s">
        <v>706</v>
      </c>
      <c r="D38" s="171" t="s">
        <v>661</v>
      </c>
      <c r="E38" s="183">
        <v>6000</v>
      </c>
      <c r="F38" s="173"/>
      <c r="G38" s="19">
        <f>[3]PAPELERIA!K13</f>
        <v>142.80000000000001</v>
      </c>
      <c r="H38" s="19"/>
      <c r="I38" s="19"/>
      <c r="J38" s="19"/>
      <c r="K38" s="19"/>
      <c r="L38" s="19"/>
      <c r="M38" s="19">
        <f>[1]PAPELERIA!G39</f>
        <v>150</v>
      </c>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42">
        <f t="shared" si="17"/>
        <v>146.4</v>
      </c>
      <c r="BT38" s="142">
        <f t="shared" si="18"/>
        <v>146.4</v>
      </c>
      <c r="BU38" s="143">
        <f t="shared" si="19"/>
        <v>5.0911688245431339</v>
      </c>
      <c r="BV38" s="62">
        <f t="shared" si="2"/>
        <v>3.4775743337043266E-2</v>
      </c>
      <c r="BW38" s="144">
        <f t="shared" si="3"/>
        <v>147</v>
      </c>
      <c r="BX38" s="144">
        <f t="shared" si="14"/>
        <v>123.52941176470588</v>
      </c>
      <c r="BY38" s="31">
        <f t="shared" si="4"/>
        <v>23.47058823529412</v>
      </c>
      <c r="BZ38" s="331">
        <f t="shared" si="15"/>
        <v>882000</v>
      </c>
      <c r="CA38" s="47" t="s">
        <v>662</v>
      </c>
      <c r="CB38" s="3"/>
      <c r="CC38" s="3"/>
      <c r="CD38" s="3"/>
      <c r="CE38" s="3"/>
      <c r="CF38" s="3"/>
    </row>
    <row r="39" spans="1:84" s="145" customFormat="1" ht="29" x14ac:dyDescent="0.35">
      <c r="A39" s="170">
        <v>32</v>
      </c>
      <c r="B39" s="171" t="s">
        <v>713</v>
      </c>
      <c r="C39" s="172" t="s">
        <v>706</v>
      </c>
      <c r="D39" s="171" t="s">
        <v>661</v>
      </c>
      <c r="E39" s="183">
        <v>5000</v>
      </c>
      <c r="F39" s="173"/>
      <c r="G39" s="19">
        <f>[3]PAPELERIA!K14</f>
        <v>178.5</v>
      </c>
      <c r="H39" s="19"/>
      <c r="I39" s="19"/>
      <c r="J39" s="19"/>
      <c r="K39" s="19"/>
      <c r="L39" s="19"/>
      <c r="M39" s="19">
        <f>[1]PAPELERIA!G40</f>
        <v>150</v>
      </c>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42">
        <f t="shared" si="17"/>
        <v>164.25</v>
      </c>
      <c r="BT39" s="142">
        <f t="shared" si="18"/>
        <v>164.25</v>
      </c>
      <c r="BU39" s="143">
        <f t="shared" si="19"/>
        <v>20.152543263816604</v>
      </c>
      <c r="BV39" s="62">
        <f t="shared" si="2"/>
        <v>0.12269432732917263</v>
      </c>
      <c r="BW39" s="144">
        <f t="shared" si="3"/>
        <v>165</v>
      </c>
      <c r="BX39" s="144">
        <f t="shared" si="14"/>
        <v>138.65546218487395</v>
      </c>
      <c r="BY39" s="31">
        <f t="shared" si="4"/>
        <v>26.344537815126053</v>
      </c>
      <c r="BZ39" s="331">
        <f t="shared" si="15"/>
        <v>825000</v>
      </c>
      <c r="CA39" s="47" t="s">
        <v>662</v>
      </c>
      <c r="CB39" s="3"/>
      <c r="CC39" s="3"/>
      <c r="CD39" s="3"/>
      <c r="CE39" s="3"/>
      <c r="CF39" s="3"/>
    </row>
    <row r="40" spans="1:84" s="145" customFormat="1" ht="45" customHeight="1" x14ac:dyDescent="0.35">
      <c r="A40" s="170">
        <v>33</v>
      </c>
      <c r="B40" s="171" t="s">
        <v>714</v>
      </c>
      <c r="C40" s="172" t="s">
        <v>706</v>
      </c>
      <c r="D40" s="171" t="s">
        <v>661</v>
      </c>
      <c r="E40" s="183">
        <v>5000</v>
      </c>
      <c r="F40" s="173"/>
      <c r="G40" s="19">
        <f>[3]PAPELERIA!K15</f>
        <v>178.5</v>
      </c>
      <c r="H40" s="19"/>
      <c r="I40" s="19"/>
      <c r="J40" s="19"/>
      <c r="K40" s="19"/>
      <c r="L40" s="19"/>
      <c r="M40" s="19">
        <f>[1]PAPELERIA!G41</f>
        <v>150</v>
      </c>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42">
        <f t="shared" si="17"/>
        <v>164.25</v>
      </c>
      <c r="BT40" s="142">
        <f t="shared" si="18"/>
        <v>164.25</v>
      </c>
      <c r="BU40" s="143">
        <f t="shared" si="19"/>
        <v>20.152543263816604</v>
      </c>
      <c r="BV40" s="62">
        <f t="shared" si="2"/>
        <v>0.12269432732917263</v>
      </c>
      <c r="BW40" s="144">
        <f t="shared" si="3"/>
        <v>165</v>
      </c>
      <c r="BX40" s="144">
        <f t="shared" si="14"/>
        <v>138.65546218487395</v>
      </c>
      <c r="BY40" s="31">
        <f t="shared" si="4"/>
        <v>26.344537815126053</v>
      </c>
      <c r="BZ40" s="331">
        <f t="shared" si="15"/>
        <v>825000</v>
      </c>
      <c r="CA40" s="47" t="s">
        <v>662</v>
      </c>
      <c r="CB40" s="3"/>
      <c r="CC40" s="3"/>
      <c r="CD40" s="3"/>
      <c r="CE40" s="3"/>
      <c r="CF40" s="3"/>
    </row>
    <row r="41" spans="1:84" s="145" customFormat="1" ht="29" x14ac:dyDescent="0.35">
      <c r="A41" s="170">
        <v>34</v>
      </c>
      <c r="B41" s="171" t="s">
        <v>715</v>
      </c>
      <c r="C41" s="172" t="s">
        <v>706</v>
      </c>
      <c r="D41" s="171" t="s">
        <v>661</v>
      </c>
      <c r="E41" s="183">
        <v>5000</v>
      </c>
      <c r="F41" s="173"/>
      <c r="G41" s="19">
        <f>[3]PAPELERIA!K16</f>
        <v>178.5</v>
      </c>
      <c r="H41" s="19"/>
      <c r="I41" s="19"/>
      <c r="J41" s="19"/>
      <c r="K41" s="19"/>
      <c r="L41" s="19"/>
      <c r="M41" s="19">
        <f>[1]PAPELERIA!G42</f>
        <v>150</v>
      </c>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42">
        <f t="shared" si="17"/>
        <v>164.25</v>
      </c>
      <c r="BT41" s="142">
        <f t="shared" si="18"/>
        <v>164.25</v>
      </c>
      <c r="BU41" s="143">
        <f t="shared" si="19"/>
        <v>20.152543263816604</v>
      </c>
      <c r="BV41" s="62">
        <f t="shared" si="2"/>
        <v>0.12269432732917263</v>
      </c>
      <c r="BW41" s="144">
        <f t="shared" si="3"/>
        <v>165</v>
      </c>
      <c r="BX41" s="144">
        <f t="shared" si="14"/>
        <v>138.65546218487395</v>
      </c>
      <c r="BY41" s="31">
        <f t="shared" si="4"/>
        <v>26.344537815126053</v>
      </c>
      <c r="BZ41" s="331">
        <f t="shared" si="15"/>
        <v>825000</v>
      </c>
      <c r="CA41" s="47" t="s">
        <v>662</v>
      </c>
      <c r="CB41" s="3"/>
      <c r="CC41" s="3"/>
      <c r="CD41" s="3"/>
      <c r="CE41" s="3"/>
      <c r="CF41" s="3"/>
    </row>
    <row r="42" spans="1:84" s="145" customFormat="1" ht="29" x14ac:dyDescent="0.35">
      <c r="A42" s="170">
        <v>35</v>
      </c>
      <c r="B42" s="171" t="s">
        <v>716</v>
      </c>
      <c r="C42" s="172" t="s">
        <v>706</v>
      </c>
      <c r="D42" s="171" t="s">
        <v>661</v>
      </c>
      <c r="E42" s="183">
        <v>5000</v>
      </c>
      <c r="F42" s="173"/>
      <c r="G42" s="19">
        <f>[3]PAPELERIA!K17</f>
        <v>178.5</v>
      </c>
      <c r="H42" s="19"/>
      <c r="I42" s="19"/>
      <c r="J42" s="19"/>
      <c r="K42" s="19"/>
      <c r="L42" s="19"/>
      <c r="M42" s="19">
        <f>[1]PAPELERIA!G43</f>
        <v>150</v>
      </c>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42">
        <f t="shared" si="17"/>
        <v>164.25</v>
      </c>
      <c r="BT42" s="142">
        <f t="shared" si="18"/>
        <v>164.25</v>
      </c>
      <c r="BU42" s="143">
        <f t="shared" si="19"/>
        <v>20.152543263816604</v>
      </c>
      <c r="BV42" s="62">
        <f t="shared" si="2"/>
        <v>0.12269432732917263</v>
      </c>
      <c r="BW42" s="144">
        <f t="shared" si="3"/>
        <v>165</v>
      </c>
      <c r="BX42" s="144">
        <f t="shared" si="14"/>
        <v>138.65546218487395</v>
      </c>
      <c r="BY42" s="31">
        <f t="shared" si="4"/>
        <v>26.344537815126053</v>
      </c>
      <c r="BZ42" s="331">
        <f t="shared" si="15"/>
        <v>825000</v>
      </c>
      <c r="CA42" s="47" t="s">
        <v>662</v>
      </c>
      <c r="CB42" s="3"/>
      <c r="CC42" s="3"/>
      <c r="CD42" s="3"/>
      <c r="CE42" s="3"/>
      <c r="CF42" s="3"/>
    </row>
    <row r="43" spans="1:84" s="145" customFormat="1" ht="29" x14ac:dyDescent="0.35">
      <c r="A43" s="170">
        <v>36</v>
      </c>
      <c r="B43" s="171" t="s">
        <v>717</v>
      </c>
      <c r="C43" s="172" t="s">
        <v>706</v>
      </c>
      <c r="D43" s="171" t="s">
        <v>661</v>
      </c>
      <c r="E43" s="183">
        <v>5000</v>
      </c>
      <c r="F43" s="173"/>
      <c r="G43" s="19">
        <f>[3]PAPELERIA!K18</f>
        <v>178.5</v>
      </c>
      <c r="H43" s="19"/>
      <c r="I43" s="19"/>
      <c r="J43" s="19"/>
      <c r="K43" s="19"/>
      <c r="L43" s="19"/>
      <c r="M43" s="19">
        <f>[1]PAPELERIA!G44</f>
        <v>150</v>
      </c>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42">
        <f t="shared" si="17"/>
        <v>164.25</v>
      </c>
      <c r="BT43" s="142">
        <f t="shared" si="18"/>
        <v>164.25</v>
      </c>
      <c r="BU43" s="143">
        <f t="shared" si="19"/>
        <v>20.152543263816604</v>
      </c>
      <c r="BV43" s="62">
        <f t="shared" si="2"/>
        <v>0.12269432732917263</v>
      </c>
      <c r="BW43" s="144">
        <f t="shared" si="3"/>
        <v>165</v>
      </c>
      <c r="BX43" s="144">
        <f t="shared" si="14"/>
        <v>138.65546218487395</v>
      </c>
      <c r="BY43" s="31">
        <f t="shared" si="4"/>
        <v>26.344537815126053</v>
      </c>
      <c r="BZ43" s="331">
        <f t="shared" si="15"/>
        <v>825000</v>
      </c>
      <c r="CA43" s="47" t="s">
        <v>662</v>
      </c>
      <c r="CB43" s="3"/>
      <c r="CC43" s="3"/>
      <c r="CD43" s="3"/>
      <c r="CE43" s="3"/>
      <c r="CF43" s="3"/>
    </row>
    <row r="44" spans="1:84" s="145" customFormat="1" ht="47.25" customHeight="1" x14ac:dyDescent="0.35">
      <c r="A44" s="170">
        <v>37</v>
      </c>
      <c r="B44" s="171" t="s">
        <v>718</v>
      </c>
      <c r="C44" s="172" t="s">
        <v>706</v>
      </c>
      <c r="D44" s="171" t="s">
        <v>661</v>
      </c>
      <c r="E44" s="183">
        <v>5000</v>
      </c>
      <c r="F44" s="173"/>
      <c r="G44" s="19">
        <f>[3]PAPELERIA!K19</f>
        <v>178.5</v>
      </c>
      <c r="H44" s="19"/>
      <c r="I44" s="19"/>
      <c r="J44" s="19"/>
      <c r="K44" s="19"/>
      <c r="L44" s="19"/>
      <c r="M44" s="19">
        <f>[1]PAPELERIA!G45</f>
        <v>150</v>
      </c>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42">
        <f t="shared" si="17"/>
        <v>164.25</v>
      </c>
      <c r="BT44" s="142">
        <f t="shared" si="18"/>
        <v>164.25</v>
      </c>
      <c r="BU44" s="143">
        <f t="shared" si="19"/>
        <v>20.152543263816604</v>
      </c>
      <c r="BV44" s="62">
        <f t="shared" si="2"/>
        <v>0.12269432732917263</v>
      </c>
      <c r="BW44" s="144">
        <f t="shared" si="3"/>
        <v>165</v>
      </c>
      <c r="BX44" s="144">
        <f t="shared" si="14"/>
        <v>138.65546218487395</v>
      </c>
      <c r="BY44" s="31">
        <f t="shared" si="4"/>
        <v>26.344537815126053</v>
      </c>
      <c r="BZ44" s="331">
        <f t="shared" si="15"/>
        <v>825000</v>
      </c>
      <c r="CA44" s="47" t="s">
        <v>662</v>
      </c>
      <c r="CB44" s="3"/>
      <c r="CC44" s="3"/>
      <c r="CD44" s="3"/>
      <c r="CE44" s="3"/>
      <c r="CF44" s="3"/>
    </row>
    <row r="45" spans="1:84" s="145" customFormat="1" ht="29" x14ac:dyDescent="0.35">
      <c r="A45" s="170">
        <v>38</v>
      </c>
      <c r="B45" s="171" t="s">
        <v>719</v>
      </c>
      <c r="C45" s="172" t="s">
        <v>706</v>
      </c>
      <c r="D45" s="171" t="s">
        <v>661</v>
      </c>
      <c r="E45" s="183">
        <v>5000</v>
      </c>
      <c r="F45" s="173"/>
      <c r="G45" s="19">
        <f>[3]PAPELERIA!K20</f>
        <v>178.5</v>
      </c>
      <c r="H45" s="19"/>
      <c r="I45" s="19"/>
      <c r="J45" s="19"/>
      <c r="K45" s="19"/>
      <c r="L45" s="19"/>
      <c r="M45" s="19">
        <f>[1]PAPELERIA!G46</f>
        <v>150</v>
      </c>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42">
        <f t="shared" si="17"/>
        <v>164.25</v>
      </c>
      <c r="BT45" s="142">
        <f t="shared" si="18"/>
        <v>164.25</v>
      </c>
      <c r="BU45" s="143">
        <f t="shared" si="19"/>
        <v>20.152543263816604</v>
      </c>
      <c r="BV45" s="62">
        <f t="shared" si="2"/>
        <v>0.12269432732917263</v>
      </c>
      <c r="BW45" s="144">
        <f t="shared" si="3"/>
        <v>165</v>
      </c>
      <c r="BX45" s="144">
        <f t="shared" si="14"/>
        <v>138.65546218487395</v>
      </c>
      <c r="BY45" s="31">
        <f t="shared" si="4"/>
        <v>26.344537815126053</v>
      </c>
      <c r="BZ45" s="331">
        <f t="shared" si="15"/>
        <v>825000</v>
      </c>
      <c r="CA45" s="47" t="s">
        <v>662</v>
      </c>
      <c r="CB45" s="3"/>
      <c r="CC45" s="3"/>
      <c r="CD45" s="3"/>
      <c r="CE45" s="3"/>
      <c r="CF45" s="3"/>
    </row>
    <row r="46" spans="1:84" s="145" customFormat="1" ht="29" x14ac:dyDescent="0.35">
      <c r="A46" s="170">
        <v>39</v>
      </c>
      <c r="B46" s="171" t="s">
        <v>720</v>
      </c>
      <c r="C46" s="172" t="s">
        <v>721</v>
      </c>
      <c r="D46" s="171" t="s">
        <v>350</v>
      </c>
      <c r="E46" s="183">
        <v>450</v>
      </c>
      <c r="F46" s="173"/>
      <c r="G46" s="19"/>
      <c r="H46" s="19"/>
      <c r="I46" s="19"/>
      <c r="J46" s="19"/>
      <c r="K46" s="19">
        <v>12605</v>
      </c>
      <c r="L46" s="19">
        <v>12150</v>
      </c>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42">
        <f t="shared" si="17"/>
        <v>12377.5</v>
      </c>
      <c r="BT46" s="142">
        <f t="shared" si="18"/>
        <v>12377.5</v>
      </c>
      <c r="BU46" s="143">
        <f t="shared" si="19"/>
        <v>321.73358543987911</v>
      </c>
      <c r="BV46" s="62">
        <f t="shared" si="2"/>
        <v>2.5993422374460038E-2</v>
      </c>
      <c r="BW46" s="144">
        <f t="shared" si="3"/>
        <v>12378</v>
      </c>
      <c r="BX46" s="144">
        <f t="shared" si="14"/>
        <v>10401.680672268909</v>
      </c>
      <c r="BY46" s="31">
        <f t="shared" si="4"/>
        <v>1976.3193277310927</v>
      </c>
      <c r="BZ46" s="331">
        <f t="shared" si="15"/>
        <v>5570100</v>
      </c>
      <c r="CA46" s="47" t="s">
        <v>662</v>
      </c>
      <c r="CB46" s="3"/>
      <c r="CC46" s="3"/>
      <c r="CD46" s="3"/>
      <c r="CE46" s="3"/>
      <c r="CF46" s="3"/>
    </row>
    <row r="47" spans="1:84" s="145" customFormat="1" ht="57" customHeight="1" x14ac:dyDescent="0.35">
      <c r="A47" s="170">
        <v>40</v>
      </c>
      <c r="B47" s="171" t="s">
        <v>722</v>
      </c>
      <c r="C47" s="172" t="s">
        <v>723</v>
      </c>
      <c r="D47" s="171" t="s">
        <v>212</v>
      </c>
      <c r="E47" s="183">
        <v>800</v>
      </c>
      <c r="F47" s="173"/>
      <c r="G47" s="19"/>
      <c r="H47" s="19"/>
      <c r="I47" s="19">
        <v>2200</v>
      </c>
      <c r="J47" s="19"/>
      <c r="K47" s="19"/>
      <c r="L47" s="19">
        <v>2640</v>
      </c>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42">
        <f t="shared" si="17"/>
        <v>2420</v>
      </c>
      <c r="BT47" s="142">
        <f t="shared" si="18"/>
        <v>2420</v>
      </c>
      <c r="BU47" s="143">
        <f t="shared" si="19"/>
        <v>311.12698372208092</v>
      </c>
      <c r="BV47" s="62">
        <f t="shared" si="2"/>
        <v>0.12856486930664501</v>
      </c>
      <c r="BW47" s="144">
        <f t="shared" si="3"/>
        <v>2420</v>
      </c>
      <c r="BX47" s="144">
        <f t="shared" si="14"/>
        <v>2033.6134453781513</v>
      </c>
      <c r="BY47" s="31">
        <f t="shared" si="4"/>
        <v>386.38655462184875</v>
      </c>
      <c r="BZ47" s="331">
        <f t="shared" si="15"/>
        <v>1936000</v>
      </c>
      <c r="CA47" s="47" t="s">
        <v>662</v>
      </c>
      <c r="CB47" s="3"/>
      <c r="CC47" s="3"/>
      <c r="CD47" s="3"/>
      <c r="CE47" s="3"/>
      <c r="CF47" s="3"/>
    </row>
    <row r="48" spans="1:84" s="145" customFormat="1" ht="39" x14ac:dyDescent="0.35">
      <c r="A48" s="170">
        <v>41</v>
      </c>
      <c r="B48" s="171" t="s">
        <v>724</v>
      </c>
      <c r="C48" s="172" t="s">
        <v>725</v>
      </c>
      <c r="D48" s="171" t="s">
        <v>212</v>
      </c>
      <c r="E48" s="183">
        <v>223</v>
      </c>
      <c r="F48" s="173"/>
      <c r="G48" s="19"/>
      <c r="H48" s="19"/>
      <c r="I48" s="19">
        <v>5100</v>
      </c>
      <c r="J48" s="19"/>
      <c r="K48" s="19"/>
      <c r="L48" s="19">
        <v>4560</v>
      </c>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42">
        <f t="shared" si="17"/>
        <v>4830</v>
      </c>
      <c r="BT48" s="142">
        <f t="shared" si="18"/>
        <v>4830</v>
      </c>
      <c r="BU48" s="143">
        <f t="shared" si="19"/>
        <v>381.83766184073568</v>
      </c>
      <c r="BV48" s="62">
        <f t="shared" si="2"/>
        <v>7.905541653017302E-2</v>
      </c>
      <c r="BW48" s="144">
        <f t="shared" si="3"/>
        <v>4830</v>
      </c>
      <c r="BX48" s="144">
        <f t="shared" si="14"/>
        <v>4058.8235294117649</v>
      </c>
      <c r="BY48" s="31">
        <f t="shared" si="4"/>
        <v>771.17647058823536</v>
      </c>
      <c r="BZ48" s="331">
        <f t="shared" si="15"/>
        <v>1077090</v>
      </c>
      <c r="CA48" s="47" t="s">
        <v>662</v>
      </c>
      <c r="CB48" s="3"/>
      <c r="CC48" s="3"/>
      <c r="CD48" s="3"/>
      <c r="CE48" s="3"/>
      <c r="CF48" s="3"/>
    </row>
    <row r="49" spans="1:84" s="145" customFormat="1" ht="29" x14ac:dyDescent="0.35">
      <c r="A49" s="170">
        <v>42</v>
      </c>
      <c r="B49" s="171" t="s">
        <v>726</v>
      </c>
      <c r="C49" s="172" t="s">
        <v>727</v>
      </c>
      <c r="D49" s="171" t="s">
        <v>212</v>
      </c>
      <c r="E49" s="183">
        <v>120</v>
      </c>
      <c r="F49" s="173"/>
      <c r="G49" s="19"/>
      <c r="H49" s="19"/>
      <c r="I49" s="19"/>
      <c r="J49" s="19">
        <v>12400</v>
      </c>
      <c r="K49" s="19"/>
      <c r="L49" s="19"/>
      <c r="M49" s="19">
        <v>13900</v>
      </c>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42">
        <f t="shared" si="17"/>
        <v>13150</v>
      </c>
      <c r="BT49" s="142">
        <f t="shared" si="18"/>
        <v>13150</v>
      </c>
      <c r="BU49" s="143">
        <f t="shared" si="19"/>
        <v>1060.6601717798212</v>
      </c>
      <c r="BV49" s="62">
        <f t="shared" si="2"/>
        <v>8.0658568196184124E-2</v>
      </c>
      <c r="BW49" s="144">
        <f t="shared" si="3"/>
        <v>13150</v>
      </c>
      <c r="BX49" s="144">
        <f t="shared" si="14"/>
        <v>11050.420168067227</v>
      </c>
      <c r="BY49" s="31">
        <f t="shared" si="4"/>
        <v>2099.5798319327732</v>
      </c>
      <c r="BZ49" s="331">
        <f t="shared" si="15"/>
        <v>1578000</v>
      </c>
      <c r="CA49" s="47" t="s">
        <v>662</v>
      </c>
      <c r="CB49" s="3"/>
      <c r="CC49" s="3"/>
      <c r="CD49" s="3"/>
      <c r="CE49" s="3"/>
      <c r="CF49" s="3"/>
    </row>
    <row r="50" spans="1:84" s="145" customFormat="1" ht="29" x14ac:dyDescent="0.35">
      <c r="A50" s="170">
        <v>43</v>
      </c>
      <c r="B50" s="171" t="s">
        <v>728</v>
      </c>
      <c r="C50" s="172" t="s">
        <v>729</v>
      </c>
      <c r="D50" s="171" t="s">
        <v>661</v>
      </c>
      <c r="E50" s="183">
        <v>200</v>
      </c>
      <c r="F50" s="173"/>
      <c r="G50" s="19"/>
      <c r="H50" s="19"/>
      <c r="I50" s="19"/>
      <c r="J50" s="19"/>
      <c r="K50" s="19"/>
      <c r="L50" s="19"/>
      <c r="M50" s="19"/>
      <c r="N50" s="19"/>
      <c r="O50" s="176">
        <v>2521</v>
      </c>
      <c r="P50" s="177">
        <f t="shared" ref="P50" si="20">((O50*5.1%)+O50)</f>
        <v>2649.5709999999999</v>
      </c>
      <c r="Q50" s="176">
        <v>2000</v>
      </c>
      <c r="R50" s="176">
        <f t="shared" ref="R50" si="21">((Q50*5.1%)+Q50)</f>
        <v>2102</v>
      </c>
      <c r="S50" s="176">
        <v>2087</v>
      </c>
      <c r="T50" s="176">
        <f t="shared" ref="T50" si="22">((S50*5.1%)+S50)</f>
        <v>2193.4369999999999</v>
      </c>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42">
        <f>MEDIAN(P50,R50,T50)</f>
        <v>2193.4369999999999</v>
      </c>
      <c r="BT50" s="142">
        <f>AVERAGE(P50,R50,T50)</f>
        <v>2315.0026666666668</v>
      </c>
      <c r="BU50" s="143">
        <f>STDEV(P50,R50,T50)</f>
        <v>293.32943680158274</v>
      </c>
      <c r="BV50" s="62">
        <f t="shared" si="2"/>
        <v>0.12670803408790143</v>
      </c>
      <c r="BW50" s="144">
        <f t="shared" si="3"/>
        <v>2316</v>
      </c>
      <c r="BX50" s="144">
        <f t="shared" si="14"/>
        <v>1946.2184873949582</v>
      </c>
      <c r="BY50" s="31">
        <f t="shared" si="4"/>
        <v>369.78151260504205</v>
      </c>
      <c r="BZ50" s="331">
        <f t="shared" si="15"/>
        <v>463200</v>
      </c>
      <c r="CA50" s="47" t="s">
        <v>662</v>
      </c>
      <c r="CB50" s="3"/>
      <c r="CC50" s="3"/>
      <c r="CD50" s="3"/>
      <c r="CE50" s="3"/>
      <c r="CF50" s="3"/>
    </row>
    <row r="51" spans="1:84" s="145" customFormat="1" ht="65" x14ac:dyDescent="0.35">
      <c r="A51" s="170">
        <v>44</v>
      </c>
      <c r="B51" s="171" t="s">
        <v>730</v>
      </c>
      <c r="C51" s="174" t="s">
        <v>731</v>
      </c>
      <c r="D51" s="171" t="s">
        <v>212</v>
      </c>
      <c r="E51" s="183">
        <v>250</v>
      </c>
      <c r="F51" s="173"/>
      <c r="G51" s="19"/>
      <c r="H51" s="19"/>
      <c r="I51" s="19">
        <v>16900</v>
      </c>
      <c r="J51" s="19"/>
      <c r="K51" s="19"/>
      <c r="L51" s="19"/>
      <c r="M51" s="19">
        <f>[1]PAPELERIA!G52</f>
        <v>12980</v>
      </c>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42">
        <f t="shared" ref="BS51:BS69" si="23">MEDIAN(F51:M51)</f>
        <v>14940</v>
      </c>
      <c r="BT51" s="142">
        <f>AVERAGE(F51:M51)</f>
        <v>14940</v>
      </c>
      <c r="BU51" s="143">
        <f>STDEV(F51:M51)</f>
        <v>2771.8585822512664</v>
      </c>
      <c r="BV51" s="62">
        <f t="shared" si="2"/>
        <v>0.18553270296193217</v>
      </c>
      <c r="BW51" s="144">
        <v>14940</v>
      </c>
      <c r="BX51" s="144">
        <v>14940</v>
      </c>
      <c r="BY51" s="31">
        <v>0</v>
      </c>
      <c r="BZ51" s="331">
        <f>BW51*E51</f>
        <v>3735000</v>
      </c>
      <c r="CA51" s="47" t="s">
        <v>665</v>
      </c>
      <c r="CB51" s="3"/>
      <c r="CC51" s="3"/>
      <c r="CD51" s="3"/>
      <c r="CE51" s="3"/>
      <c r="CF51" s="3"/>
    </row>
    <row r="52" spans="1:84" s="145" customFormat="1" ht="65" x14ac:dyDescent="0.35">
      <c r="A52" s="170">
        <v>45</v>
      </c>
      <c r="B52" s="171" t="s">
        <v>732</v>
      </c>
      <c r="C52" s="172" t="s">
        <v>733</v>
      </c>
      <c r="D52" s="171" t="s">
        <v>212</v>
      </c>
      <c r="E52" s="201">
        <v>160</v>
      </c>
      <c r="F52" s="173"/>
      <c r="G52" s="19"/>
      <c r="H52" s="19"/>
      <c r="I52" s="19">
        <v>13400</v>
      </c>
      <c r="J52" s="19"/>
      <c r="K52" s="19"/>
      <c r="L52" s="19"/>
      <c r="M52" s="19">
        <f>[1]PAPELERIA!G53</f>
        <v>11000</v>
      </c>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42">
        <f t="shared" si="23"/>
        <v>12200</v>
      </c>
      <c r="BT52" s="142">
        <f>AVERAGE(F52:M52)</f>
        <v>12200</v>
      </c>
      <c r="BU52" s="143">
        <f>STDEV(F52:M52)</f>
        <v>1697.0562748477141</v>
      </c>
      <c r="BV52" s="62">
        <f t="shared" si="2"/>
        <v>0.13910297334817329</v>
      </c>
      <c r="BW52" s="144">
        <v>12200</v>
      </c>
      <c r="BX52" s="144">
        <v>12200</v>
      </c>
      <c r="BY52" s="31">
        <v>0</v>
      </c>
      <c r="BZ52" s="331">
        <f>BW52*E52</f>
        <v>1952000</v>
      </c>
      <c r="CA52" s="47" t="s">
        <v>662</v>
      </c>
      <c r="CB52" s="3"/>
      <c r="CC52" s="3"/>
      <c r="CD52" s="3"/>
      <c r="CE52" s="3"/>
      <c r="CF52" s="3"/>
    </row>
    <row r="53" spans="1:84" s="145" customFormat="1" ht="39" x14ac:dyDescent="0.35">
      <c r="A53" s="170">
        <v>46</v>
      </c>
      <c r="B53" s="171" t="s">
        <v>734</v>
      </c>
      <c r="C53" s="172" t="s">
        <v>735</v>
      </c>
      <c r="D53" s="171" t="s">
        <v>661</v>
      </c>
      <c r="E53" s="183">
        <v>140</v>
      </c>
      <c r="F53" s="173">
        <v>24800</v>
      </c>
      <c r="G53" s="19"/>
      <c r="H53" s="19"/>
      <c r="I53" s="19"/>
      <c r="J53" s="19"/>
      <c r="K53" s="19"/>
      <c r="L53" s="19"/>
      <c r="M53" s="19"/>
      <c r="N53" s="19"/>
      <c r="O53" s="19"/>
      <c r="P53" s="19"/>
      <c r="Q53" s="19"/>
      <c r="R53" s="19"/>
      <c r="S53" s="19"/>
      <c r="T53" s="19"/>
      <c r="U53" s="176">
        <v>21400</v>
      </c>
      <c r="V53" s="176">
        <f>((U53*5.1%)+U53)</f>
        <v>22491.4</v>
      </c>
      <c r="W53" s="176">
        <v>23700</v>
      </c>
      <c r="X53" s="176">
        <f>((W53*5.1%)+W53)</f>
        <v>24908.7</v>
      </c>
      <c r="Y53" s="180"/>
      <c r="Z53" s="180"/>
      <c r="AA53" s="180"/>
      <c r="AB53" s="180"/>
      <c r="AC53" s="180"/>
      <c r="AD53" s="180"/>
      <c r="AE53" s="180"/>
      <c r="AF53" s="180"/>
      <c r="AG53" s="180"/>
      <c r="AH53" s="180"/>
      <c r="AI53" s="180"/>
      <c r="AJ53" s="180"/>
      <c r="AK53" s="180"/>
      <c r="AL53" s="180"/>
      <c r="AM53" s="180"/>
      <c r="AN53" s="180"/>
      <c r="AO53" s="180"/>
      <c r="AP53" s="180"/>
      <c r="AQ53" s="180"/>
      <c r="AR53" s="180"/>
      <c r="AS53" s="180"/>
      <c r="AT53" s="180"/>
      <c r="AU53" s="180"/>
      <c r="AV53" s="180"/>
      <c r="AW53" s="180"/>
      <c r="AX53" s="180"/>
      <c r="AY53" s="180"/>
      <c r="AZ53" s="180"/>
      <c r="BA53" s="180"/>
      <c r="BB53" s="180"/>
      <c r="BC53" s="180"/>
      <c r="BD53" s="180"/>
      <c r="BE53" s="180"/>
      <c r="BF53" s="180"/>
      <c r="BG53" s="180"/>
      <c r="BH53" s="180"/>
      <c r="BI53" s="180"/>
      <c r="BJ53" s="180"/>
      <c r="BK53" s="180"/>
      <c r="BL53" s="180"/>
      <c r="BM53" s="180"/>
      <c r="BN53" s="180"/>
      <c r="BO53" s="180"/>
      <c r="BP53" s="180"/>
      <c r="BQ53" s="180"/>
      <c r="BR53" s="180"/>
      <c r="BS53" s="142">
        <f t="shared" si="23"/>
        <v>24800</v>
      </c>
      <c r="BT53" s="142">
        <f>AVERAGE(X53,V53,F53)</f>
        <v>24066.7</v>
      </c>
      <c r="BU53" s="143">
        <f>STDEV(X53,V53,F53)</f>
        <v>1365.3320072421939</v>
      </c>
      <c r="BV53" s="62">
        <f t="shared" si="2"/>
        <v>5.6731168263293011E-2</v>
      </c>
      <c r="BW53" s="144">
        <f t="shared" si="3"/>
        <v>24067</v>
      </c>
      <c r="BX53" s="144">
        <f t="shared" ref="BX53:BX84" si="24">+BW53/1.19</f>
        <v>20224.36974789916</v>
      </c>
      <c r="BY53" s="31">
        <f t="shared" si="4"/>
        <v>3842.6302521008406</v>
      </c>
      <c r="BZ53" s="331">
        <f t="shared" ref="BZ53:BZ63" si="25">+BW53*E53</f>
        <v>3369380</v>
      </c>
      <c r="CA53" s="47" t="s">
        <v>662</v>
      </c>
      <c r="CB53" s="3"/>
      <c r="CC53" s="3"/>
      <c r="CD53" s="3"/>
      <c r="CE53" s="3"/>
      <c r="CF53" s="3"/>
    </row>
    <row r="54" spans="1:84" s="145" customFormat="1" ht="91" x14ac:dyDescent="0.35">
      <c r="A54" s="170">
        <v>47</v>
      </c>
      <c r="B54" s="171" t="s">
        <v>736</v>
      </c>
      <c r="C54" s="174" t="s">
        <v>737</v>
      </c>
      <c r="D54" s="171" t="s">
        <v>661</v>
      </c>
      <c r="E54" s="183">
        <v>44</v>
      </c>
      <c r="F54" s="173"/>
      <c r="G54" s="19"/>
      <c r="H54" s="19"/>
      <c r="I54" s="19">
        <v>14900</v>
      </c>
      <c r="J54" s="19"/>
      <c r="K54" s="19"/>
      <c r="L54" s="19"/>
      <c r="M54" s="19">
        <f>[1]PAPELERIA!G55</f>
        <v>18900</v>
      </c>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42">
        <f t="shared" si="23"/>
        <v>16900</v>
      </c>
      <c r="BT54" s="142">
        <f t="shared" ref="BT54:BT69" si="26">AVERAGE(F54:M54)</f>
        <v>16900</v>
      </c>
      <c r="BU54" s="143">
        <f t="shared" ref="BU54:BU69" si="27">STDEV(F54:M54)</f>
        <v>2828.4271247461902</v>
      </c>
      <c r="BV54" s="62">
        <f t="shared" si="2"/>
        <v>0.1673625517601296</v>
      </c>
      <c r="BW54" s="144">
        <f t="shared" si="3"/>
        <v>16900</v>
      </c>
      <c r="BX54" s="144">
        <f t="shared" si="24"/>
        <v>14201.680672268909</v>
      </c>
      <c r="BY54" s="31">
        <f t="shared" si="4"/>
        <v>2698.3193277310929</v>
      </c>
      <c r="BZ54" s="331">
        <f t="shared" si="25"/>
        <v>743600</v>
      </c>
      <c r="CA54" s="47" t="s">
        <v>662</v>
      </c>
      <c r="CB54" s="3"/>
      <c r="CC54" s="3"/>
      <c r="CD54" s="3"/>
      <c r="CE54" s="3"/>
      <c r="CF54" s="3"/>
    </row>
    <row r="55" spans="1:84" s="145" customFormat="1" ht="65" x14ac:dyDescent="0.35">
      <c r="A55" s="170">
        <v>48</v>
      </c>
      <c r="B55" s="171" t="s">
        <v>738</v>
      </c>
      <c r="C55" s="172" t="s">
        <v>739</v>
      </c>
      <c r="D55" s="171" t="s">
        <v>212</v>
      </c>
      <c r="E55" s="200">
        <v>140</v>
      </c>
      <c r="F55" s="173"/>
      <c r="G55" s="19"/>
      <c r="H55" s="19"/>
      <c r="I55" s="19"/>
      <c r="J55" s="19">
        <f>[2]PAPELERIA!I56</f>
        <v>18900</v>
      </c>
      <c r="K55" s="19"/>
      <c r="L55" s="19">
        <v>15370</v>
      </c>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42">
        <f t="shared" si="23"/>
        <v>17135</v>
      </c>
      <c r="BT55" s="142">
        <f t="shared" si="26"/>
        <v>17135</v>
      </c>
      <c r="BU55" s="143">
        <f t="shared" si="27"/>
        <v>2496.0869375885127</v>
      </c>
      <c r="BV55" s="62">
        <f t="shared" si="2"/>
        <v>0.14567183761823826</v>
      </c>
      <c r="BW55" s="144">
        <f t="shared" si="3"/>
        <v>17135</v>
      </c>
      <c r="BX55" s="144">
        <f t="shared" si="24"/>
        <v>14399.159663865546</v>
      </c>
      <c r="BY55" s="31">
        <f t="shared" si="4"/>
        <v>2735.840336134454</v>
      </c>
      <c r="BZ55" s="331">
        <f t="shared" si="25"/>
        <v>2398900</v>
      </c>
      <c r="CA55" s="47" t="s">
        <v>662</v>
      </c>
      <c r="CB55" s="3"/>
      <c r="CC55" s="3"/>
      <c r="CD55" s="3"/>
      <c r="CE55" s="3"/>
      <c r="CF55" s="3"/>
    </row>
    <row r="56" spans="1:84" s="145" customFormat="1" ht="39" x14ac:dyDescent="0.35">
      <c r="A56" s="170">
        <v>49</v>
      </c>
      <c r="B56" s="171" t="s">
        <v>740</v>
      </c>
      <c r="C56" s="172" t="s">
        <v>741</v>
      </c>
      <c r="D56" s="171" t="s">
        <v>661</v>
      </c>
      <c r="E56" s="183">
        <v>130</v>
      </c>
      <c r="F56" s="173"/>
      <c r="G56" s="19"/>
      <c r="H56" s="19"/>
      <c r="I56" s="19"/>
      <c r="J56" s="19">
        <f>[2]PAPELERIA!I57</f>
        <v>2833</v>
      </c>
      <c r="K56" s="19"/>
      <c r="L56" s="19"/>
      <c r="M56" s="19">
        <f>[1]PAPELERIA!G57</f>
        <v>3500</v>
      </c>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42">
        <f t="shared" si="23"/>
        <v>3166.5</v>
      </c>
      <c r="BT56" s="142">
        <f t="shared" si="26"/>
        <v>3166.5</v>
      </c>
      <c r="BU56" s="143">
        <f t="shared" si="27"/>
        <v>471.6402230514272</v>
      </c>
      <c r="BV56" s="62">
        <f t="shared" si="2"/>
        <v>0.14894685711398301</v>
      </c>
      <c r="BW56" s="144">
        <f t="shared" si="3"/>
        <v>3167</v>
      </c>
      <c r="BX56" s="144">
        <f t="shared" si="24"/>
        <v>2661.3445378151264</v>
      </c>
      <c r="BY56" s="31">
        <f t="shared" si="4"/>
        <v>505.65546218487401</v>
      </c>
      <c r="BZ56" s="331">
        <f t="shared" si="25"/>
        <v>411710</v>
      </c>
      <c r="CA56" s="47" t="s">
        <v>662</v>
      </c>
      <c r="CB56" s="3"/>
      <c r="CC56" s="3"/>
      <c r="CD56" s="3"/>
      <c r="CE56" s="3"/>
      <c r="CF56" s="3"/>
    </row>
    <row r="57" spans="1:84" s="145" customFormat="1" ht="52" x14ac:dyDescent="0.35">
      <c r="A57" s="170">
        <v>50</v>
      </c>
      <c r="B57" s="171" t="s">
        <v>740</v>
      </c>
      <c r="C57" s="174" t="s">
        <v>742</v>
      </c>
      <c r="D57" s="171" t="s">
        <v>212</v>
      </c>
      <c r="E57" s="183">
        <v>120</v>
      </c>
      <c r="F57" s="173"/>
      <c r="G57" s="19"/>
      <c r="H57" s="19"/>
      <c r="I57" s="19">
        <v>46200</v>
      </c>
      <c r="J57" s="19">
        <f>[2]PAPELERIA!I58</f>
        <v>34000</v>
      </c>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42">
        <f t="shared" si="23"/>
        <v>40100</v>
      </c>
      <c r="BT57" s="142">
        <f t="shared" si="26"/>
        <v>40100</v>
      </c>
      <c r="BU57" s="143">
        <f t="shared" si="27"/>
        <v>8626.7027304758794</v>
      </c>
      <c r="BV57" s="62">
        <f t="shared" si="2"/>
        <v>0.21512974390214162</v>
      </c>
      <c r="BW57" s="144">
        <f t="shared" si="3"/>
        <v>40100</v>
      </c>
      <c r="BX57" s="144">
        <f t="shared" si="24"/>
        <v>33697.478991596639</v>
      </c>
      <c r="BY57" s="31">
        <f t="shared" si="4"/>
        <v>6402.5210084033615</v>
      </c>
      <c r="BZ57" s="331">
        <f t="shared" si="25"/>
        <v>4812000</v>
      </c>
      <c r="CA57" s="47" t="s">
        <v>665</v>
      </c>
      <c r="CB57" s="3"/>
      <c r="CC57" s="3"/>
      <c r="CD57" s="3"/>
      <c r="CE57" s="3"/>
      <c r="CF57" s="3"/>
    </row>
    <row r="58" spans="1:84" s="145" customFormat="1" ht="65" x14ac:dyDescent="0.35">
      <c r="A58" s="170">
        <v>51</v>
      </c>
      <c r="B58" s="171" t="s">
        <v>740</v>
      </c>
      <c r="C58" s="172" t="s">
        <v>743</v>
      </c>
      <c r="D58" s="171" t="s">
        <v>212</v>
      </c>
      <c r="E58" s="183">
        <v>129</v>
      </c>
      <c r="F58" s="173"/>
      <c r="G58" s="19"/>
      <c r="H58" s="19"/>
      <c r="I58" s="19"/>
      <c r="J58" s="19">
        <f>[2]PAPELERIA!I59</f>
        <v>15000</v>
      </c>
      <c r="K58" s="19"/>
      <c r="L58" s="19">
        <v>15400</v>
      </c>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42">
        <f t="shared" si="23"/>
        <v>15200</v>
      </c>
      <c r="BT58" s="142">
        <f t="shared" si="26"/>
        <v>15200</v>
      </c>
      <c r="BU58" s="143">
        <f t="shared" si="27"/>
        <v>282.84271247461902</v>
      </c>
      <c r="BV58" s="62">
        <f t="shared" si="2"/>
        <v>1.8608073189119674E-2</v>
      </c>
      <c r="BW58" s="144">
        <f t="shared" si="3"/>
        <v>15200</v>
      </c>
      <c r="BX58" s="144">
        <f t="shared" si="24"/>
        <v>12773.10924369748</v>
      </c>
      <c r="BY58" s="31">
        <f t="shared" si="4"/>
        <v>2426.8907563025214</v>
      </c>
      <c r="BZ58" s="331">
        <f t="shared" si="25"/>
        <v>1960800</v>
      </c>
      <c r="CA58" s="47" t="s">
        <v>662</v>
      </c>
      <c r="CB58" s="3"/>
      <c r="CC58" s="3"/>
      <c r="CD58" s="3"/>
      <c r="CE58" s="3"/>
      <c r="CF58" s="3"/>
    </row>
    <row r="59" spans="1:84" s="145" customFormat="1" ht="39" x14ac:dyDescent="0.35">
      <c r="A59" s="170">
        <v>52</v>
      </c>
      <c r="B59" s="171" t="s">
        <v>740</v>
      </c>
      <c r="C59" s="174" t="s">
        <v>744</v>
      </c>
      <c r="D59" s="171" t="s">
        <v>212</v>
      </c>
      <c r="E59" s="183">
        <v>138</v>
      </c>
      <c r="F59" s="173"/>
      <c r="G59" s="19"/>
      <c r="H59" s="19"/>
      <c r="I59" s="19">
        <v>35800</v>
      </c>
      <c r="J59" s="19"/>
      <c r="K59" s="19"/>
      <c r="L59" s="19"/>
      <c r="M59" s="19">
        <f>[1]PAPELERIA!G60</f>
        <v>46455</v>
      </c>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42">
        <f t="shared" si="23"/>
        <v>41127.5</v>
      </c>
      <c r="BT59" s="142">
        <f t="shared" si="26"/>
        <v>41127.5</v>
      </c>
      <c r="BU59" s="143">
        <f t="shared" si="27"/>
        <v>7534.2227535426637</v>
      </c>
      <c r="BV59" s="62">
        <f t="shared" si="2"/>
        <v>0.18319184860598539</v>
      </c>
      <c r="BW59" s="144">
        <f t="shared" si="3"/>
        <v>41128</v>
      </c>
      <c r="BX59" s="144">
        <f t="shared" si="24"/>
        <v>34561.34453781513</v>
      </c>
      <c r="BY59" s="31">
        <f t="shared" si="4"/>
        <v>6566.6554621848745</v>
      </c>
      <c r="BZ59" s="331">
        <f t="shared" si="25"/>
        <v>5675664</v>
      </c>
      <c r="CA59" s="47" t="s">
        <v>665</v>
      </c>
      <c r="CB59" s="3"/>
      <c r="CC59" s="3"/>
      <c r="CD59" s="3"/>
      <c r="CE59" s="3"/>
      <c r="CF59" s="3"/>
    </row>
    <row r="60" spans="1:84" s="145" customFormat="1" ht="52" x14ac:dyDescent="0.35">
      <c r="A60" s="170">
        <v>53</v>
      </c>
      <c r="B60" s="171" t="s">
        <v>740</v>
      </c>
      <c r="C60" s="172" t="s">
        <v>745</v>
      </c>
      <c r="D60" s="171" t="s">
        <v>212</v>
      </c>
      <c r="E60" s="183">
        <v>141</v>
      </c>
      <c r="F60" s="173"/>
      <c r="G60" s="19"/>
      <c r="H60" s="19"/>
      <c r="I60" s="19">
        <v>25800</v>
      </c>
      <c r="J60" s="19">
        <v>26800</v>
      </c>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42">
        <f t="shared" si="23"/>
        <v>26300</v>
      </c>
      <c r="BT60" s="142">
        <f t="shared" si="26"/>
        <v>26300</v>
      </c>
      <c r="BU60" s="143">
        <f t="shared" si="27"/>
        <v>707.10678118654755</v>
      </c>
      <c r="BV60" s="62">
        <f t="shared" si="2"/>
        <v>2.6886189398728045E-2</v>
      </c>
      <c r="BW60" s="144">
        <f t="shared" si="3"/>
        <v>26300</v>
      </c>
      <c r="BX60" s="144">
        <f t="shared" si="24"/>
        <v>22100.840336134454</v>
      </c>
      <c r="BY60" s="31">
        <f t="shared" si="4"/>
        <v>4199.1596638655465</v>
      </c>
      <c r="BZ60" s="331">
        <f t="shared" si="25"/>
        <v>3708300</v>
      </c>
      <c r="CA60" s="47" t="s">
        <v>662</v>
      </c>
      <c r="CB60" s="3"/>
      <c r="CC60" s="3"/>
      <c r="CD60" s="3"/>
      <c r="CE60" s="3"/>
      <c r="CF60" s="3"/>
    </row>
    <row r="61" spans="1:84" s="145" customFormat="1" ht="29" x14ac:dyDescent="0.35">
      <c r="A61" s="170">
        <v>54</v>
      </c>
      <c r="B61" s="171" t="s">
        <v>746</v>
      </c>
      <c r="C61" s="172" t="s">
        <v>747</v>
      </c>
      <c r="D61" s="171" t="s">
        <v>350</v>
      </c>
      <c r="E61" s="183">
        <v>1340</v>
      </c>
      <c r="F61" s="173"/>
      <c r="G61" s="19"/>
      <c r="H61" s="19"/>
      <c r="I61" s="19"/>
      <c r="J61" s="19">
        <f>[2]PAPELERIA!I62</f>
        <v>1600</v>
      </c>
      <c r="K61" s="19"/>
      <c r="L61" s="19">
        <v>1430</v>
      </c>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42">
        <f t="shared" si="23"/>
        <v>1515</v>
      </c>
      <c r="BT61" s="142">
        <f t="shared" si="26"/>
        <v>1515</v>
      </c>
      <c r="BU61" s="143">
        <f t="shared" si="27"/>
        <v>120.20815280171308</v>
      </c>
      <c r="BV61" s="62">
        <f t="shared" si="2"/>
        <v>7.9345315380668704E-2</v>
      </c>
      <c r="BW61" s="144">
        <f t="shared" si="3"/>
        <v>1515</v>
      </c>
      <c r="BX61" s="144">
        <f t="shared" si="24"/>
        <v>1273.1092436974791</v>
      </c>
      <c r="BY61" s="31">
        <f t="shared" si="4"/>
        <v>241.89075630252103</v>
      </c>
      <c r="BZ61" s="331">
        <f t="shared" si="25"/>
        <v>2030100</v>
      </c>
      <c r="CA61" s="47" t="s">
        <v>662</v>
      </c>
      <c r="CB61" s="3"/>
      <c r="CC61" s="3"/>
      <c r="CD61" s="3"/>
      <c r="CE61" s="3"/>
      <c r="CF61" s="3"/>
    </row>
    <row r="62" spans="1:84" s="145" customFormat="1" ht="29" x14ac:dyDescent="0.35">
      <c r="A62" s="170">
        <v>55</v>
      </c>
      <c r="B62" s="171" t="s">
        <v>748</v>
      </c>
      <c r="C62" s="172" t="s">
        <v>749</v>
      </c>
      <c r="D62" s="171" t="s">
        <v>350</v>
      </c>
      <c r="E62" s="183">
        <v>1500</v>
      </c>
      <c r="F62" s="173"/>
      <c r="G62" s="19"/>
      <c r="H62" s="19"/>
      <c r="I62" s="19"/>
      <c r="J62" s="19">
        <v>2890</v>
      </c>
      <c r="K62" s="19"/>
      <c r="L62" s="19">
        <v>3045</v>
      </c>
      <c r="M62" s="19">
        <v>3727</v>
      </c>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42">
        <f t="shared" si="23"/>
        <v>3045</v>
      </c>
      <c r="BT62" s="142">
        <f t="shared" si="26"/>
        <v>3220.6666666666665</v>
      </c>
      <c r="BU62" s="143">
        <f t="shared" si="27"/>
        <v>445.29353614591571</v>
      </c>
      <c r="BV62" s="62">
        <f t="shared" si="2"/>
        <v>0.13826129253133379</v>
      </c>
      <c r="BW62" s="144">
        <f t="shared" si="3"/>
        <v>3221</v>
      </c>
      <c r="BX62" s="144">
        <f t="shared" si="24"/>
        <v>2706.7226890756306</v>
      </c>
      <c r="BY62" s="31">
        <f t="shared" si="4"/>
        <v>514.27731092436977</v>
      </c>
      <c r="BZ62" s="331">
        <f t="shared" si="25"/>
        <v>4831500</v>
      </c>
      <c r="CA62" s="47" t="s">
        <v>662</v>
      </c>
      <c r="CB62" s="3"/>
      <c r="CC62" s="3"/>
      <c r="CD62" s="3"/>
      <c r="CE62" s="3"/>
      <c r="CF62" s="3"/>
    </row>
    <row r="63" spans="1:84" s="145" customFormat="1" ht="29" x14ac:dyDescent="0.35">
      <c r="A63" s="170">
        <v>56</v>
      </c>
      <c r="B63" s="171" t="s">
        <v>748</v>
      </c>
      <c r="C63" s="172" t="s">
        <v>750</v>
      </c>
      <c r="D63" s="171" t="s">
        <v>350</v>
      </c>
      <c r="E63" s="183">
        <v>1500</v>
      </c>
      <c r="F63" s="173"/>
      <c r="G63" s="19"/>
      <c r="H63" s="19"/>
      <c r="I63" s="19"/>
      <c r="J63" s="19">
        <v>4000</v>
      </c>
      <c r="K63" s="19"/>
      <c r="L63" s="19">
        <v>4100</v>
      </c>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42">
        <f t="shared" si="23"/>
        <v>4050</v>
      </c>
      <c r="BT63" s="142">
        <f t="shared" si="26"/>
        <v>4050</v>
      </c>
      <c r="BU63" s="143">
        <f t="shared" si="27"/>
        <v>70.710678118654755</v>
      </c>
      <c r="BV63" s="62">
        <f t="shared" si="2"/>
        <v>1.7459426695964137E-2</v>
      </c>
      <c r="BW63" s="144">
        <f t="shared" si="3"/>
        <v>4050</v>
      </c>
      <c r="BX63" s="144">
        <f t="shared" si="24"/>
        <v>3403.3613445378151</v>
      </c>
      <c r="BY63" s="31">
        <f t="shared" si="4"/>
        <v>646.63865546218483</v>
      </c>
      <c r="BZ63" s="331">
        <f t="shared" si="25"/>
        <v>6075000</v>
      </c>
      <c r="CA63" s="47" t="s">
        <v>662</v>
      </c>
      <c r="CB63" s="3"/>
      <c r="CC63" s="3"/>
      <c r="CD63" s="3"/>
      <c r="CE63" s="3"/>
      <c r="CF63" s="3"/>
    </row>
    <row r="64" spans="1:84" s="145" customFormat="1" ht="55.5" customHeight="1" x14ac:dyDescent="0.35">
      <c r="A64" s="170">
        <v>57</v>
      </c>
      <c r="B64" s="171" t="s">
        <v>751</v>
      </c>
      <c r="C64" s="172" t="s">
        <v>752</v>
      </c>
      <c r="D64" s="171" t="s">
        <v>341</v>
      </c>
      <c r="E64" s="183">
        <f>92+50</f>
        <v>142</v>
      </c>
      <c r="F64" s="173"/>
      <c r="G64" s="19"/>
      <c r="H64" s="19"/>
      <c r="I64" s="19"/>
      <c r="J64" s="19">
        <f>[2]PAPELERIA!I65</f>
        <v>3400</v>
      </c>
      <c r="K64" s="19"/>
      <c r="L64" s="19">
        <v>2930</v>
      </c>
      <c r="M64" s="19">
        <f>[1]PAPELERIA!G65</f>
        <v>3500</v>
      </c>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42">
        <f t="shared" si="23"/>
        <v>3400</v>
      </c>
      <c r="BT64" s="142">
        <f t="shared" si="26"/>
        <v>3276.6666666666665</v>
      </c>
      <c r="BU64" s="143">
        <f t="shared" si="27"/>
        <v>304.3572462310259</v>
      </c>
      <c r="BV64" s="62">
        <f t="shared" si="2"/>
        <v>9.2886239948431107E-2</v>
      </c>
      <c r="BW64" s="144">
        <f t="shared" si="3"/>
        <v>3277</v>
      </c>
      <c r="BX64" s="144">
        <f t="shared" si="24"/>
        <v>2753.7815126050423</v>
      </c>
      <c r="BY64" s="31">
        <f t="shared" si="4"/>
        <v>523.21848739495806</v>
      </c>
      <c r="BZ64" s="331">
        <f>+BW64*E64+205</f>
        <v>465539</v>
      </c>
      <c r="CA64" s="47" t="s">
        <v>662</v>
      </c>
      <c r="CB64" s="3"/>
      <c r="CC64" s="3"/>
      <c r="CD64" s="3"/>
      <c r="CE64" s="3"/>
      <c r="CF64" s="3"/>
    </row>
    <row r="65" spans="1:84" s="145" customFormat="1" ht="29" x14ac:dyDescent="0.35">
      <c r="A65" s="170">
        <v>58</v>
      </c>
      <c r="B65" s="171" t="s">
        <v>1087</v>
      </c>
      <c r="C65" s="172" t="s">
        <v>753</v>
      </c>
      <c r="D65" s="171" t="s">
        <v>212</v>
      </c>
      <c r="E65" s="183">
        <v>140</v>
      </c>
      <c r="F65" s="173"/>
      <c r="G65" s="19"/>
      <c r="H65" s="19"/>
      <c r="I65" s="19">
        <v>199000</v>
      </c>
      <c r="J65" s="19">
        <v>195000</v>
      </c>
      <c r="K65" s="19"/>
      <c r="L65" s="19">
        <v>198000</v>
      </c>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42">
        <f t="shared" si="23"/>
        <v>198000</v>
      </c>
      <c r="BT65" s="142">
        <f t="shared" si="26"/>
        <v>197333.33333333334</v>
      </c>
      <c r="BU65" s="143">
        <f t="shared" si="27"/>
        <v>2081.6659994661327</v>
      </c>
      <c r="BV65" s="62">
        <f t="shared" si="2"/>
        <v>1.0548983105402698E-2</v>
      </c>
      <c r="BW65" s="144">
        <f t="shared" si="3"/>
        <v>197334</v>
      </c>
      <c r="BX65" s="144">
        <f t="shared" si="24"/>
        <v>165826.89075630254</v>
      </c>
      <c r="BY65" s="31">
        <f t="shared" si="4"/>
        <v>31507.109243697483</v>
      </c>
      <c r="BZ65" s="331">
        <f t="shared" ref="BZ65:BZ85" si="28">+BW65*E65</f>
        <v>27626760</v>
      </c>
      <c r="CA65" s="47" t="s">
        <v>662</v>
      </c>
      <c r="CB65" s="3"/>
      <c r="CC65" s="3"/>
      <c r="CD65" s="3"/>
      <c r="CE65" s="3"/>
      <c r="CF65" s="3"/>
    </row>
    <row r="66" spans="1:84" s="145" customFormat="1" ht="31" x14ac:dyDescent="0.35">
      <c r="A66" s="170">
        <v>59</v>
      </c>
      <c r="B66" s="171" t="s">
        <v>1086</v>
      </c>
      <c r="C66" s="127" t="s">
        <v>1085</v>
      </c>
      <c r="D66" s="355" t="s">
        <v>212</v>
      </c>
      <c r="E66" s="183">
        <v>40</v>
      </c>
      <c r="F66" s="173"/>
      <c r="G66" s="19"/>
      <c r="H66" s="19"/>
      <c r="I66" s="19"/>
      <c r="J66" s="19"/>
      <c r="K66" s="19"/>
      <c r="L66" s="19"/>
      <c r="M66" s="19"/>
      <c r="N66" s="19"/>
      <c r="O66" s="19">
        <v>205880</v>
      </c>
      <c r="P66" s="19">
        <v>216380</v>
      </c>
      <c r="Q66" s="19">
        <v>190000</v>
      </c>
      <c r="R66" s="19">
        <v>199690</v>
      </c>
      <c r="S66" s="19">
        <v>202310</v>
      </c>
      <c r="T66" s="19">
        <v>212628</v>
      </c>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42">
        <f>MEDIAN(P66,R66,T66)</f>
        <v>212628</v>
      </c>
      <c r="BT66" s="142">
        <f>AVERAGE(P66,R66,T66)</f>
        <v>209566</v>
      </c>
      <c r="BU66" s="143">
        <f>STDEV(P66,R66,T66)</f>
        <v>8756.1925515602961</v>
      </c>
      <c r="BV66" s="62">
        <f t="shared" ref="BV66" si="29">BU66/BT66</f>
        <v>4.1782505518835576E-2</v>
      </c>
      <c r="BW66" s="144">
        <f t="shared" ref="BW66" si="30">ROUNDUP(IF(BV66&lt;15%,BT66,BS66),0)</f>
        <v>209566</v>
      </c>
      <c r="BX66" s="144">
        <f t="shared" si="24"/>
        <v>176105.88235294117</v>
      </c>
      <c r="BY66" s="31">
        <f t="shared" ref="BY66" si="31">+BX66*19%</f>
        <v>33460.117647058825</v>
      </c>
      <c r="BZ66" s="331">
        <f t="shared" si="28"/>
        <v>8382640</v>
      </c>
      <c r="CA66" s="47" t="s">
        <v>662</v>
      </c>
      <c r="CB66" s="3"/>
      <c r="CC66" s="3"/>
      <c r="CD66" s="3"/>
      <c r="CE66" s="3"/>
      <c r="CF66" s="3"/>
    </row>
    <row r="67" spans="1:84" s="145" customFormat="1" ht="29" x14ac:dyDescent="0.35">
      <c r="A67" s="170">
        <v>60</v>
      </c>
      <c r="B67" s="171" t="s">
        <v>754</v>
      </c>
      <c r="C67" s="174" t="s">
        <v>755</v>
      </c>
      <c r="D67" s="171" t="s">
        <v>756</v>
      </c>
      <c r="E67" s="183">
        <v>50</v>
      </c>
      <c r="F67" s="173"/>
      <c r="G67" s="19"/>
      <c r="H67" s="19"/>
      <c r="I67" s="19">
        <v>900</v>
      </c>
      <c r="J67" s="19"/>
      <c r="K67" s="19"/>
      <c r="L67" s="19"/>
      <c r="M67" s="19">
        <f>[1]PAPELERIA!G67</f>
        <v>1200</v>
      </c>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42">
        <f t="shared" si="23"/>
        <v>1050</v>
      </c>
      <c r="BT67" s="142">
        <f t="shared" si="26"/>
        <v>1050</v>
      </c>
      <c r="BU67" s="143">
        <f t="shared" si="27"/>
        <v>212.13203435596427</v>
      </c>
      <c r="BV67" s="62">
        <f t="shared" si="2"/>
        <v>0.20203050891044216</v>
      </c>
      <c r="BW67" s="144">
        <f t="shared" si="3"/>
        <v>1050</v>
      </c>
      <c r="BX67" s="144">
        <f t="shared" si="24"/>
        <v>882.35294117647061</v>
      </c>
      <c r="BY67" s="31">
        <f t="shared" si="4"/>
        <v>167.64705882352942</v>
      </c>
      <c r="BZ67" s="331">
        <f t="shared" si="28"/>
        <v>52500</v>
      </c>
      <c r="CA67" s="47" t="s">
        <v>665</v>
      </c>
      <c r="CB67" s="3"/>
      <c r="CC67" s="3"/>
      <c r="CD67" s="3"/>
      <c r="CE67" s="3"/>
      <c r="CF67" s="3"/>
    </row>
    <row r="68" spans="1:84" s="145" customFormat="1" ht="29" x14ac:dyDescent="0.35">
      <c r="A68" s="170">
        <v>61</v>
      </c>
      <c r="B68" s="171" t="s">
        <v>757</v>
      </c>
      <c r="C68" s="172" t="s">
        <v>758</v>
      </c>
      <c r="D68" s="171" t="s">
        <v>313</v>
      </c>
      <c r="E68" s="183">
        <v>25</v>
      </c>
      <c r="F68" s="173"/>
      <c r="G68" s="19"/>
      <c r="H68" s="19"/>
      <c r="I68" s="19"/>
      <c r="J68" s="19">
        <f>[2]PAPELERIA!I69</f>
        <v>9800</v>
      </c>
      <c r="K68" s="19"/>
      <c r="L68" s="19">
        <v>10510</v>
      </c>
      <c r="M68" s="19">
        <v>10900</v>
      </c>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42">
        <f t="shared" si="23"/>
        <v>10510</v>
      </c>
      <c r="BT68" s="142">
        <f t="shared" si="26"/>
        <v>10403.333333333334</v>
      </c>
      <c r="BU68" s="143">
        <f t="shared" si="27"/>
        <v>557.70362499569012</v>
      </c>
      <c r="BV68" s="62">
        <f t="shared" si="2"/>
        <v>5.3608166452645635E-2</v>
      </c>
      <c r="BW68" s="144">
        <f t="shared" si="3"/>
        <v>10404</v>
      </c>
      <c r="BX68" s="144">
        <f t="shared" si="24"/>
        <v>8742.8571428571431</v>
      </c>
      <c r="BY68" s="31">
        <f t="shared" si="4"/>
        <v>1661.1428571428571</v>
      </c>
      <c r="BZ68" s="331">
        <f t="shared" si="28"/>
        <v>260100</v>
      </c>
      <c r="CA68" s="47" t="s">
        <v>662</v>
      </c>
      <c r="CB68" s="3"/>
      <c r="CC68" s="3"/>
      <c r="CD68" s="3"/>
      <c r="CE68" s="3"/>
      <c r="CF68" s="3"/>
    </row>
    <row r="69" spans="1:84" s="145" customFormat="1" ht="29" x14ac:dyDescent="0.35">
      <c r="A69" s="170">
        <v>62</v>
      </c>
      <c r="B69" s="171" t="s">
        <v>757</v>
      </c>
      <c r="C69" s="174" t="s">
        <v>759</v>
      </c>
      <c r="D69" s="171" t="s">
        <v>313</v>
      </c>
      <c r="E69" s="183">
        <v>55</v>
      </c>
      <c r="F69" s="173"/>
      <c r="G69" s="19"/>
      <c r="H69" s="19"/>
      <c r="I69" s="19"/>
      <c r="J69" s="19">
        <f>[2]PAPELERIA!I70</f>
        <v>48000</v>
      </c>
      <c r="K69" s="19"/>
      <c r="L69" s="19">
        <v>35300</v>
      </c>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42">
        <f t="shared" si="23"/>
        <v>41650</v>
      </c>
      <c r="BT69" s="142">
        <f t="shared" si="26"/>
        <v>41650</v>
      </c>
      <c r="BU69" s="143">
        <f t="shared" si="27"/>
        <v>8980.2561210691529</v>
      </c>
      <c r="BV69" s="62">
        <f t="shared" si="2"/>
        <v>0.21561239186240463</v>
      </c>
      <c r="BW69" s="144">
        <f t="shared" si="3"/>
        <v>41650</v>
      </c>
      <c r="BX69" s="144">
        <f t="shared" si="24"/>
        <v>35000</v>
      </c>
      <c r="BY69" s="31">
        <f t="shared" si="4"/>
        <v>6650</v>
      </c>
      <c r="BZ69" s="331">
        <f t="shared" si="28"/>
        <v>2290750</v>
      </c>
      <c r="CA69" s="47" t="s">
        <v>665</v>
      </c>
      <c r="CB69" s="3"/>
      <c r="CC69" s="3"/>
      <c r="CD69" s="3"/>
      <c r="CE69" s="3"/>
      <c r="CF69" s="3"/>
    </row>
    <row r="70" spans="1:84" s="145" customFormat="1" ht="39" x14ac:dyDescent="0.35">
      <c r="A70" s="170">
        <v>63</v>
      </c>
      <c r="B70" s="171" t="s">
        <v>760</v>
      </c>
      <c r="C70" s="174" t="s">
        <v>761</v>
      </c>
      <c r="D70" s="171" t="s">
        <v>350</v>
      </c>
      <c r="E70" s="183">
        <v>100</v>
      </c>
      <c r="F70" s="173">
        <v>8100</v>
      </c>
      <c r="G70" s="19"/>
      <c r="H70" s="19"/>
      <c r="I70" s="19"/>
      <c r="J70" s="19"/>
      <c r="K70" s="19"/>
      <c r="L70" s="19"/>
      <c r="M70" s="19"/>
      <c r="N70" s="19"/>
      <c r="O70" s="18"/>
      <c r="P70" s="19"/>
      <c r="Q70" s="176">
        <v>6200</v>
      </c>
      <c r="R70" s="176">
        <f t="shared" ref="R70" si="32">((Q70*5.1%)+Q70)</f>
        <v>6516.2</v>
      </c>
      <c r="S70" s="176">
        <v>5612</v>
      </c>
      <c r="T70" s="176">
        <f t="shared" ref="T70" si="33">((S70*5.1%)+S70)</f>
        <v>5898.2119999999995</v>
      </c>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19"/>
      <c r="BR70" s="19"/>
      <c r="BS70" s="142">
        <f>MEDIAN(F70,R70,T70)</f>
        <v>6516.2</v>
      </c>
      <c r="BT70" s="142">
        <f>AVERAGE(F70,R70,T70)</f>
        <v>6838.1373333333331</v>
      </c>
      <c r="BU70" s="143">
        <f>STDEV(F70,R70,T70)</f>
        <v>1135.6497409770866</v>
      </c>
      <c r="BV70" s="62">
        <f t="shared" si="2"/>
        <v>0.16607588962000275</v>
      </c>
      <c r="BW70" s="144">
        <f t="shared" si="3"/>
        <v>6517</v>
      </c>
      <c r="BX70" s="144">
        <f t="shared" si="24"/>
        <v>5476.4705882352946</v>
      </c>
      <c r="BY70" s="31">
        <f t="shared" si="4"/>
        <v>1040.5294117647061</v>
      </c>
      <c r="BZ70" s="331">
        <f t="shared" si="28"/>
        <v>651700</v>
      </c>
      <c r="CA70" s="47" t="s">
        <v>665</v>
      </c>
      <c r="CB70" s="3"/>
      <c r="CC70" s="3"/>
      <c r="CD70" s="3"/>
      <c r="CE70" s="3"/>
      <c r="CF70" s="3"/>
    </row>
    <row r="71" spans="1:84" s="145" customFormat="1" ht="29" x14ac:dyDescent="0.35">
      <c r="A71" s="170">
        <v>64</v>
      </c>
      <c r="B71" s="171" t="s">
        <v>754</v>
      </c>
      <c r="C71" s="172" t="s">
        <v>762</v>
      </c>
      <c r="D71" s="171" t="s">
        <v>350</v>
      </c>
      <c r="E71" s="183">
        <v>31</v>
      </c>
      <c r="F71" s="173"/>
      <c r="G71" s="19"/>
      <c r="H71" s="19"/>
      <c r="I71" s="19"/>
      <c r="J71" s="19">
        <v>17000</v>
      </c>
      <c r="K71" s="19"/>
      <c r="L71" s="19">
        <v>14490</v>
      </c>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42">
        <f>MEDIAN(F71:M71)</f>
        <v>15745</v>
      </c>
      <c r="BT71" s="142">
        <f>AVERAGE(F71:M71)</f>
        <v>15745</v>
      </c>
      <c r="BU71" s="143">
        <f>STDEV(F71:M71)</f>
        <v>1774.8380207782343</v>
      </c>
      <c r="BV71" s="62">
        <f t="shared" si="2"/>
        <v>0.11272391367279989</v>
      </c>
      <c r="BW71" s="144">
        <f t="shared" si="3"/>
        <v>15745</v>
      </c>
      <c r="BX71" s="144">
        <f t="shared" si="24"/>
        <v>13231.09243697479</v>
      </c>
      <c r="BY71" s="31">
        <f t="shared" si="4"/>
        <v>2513.90756302521</v>
      </c>
      <c r="BZ71" s="331">
        <f t="shared" si="28"/>
        <v>488095</v>
      </c>
      <c r="CA71" s="47" t="s">
        <v>662</v>
      </c>
      <c r="CB71" s="3"/>
      <c r="CC71" s="3"/>
      <c r="CD71" s="3"/>
      <c r="CE71" s="3"/>
      <c r="CF71" s="3"/>
    </row>
    <row r="72" spans="1:84" s="145" customFormat="1" ht="29" x14ac:dyDescent="0.35">
      <c r="A72" s="170">
        <v>65</v>
      </c>
      <c r="B72" s="171" t="s">
        <v>754</v>
      </c>
      <c r="C72" s="172" t="s">
        <v>763</v>
      </c>
      <c r="D72" s="171" t="s">
        <v>313</v>
      </c>
      <c r="E72" s="183">
        <v>25</v>
      </c>
      <c r="F72" s="173"/>
      <c r="G72" s="19"/>
      <c r="H72" s="19"/>
      <c r="I72" s="19">
        <v>42000</v>
      </c>
      <c r="J72" s="19"/>
      <c r="K72" s="19"/>
      <c r="L72" s="19">
        <v>43200</v>
      </c>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42">
        <f>MEDIAN(F72:M72)</f>
        <v>42600</v>
      </c>
      <c r="BT72" s="142">
        <f>AVERAGE(F72:M72)</f>
        <v>42600</v>
      </c>
      <c r="BU72" s="143">
        <f>STDEV(F72:M72)</f>
        <v>848.52813742385706</v>
      </c>
      <c r="BV72" s="62">
        <f t="shared" si="2"/>
        <v>1.9918500878494297E-2</v>
      </c>
      <c r="BW72" s="144">
        <f t="shared" si="3"/>
        <v>42600</v>
      </c>
      <c r="BX72" s="144">
        <f t="shared" si="24"/>
        <v>35798.319327731093</v>
      </c>
      <c r="BY72" s="31">
        <f t="shared" si="4"/>
        <v>6801.680672268908</v>
      </c>
      <c r="BZ72" s="331">
        <f t="shared" si="28"/>
        <v>1065000</v>
      </c>
      <c r="CA72" s="47" t="s">
        <v>662</v>
      </c>
      <c r="CB72" s="3"/>
      <c r="CC72" s="3"/>
      <c r="CD72" s="3"/>
      <c r="CE72" s="3"/>
      <c r="CF72" s="3"/>
    </row>
    <row r="73" spans="1:84" s="145" customFormat="1" ht="29" x14ac:dyDescent="0.35">
      <c r="A73" s="170">
        <v>66</v>
      </c>
      <c r="B73" s="171" t="s">
        <v>764</v>
      </c>
      <c r="C73" s="174" t="s">
        <v>765</v>
      </c>
      <c r="D73" s="171" t="s">
        <v>661</v>
      </c>
      <c r="E73" s="183">
        <v>100</v>
      </c>
      <c r="F73" s="173"/>
      <c r="G73" s="19"/>
      <c r="H73" s="19"/>
      <c r="I73" s="19">
        <v>1000</v>
      </c>
      <c r="J73" s="19">
        <v>800</v>
      </c>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42">
        <f>MEDIAN(F73:M73)</f>
        <v>900</v>
      </c>
      <c r="BT73" s="142">
        <f>AVERAGE(F73:M73)</f>
        <v>900</v>
      </c>
      <c r="BU73" s="143">
        <f>STDEV(F73:M73)</f>
        <v>141.42135623730951</v>
      </c>
      <c r="BV73" s="62">
        <f t="shared" si="2"/>
        <v>0.15713484026367724</v>
      </c>
      <c r="BW73" s="144">
        <f t="shared" si="3"/>
        <v>900</v>
      </c>
      <c r="BX73" s="144">
        <f t="shared" si="24"/>
        <v>756.30252100840335</v>
      </c>
      <c r="BY73" s="31">
        <f t="shared" si="4"/>
        <v>143.69747899159663</v>
      </c>
      <c r="BZ73" s="331">
        <f t="shared" si="28"/>
        <v>90000</v>
      </c>
      <c r="CA73" s="47" t="s">
        <v>665</v>
      </c>
      <c r="CB73" s="3"/>
      <c r="CC73" s="3"/>
      <c r="CD73" s="3"/>
      <c r="CE73" s="3"/>
      <c r="CF73" s="3"/>
    </row>
    <row r="74" spans="1:84" s="145" customFormat="1" ht="29" x14ac:dyDescent="0.35">
      <c r="A74" s="170">
        <v>67</v>
      </c>
      <c r="B74" s="171" t="s">
        <v>766</v>
      </c>
      <c r="C74" s="174" t="s">
        <v>767</v>
      </c>
      <c r="D74" s="171" t="s">
        <v>661</v>
      </c>
      <c r="E74" s="200">
        <v>32</v>
      </c>
      <c r="F74" s="173"/>
      <c r="G74" s="19"/>
      <c r="H74" s="19"/>
      <c r="I74" s="19"/>
      <c r="J74" s="19"/>
      <c r="K74" s="19"/>
      <c r="L74" s="19"/>
      <c r="M74" s="19"/>
      <c r="N74" s="19"/>
      <c r="O74" s="19"/>
      <c r="P74" s="19"/>
      <c r="Q74" s="19"/>
      <c r="R74" s="19"/>
      <c r="S74" s="19"/>
      <c r="T74" s="19"/>
      <c r="U74" s="19"/>
      <c r="V74" s="19"/>
      <c r="W74" s="19"/>
      <c r="X74" s="19"/>
      <c r="Y74" s="19">
        <v>260000</v>
      </c>
      <c r="Z74" s="19">
        <f>+Y74/1.19</f>
        <v>218487.3949579832</v>
      </c>
      <c r="AA74" s="19">
        <f>+(Z74*36%)+Z74</f>
        <v>297142.85714285716</v>
      </c>
      <c r="AB74" s="19">
        <v>275400</v>
      </c>
      <c r="AC74" s="19">
        <f>+AB74/1.19</f>
        <v>231428.57142857145</v>
      </c>
      <c r="AD74" s="19">
        <f>+(AC74*36%)+AC74</f>
        <v>314742.85714285716</v>
      </c>
      <c r="AE74" s="19"/>
      <c r="AF74" s="19">
        <f>+AE74/1.19</f>
        <v>0</v>
      </c>
      <c r="AG74" s="19">
        <f>+(AF74*36%)+AF74</f>
        <v>0</v>
      </c>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42">
        <f>MEDIAN(AA74,AD74)</f>
        <v>305942.85714285716</v>
      </c>
      <c r="BT74" s="142">
        <f>AVERAGE(AA74,AD74)</f>
        <v>305942.85714285716</v>
      </c>
      <c r="BU74" s="143">
        <f>STDEV(AA74,AD74)</f>
        <v>12445.079348883237</v>
      </c>
      <c r="BV74" s="62">
        <f t="shared" ref="BV74:BV108" si="34">BU74/BT74</f>
        <v>4.0677790176588839E-2</v>
      </c>
      <c r="BW74" s="144">
        <f>ROUNDUP(IF(BV74&lt;15%,BT74,BS74),0)</f>
        <v>305943</v>
      </c>
      <c r="BX74" s="144">
        <f t="shared" si="24"/>
        <v>257094.95798319328</v>
      </c>
      <c r="BY74" s="31">
        <f t="shared" ref="BY74:BY108" si="35">+BX74*19%</f>
        <v>48848.042016806721</v>
      </c>
      <c r="BZ74" s="331">
        <f t="shared" si="28"/>
        <v>9790176</v>
      </c>
      <c r="CA74" s="47" t="s">
        <v>662</v>
      </c>
      <c r="CB74" s="3"/>
      <c r="CC74" s="3"/>
      <c r="CD74" s="3"/>
      <c r="CE74" s="3"/>
      <c r="CF74" s="3"/>
    </row>
    <row r="75" spans="1:84" s="145" customFormat="1" ht="39" x14ac:dyDescent="0.35">
      <c r="A75" s="170">
        <v>68</v>
      </c>
      <c r="B75" s="290" t="s">
        <v>353</v>
      </c>
      <c r="C75" s="291" t="s">
        <v>354</v>
      </c>
      <c r="D75" s="171" t="s">
        <v>661</v>
      </c>
      <c r="E75" s="179">
        <v>150</v>
      </c>
      <c r="F75" s="173"/>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v>7500</v>
      </c>
      <c r="BM75" s="19">
        <f>+(BL75*5.1%)+BL75</f>
        <v>7882.5</v>
      </c>
      <c r="BN75" s="58">
        <v>4914.7</v>
      </c>
      <c r="BO75" s="58">
        <f t="shared" ref="BO75" si="36">+(BN75*5.1%)+BN75</f>
        <v>5165.3496999999998</v>
      </c>
      <c r="BP75" s="246">
        <v>5850</v>
      </c>
      <c r="BQ75" s="34">
        <f>+BP75/1.19</f>
        <v>4915.9663865546217</v>
      </c>
      <c r="BR75" s="34">
        <f>+(BQ75*36%)+BQ75</f>
        <v>6685.7142857142853</v>
      </c>
      <c r="BS75" s="142">
        <f>MEDIAN(BM75,BO75,BR75)</f>
        <v>6685.7142857142853</v>
      </c>
      <c r="BT75" s="142">
        <f>AVERAGE(BM75,BO75,BR75)</f>
        <v>6577.854661904762</v>
      </c>
      <c r="BU75" s="143">
        <f>STDEV(BM75,BO75,BR75)</f>
        <v>1361.7825494673409</v>
      </c>
      <c r="BV75" s="62">
        <f t="shared" si="34"/>
        <v>0.20702533264439851</v>
      </c>
      <c r="BW75" s="144">
        <f t="shared" ref="BW75:BW108" si="37">ROUNDUP(IF(BV75&lt;15%,BT75,BS75),0)</f>
        <v>6686</v>
      </c>
      <c r="BX75" s="144">
        <f t="shared" si="24"/>
        <v>5618.4873949579833</v>
      </c>
      <c r="BY75" s="31">
        <f t="shared" si="35"/>
        <v>1067.5126050420167</v>
      </c>
      <c r="BZ75" s="331">
        <f t="shared" si="28"/>
        <v>1002900</v>
      </c>
      <c r="CA75" s="47" t="s">
        <v>662</v>
      </c>
      <c r="CB75" s="3"/>
      <c r="CC75" s="3"/>
      <c r="CD75" s="3"/>
      <c r="CE75" s="3"/>
      <c r="CF75" s="3"/>
    </row>
    <row r="76" spans="1:84" s="145" customFormat="1" ht="29" x14ac:dyDescent="0.35">
      <c r="A76" s="170">
        <v>69</v>
      </c>
      <c r="B76" s="171" t="s">
        <v>768</v>
      </c>
      <c r="C76" s="174" t="s">
        <v>769</v>
      </c>
      <c r="D76" s="171" t="s">
        <v>661</v>
      </c>
      <c r="E76" s="183">
        <v>250</v>
      </c>
      <c r="F76" s="173"/>
      <c r="G76" s="19"/>
      <c r="H76" s="19"/>
      <c r="I76" s="19"/>
      <c r="J76" s="19"/>
      <c r="K76" s="19"/>
      <c r="L76" s="19"/>
      <c r="M76" s="19"/>
      <c r="N76" s="19"/>
      <c r="O76" s="176">
        <v>4370</v>
      </c>
      <c r="P76" s="177">
        <f>((O76*5.1%)+O76)</f>
        <v>4592.87</v>
      </c>
      <c r="Q76" s="176">
        <v>7900</v>
      </c>
      <c r="R76" s="176">
        <f t="shared" ref="R76" si="38">((Q76*5.1%)+Q76)</f>
        <v>8302.9</v>
      </c>
      <c r="S76" s="176">
        <v>6797</v>
      </c>
      <c r="T76" s="176">
        <f t="shared" ref="T76" si="39">((S76*5.1%)+S76)</f>
        <v>7143.6469999999999</v>
      </c>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42">
        <f>MEDIAN(F76:AB76)</f>
        <v>6970.3235000000004</v>
      </c>
      <c r="BT76" s="142">
        <f>AVERAGE(F76:AB76)</f>
        <v>6517.7361666666657</v>
      </c>
      <c r="BU76" s="143">
        <f>STDEV(F76:AB76)</f>
        <v>1666.4390944682564</v>
      </c>
      <c r="BV76" s="62">
        <f t="shared" si="34"/>
        <v>0.25567759293339348</v>
      </c>
      <c r="BW76" s="144">
        <f t="shared" si="37"/>
        <v>6971</v>
      </c>
      <c r="BX76" s="144">
        <f t="shared" si="24"/>
        <v>5857.9831932773113</v>
      </c>
      <c r="BY76" s="31">
        <f t="shared" si="35"/>
        <v>1113.0168067226891</v>
      </c>
      <c r="BZ76" s="331">
        <f t="shared" si="28"/>
        <v>1742750</v>
      </c>
      <c r="CA76" s="47" t="s">
        <v>665</v>
      </c>
      <c r="CB76" s="3"/>
      <c r="CC76" s="3"/>
      <c r="CD76" s="3"/>
      <c r="CE76" s="3"/>
      <c r="CF76" s="3"/>
    </row>
    <row r="77" spans="1:84" s="145" customFormat="1" ht="52" x14ac:dyDescent="0.35">
      <c r="A77" s="170">
        <v>70</v>
      </c>
      <c r="B77" s="171" t="s">
        <v>770</v>
      </c>
      <c r="C77" s="174" t="s">
        <v>771</v>
      </c>
      <c r="D77" s="171" t="s">
        <v>661</v>
      </c>
      <c r="E77" s="183">
        <v>40</v>
      </c>
      <c r="F77" s="173"/>
      <c r="G77" s="19"/>
      <c r="H77" s="19"/>
      <c r="I77" s="19">
        <v>142000</v>
      </c>
      <c r="J77" s="19">
        <v>175000</v>
      </c>
      <c r="K77" s="19"/>
      <c r="L77" s="19">
        <v>195700</v>
      </c>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42">
        <f>MEDIAN(F77:M77)</f>
        <v>175000</v>
      </c>
      <c r="BT77" s="142">
        <f>AVERAGE(F77:M77)</f>
        <v>170900</v>
      </c>
      <c r="BU77" s="143">
        <f>STDEV(F77:M77)</f>
        <v>27083.758971014344</v>
      </c>
      <c r="BV77" s="62">
        <f t="shared" si="34"/>
        <v>0.15847723212998446</v>
      </c>
      <c r="BW77" s="144">
        <f t="shared" si="37"/>
        <v>175000</v>
      </c>
      <c r="BX77" s="144">
        <f t="shared" si="24"/>
        <v>147058.82352941178</v>
      </c>
      <c r="BY77" s="31">
        <f t="shared" si="35"/>
        <v>27941.176470588238</v>
      </c>
      <c r="BZ77" s="331">
        <f t="shared" si="28"/>
        <v>7000000</v>
      </c>
      <c r="CA77" s="47" t="s">
        <v>665</v>
      </c>
      <c r="CB77" s="3"/>
      <c r="CC77" s="3"/>
      <c r="CD77" s="3"/>
      <c r="CE77" s="3"/>
      <c r="CF77" s="3"/>
    </row>
    <row r="78" spans="1:84" s="145" customFormat="1" ht="71.25" customHeight="1" x14ac:dyDescent="0.35">
      <c r="A78" s="170">
        <v>71</v>
      </c>
      <c r="B78" s="175" t="s">
        <v>772</v>
      </c>
      <c r="C78" s="172" t="s">
        <v>773</v>
      </c>
      <c r="D78" s="171" t="s">
        <v>212</v>
      </c>
      <c r="E78" s="183">
        <f>84+13</f>
        <v>97</v>
      </c>
      <c r="F78" s="173"/>
      <c r="G78" s="19"/>
      <c r="H78" s="19"/>
      <c r="I78" s="19">
        <v>10000</v>
      </c>
      <c r="J78" s="19"/>
      <c r="K78" s="19"/>
      <c r="L78" s="19"/>
      <c r="M78" s="19">
        <v>10400</v>
      </c>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42">
        <f>MEDIAN(F78:M78)</f>
        <v>10200</v>
      </c>
      <c r="BT78" s="142">
        <f>AVERAGE(F78:M78)</f>
        <v>10200</v>
      </c>
      <c r="BU78" s="143">
        <f>STDEV(F78:M78)</f>
        <v>282.84271247461902</v>
      </c>
      <c r="BV78" s="62">
        <f t="shared" si="34"/>
        <v>2.77296776935901E-2</v>
      </c>
      <c r="BW78" s="144">
        <f t="shared" si="37"/>
        <v>10200</v>
      </c>
      <c r="BX78" s="144">
        <f t="shared" si="24"/>
        <v>8571.4285714285725</v>
      </c>
      <c r="BY78" s="31">
        <f t="shared" si="35"/>
        <v>1628.5714285714289</v>
      </c>
      <c r="BZ78" s="331">
        <f t="shared" si="28"/>
        <v>989400</v>
      </c>
      <c r="CA78" s="47" t="s">
        <v>662</v>
      </c>
      <c r="CB78" s="3"/>
      <c r="CC78" s="3"/>
      <c r="CD78" s="3"/>
      <c r="CE78" s="3"/>
      <c r="CF78" s="3"/>
    </row>
    <row r="79" spans="1:84" s="145" customFormat="1" ht="156" x14ac:dyDescent="0.35">
      <c r="A79" s="170">
        <v>72</v>
      </c>
      <c r="B79" s="175" t="s">
        <v>772</v>
      </c>
      <c r="C79" s="181" t="s">
        <v>774</v>
      </c>
      <c r="D79" s="171" t="s">
        <v>212</v>
      </c>
      <c r="E79" s="183">
        <v>38</v>
      </c>
      <c r="F79" s="173"/>
      <c r="G79" s="19"/>
      <c r="H79" s="19"/>
      <c r="I79" s="19">
        <v>27900</v>
      </c>
      <c r="J79" s="19"/>
      <c r="K79" s="19"/>
      <c r="L79" s="19"/>
      <c r="M79" s="19">
        <v>28900</v>
      </c>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42">
        <f>MEDIAN(F79:M79)</f>
        <v>28400</v>
      </c>
      <c r="BT79" s="142">
        <f>AVERAGE(F79:M79)</f>
        <v>28400</v>
      </c>
      <c r="BU79" s="143">
        <f>STDEV(F79:M79)</f>
        <v>707.10678118654755</v>
      </c>
      <c r="BV79" s="62">
        <f t="shared" si="34"/>
        <v>2.4898126098117871E-2</v>
      </c>
      <c r="BW79" s="144">
        <f t="shared" si="37"/>
        <v>28400</v>
      </c>
      <c r="BX79" s="144">
        <f t="shared" si="24"/>
        <v>23865.546218487398</v>
      </c>
      <c r="BY79" s="31">
        <f t="shared" si="35"/>
        <v>4534.4537815126059</v>
      </c>
      <c r="BZ79" s="331">
        <f t="shared" si="28"/>
        <v>1079200</v>
      </c>
      <c r="CA79" s="47" t="s">
        <v>662</v>
      </c>
      <c r="CB79" s="3"/>
      <c r="CC79" s="3"/>
      <c r="CD79" s="3"/>
      <c r="CE79" s="3"/>
      <c r="CF79" s="3"/>
    </row>
    <row r="80" spans="1:84" s="145" customFormat="1" ht="78" x14ac:dyDescent="0.35">
      <c r="A80" s="170">
        <v>73</v>
      </c>
      <c r="B80" s="171" t="s">
        <v>775</v>
      </c>
      <c r="C80" s="174" t="s">
        <v>776</v>
      </c>
      <c r="D80" s="171" t="s">
        <v>661</v>
      </c>
      <c r="E80" s="183">
        <v>204</v>
      </c>
      <c r="F80" s="173"/>
      <c r="G80" s="19"/>
      <c r="H80" s="19"/>
      <c r="I80" s="19"/>
      <c r="J80" s="19"/>
      <c r="K80" s="19"/>
      <c r="L80" s="19"/>
      <c r="M80" s="19"/>
      <c r="N80" s="19"/>
      <c r="O80" s="176">
        <v>19328</v>
      </c>
      <c r="P80" s="177">
        <f t="shared" ref="P80" si="40">((O80*5.1%)+O80)</f>
        <v>20313.727999999999</v>
      </c>
      <c r="Q80" s="176">
        <v>18500</v>
      </c>
      <c r="R80" s="176">
        <f t="shared" ref="R80" si="41">((Q80*5.1%)+Q80)</f>
        <v>19443.5</v>
      </c>
      <c r="S80" s="176">
        <v>29868</v>
      </c>
      <c r="T80" s="176">
        <f t="shared" ref="T80" si="42">((S80*5.1%)+S80)</f>
        <v>31391.268</v>
      </c>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42">
        <f>MEDIAN(F80:AB80)</f>
        <v>19878.614000000001</v>
      </c>
      <c r="BT80" s="142">
        <f>AVERAGE(F80:AB80)</f>
        <v>23140.749333333337</v>
      </c>
      <c r="BU80" s="143">
        <f>STDEV(F80:AB80)</f>
        <v>5849.1413712921239</v>
      </c>
      <c r="BV80" s="62">
        <f t="shared" si="34"/>
        <v>0.25276369779723018</v>
      </c>
      <c r="BW80" s="144">
        <f t="shared" si="37"/>
        <v>19879</v>
      </c>
      <c r="BX80" s="144">
        <f t="shared" si="24"/>
        <v>16705.042016806725</v>
      </c>
      <c r="BY80" s="31">
        <f t="shared" si="35"/>
        <v>3173.9579831932779</v>
      </c>
      <c r="BZ80" s="331">
        <f t="shared" si="28"/>
        <v>4055316</v>
      </c>
      <c r="CA80" s="47" t="s">
        <v>665</v>
      </c>
      <c r="CB80" s="3"/>
      <c r="CC80" s="3"/>
      <c r="CD80" s="3"/>
      <c r="CE80" s="3"/>
      <c r="CF80" s="3"/>
    </row>
    <row r="81" spans="1:84" s="145" customFormat="1" ht="29" x14ac:dyDescent="0.35">
      <c r="A81" s="170">
        <v>74</v>
      </c>
      <c r="B81" s="171" t="s">
        <v>777</v>
      </c>
      <c r="C81" s="172" t="s">
        <v>778</v>
      </c>
      <c r="D81" s="171" t="s">
        <v>661</v>
      </c>
      <c r="E81" s="203">
        <v>134</v>
      </c>
      <c r="F81" s="173"/>
      <c r="G81" s="19"/>
      <c r="H81" s="19"/>
      <c r="I81" s="19"/>
      <c r="J81" s="19">
        <f>[2]PAPELERIA!I84</f>
        <v>2000</v>
      </c>
      <c r="K81" s="19"/>
      <c r="L81" s="19">
        <v>1800</v>
      </c>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42">
        <f>MEDIAN(F81:M81)</f>
        <v>1900</v>
      </c>
      <c r="BT81" s="142">
        <f>AVERAGE(F81:M81)</f>
        <v>1900</v>
      </c>
      <c r="BU81" s="143">
        <f>STDEV(F81:M81)</f>
        <v>141.42135623730951</v>
      </c>
      <c r="BV81" s="62">
        <f t="shared" si="34"/>
        <v>7.4432292756478696E-2</v>
      </c>
      <c r="BW81" s="144">
        <f t="shared" si="37"/>
        <v>1900</v>
      </c>
      <c r="BX81" s="144">
        <f t="shared" si="24"/>
        <v>1596.6386554621849</v>
      </c>
      <c r="BY81" s="31">
        <f t="shared" si="35"/>
        <v>303.36134453781517</v>
      </c>
      <c r="BZ81" s="331">
        <f t="shared" si="28"/>
        <v>254600</v>
      </c>
      <c r="CA81" s="47" t="s">
        <v>662</v>
      </c>
      <c r="CB81" s="3"/>
      <c r="CC81" s="3"/>
      <c r="CD81" s="3"/>
      <c r="CE81" s="3"/>
      <c r="CF81" s="3"/>
    </row>
    <row r="82" spans="1:84" s="145" customFormat="1" ht="29" x14ac:dyDescent="0.35">
      <c r="A82" s="170">
        <v>75</v>
      </c>
      <c r="B82" s="171" t="s">
        <v>777</v>
      </c>
      <c r="C82" s="174" t="s">
        <v>779</v>
      </c>
      <c r="D82" s="171" t="s">
        <v>661</v>
      </c>
      <c r="E82" s="183">
        <v>131</v>
      </c>
      <c r="F82" s="173">
        <v>5800</v>
      </c>
      <c r="G82" s="19"/>
      <c r="H82" s="19"/>
      <c r="I82" s="19"/>
      <c r="J82" s="19"/>
      <c r="K82" s="19"/>
      <c r="L82" s="19"/>
      <c r="M82" s="19"/>
      <c r="N82" s="19"/>
      <c r="O82" s="19"/>
      <c r="P82" s="19"/>
      <c r="Q82" s="176">
        <v>4250</v>
      </c>
      <c r="R82" s="176">
        <f t="shared" ref="R82" si="43">((Q82*5.1%)+Q82)</f>
        <v>4466.75</v>
      </c>
      <c r="S82" s="176">
        <v>4043</v>
      </c>
      <c r="T82" s="176">
        <f t="shared" ref="T82" si="44">((S82*5.1%)+S82)</f>
        <v>4249.1930000000002</v>
      </c>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42">
        <f>MEDIAN(F82:AB82)</f>
        <v>4250</v>
      </c>
      <c r="BT82" s="142">
        <f>AVERAGE(F82:AB82)</f>
        <v>4561.7885999999999</v>
      </c>
      <c r="BU82" s="143">
        <f>STDEV(F82:AB82)</f>
        <v>708.21422576421287</v>
      </c>
      <c r="BV82" s="62">
        <f t="shared" si="34"/>
        <v>0.15524924275627611</v>
      </c>
      <c r="BW82" s="144">
        <f t="shared" si="37"/>
        <v>4250</v>
      </c>
      <c r="BX82" s="144">
        <f t="shared" si="24"/>
        <v>3571.4285714285716</v>
      </c>
      <c r="BY82" s="31">
        <f t="shared" si="35"/>
        <v>678.57142857142856</v>
      </c>
      <c r="BZ82" s="331">
        <f t="shared" si="28"/>
        <v>556750</v>
      </c>
      <c r="CA82" s="47" t="s">
        <v>665</v>
      </c>
      <c r="CB82" s="3"/>
      <c r="CC82" s="3"/>
      <c r="CD82" s="3"/>
      <c r="CE82" s="3"/>
      <c r="CF82" s="3"/>
    </row>
    <row r="83" spans="1:84" s="145" customFormat="1" ht="104" x14ac:dyDescent="0.35">
      <c r="A83" s="170">
        <v>76</v>
      </c>
      <c r="B83" s="171" t="s">
        <v>780</v>
      </c>
      <c r="C83" s="172" t="s">
        <v>781</v>
      </c>
      <c r="D83" s="171" t="s">
        <v>212</v>
      </c>
      <c r="E83" s="183">
        <v>190</v>
      </c>
      <c r="F83" s="173"/>
      <c r="G83" s="19"/>
      <c r="H83" s="19"/>
      <c r="I83" s="19">
        <v>18300</v>
      </c>
      <c r="J83" s="19">
        <f>[2]PAPELERIA!I86</f>
        <v>18000</v>
      </c>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42">
        <f t="shared" ref="BS83:BS90" si="45">MEDIAN(F83:M83)</f>
        <v>18150</v>
      </c>
      <c r="BT83" s="142">
        <f t="shared" ref="BT83:BT90" si="46">AVERAGE(F83:M83)</f>
        <v>18150</v>
      </c>
      <c r="BU83" s="143">
        <f t="shared" ref="BU83:BU90" si="47">STDEV(F83:M83)</f>
        <v>212.13203435596427</v>
      </c>
      <c r="BV83" s="62">
        <f t="shared" si="34"/>
        <v>1.1687715391513183E-2</v>
      </c>
      <c r="BW83" s="144">
        <f t="shared" si="37"/>
        <v>18150</v>
      </c>
      <c r="BX83" s="144">
        <f t="shared" si="24"/>
        <v>15252.100840336136</v>
      </c>
      <c r="BY83" s="31">
        <f t="shared" si="35"/>
        <v>2897.8991596638657</v>
      </c>
      <c r="BZ83" s="331">
        <f t="shared" si="28"/>
        <v>3448500</v>
      </c>
      <c r="CA83" s="47" t="s">
        <v>662</v>
      </c>
      <c r="CB83" s="3"/>
      <c r="CC83" s="3"/>
      <c r="CD83" s="3"/>
      <c r="CE83" s="3"/>
      <c r="CF83" s="3"/>
    </row>
    <row r="84" spans="1:84" s="145" customFormat="1" ht="29" x14ac:dyDescent="0.35">
      <c r="A84" s="170">
        <v>77</v>
      </c>
      <c r="B84" s="171" t="s">
        <v>782</v>
      </c>
      <c r="C84" s="172" t="s">
        <v>783</v>
      </c>
      <c r="D84" s="171" t="s">
        <v>872</v>
      </c>
      <c r="E84" s="183">
        <v>330</v>
      </c>
      <c r="F84" s="173"/>
      <c r="G84" s="19"/>
      <c r="H84" s="19"/>
      <c r="I84" s="19"/>
      <c r="J84" s="19">
        <v>1900</v>
      </c>
      <c r="K84" s="19"/>
      <c r="L84" s="19">
        <v>1590</v>
      </c>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42">
        <f t="shared" si="45"/>
        <v>1745</v>
      </c>
      <c r="BT84" s="142">
        <f t="shared" si="46"/>
        <v>1745</v>
      </c>
      <c r="BU84" s="143">
        <f t="shared" si="47"/>
        <v>219.20310216782974</v>
      </c>
      <c r="BV84" s="62">
        <f t="shared" si="34"/>
        <v>0.12561782359187951</v>
      </c>
      <c r="BW84" s="144">
        <f t="shared" si="37"/>
        <v>1745</v>
      </c>
      <c r="BX84" s="144">
        <f t="shared" si="24"/>
        <v>1466.3865546218487</v>
      </c>
      <c r="BY84" s="31">
        <f t="shared" si="35"/>
        <v>278.61344537815125</v>
      </c>
      <c r="BZ84" s="331">
        <f t="shared" si="28"/>
        <v>575850</v>
      </c>
      <c r="CA84" s="47" t="s">
        <v>662</v>
      </c>
      <c r="CB84" s="3"/>
      <c r="CC84" s="3"/>
      <c r="CD84" s="3"/>
      <c r="CE84" s="3"/>
      <c r="CF84" s="3"/>
    </row>
    <row r="85" spans="1:84" s="145" customFormat="1" ht="29" x14ac:dyDescent="0.35">
      <c r="A85" s="170">
        <v>78</v>
      </c>
      <c r="B85" s="171" t="s">
        <v>784</v>
      </c>
      <c r="C85" s="174" t="s">
        <v>785</v>
      </c>
      <c r="D85" s="171" t="s">
        <v>786</v>
      </c>
      <c r="E85" s="183">
        <v>210</v>
      </c>
      <c r="F85" s="173"/>
      <c r="G85" s="19"/>
      <c r="H85" s="19"/>
      <c r="I85" s="19"/>
      <c r="J85" s="19">
        <f>[2]PAPELERIA!I88</f>
        <v>18000</v>
      </c>
      <c r="K85" s="19"/>
      <c r="L85" s="19">
        <v>13420</v>
      </c>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42">
        <f t="shared" si="45"/>
        <v>15710</v>
      </c>
      <c r="BT85" s="142">
        <f t="shared" si="46"/>
        <v>15710</v>
      </c>
      <c r="BU85" s="143">
        <f t="shared" si="47"/>
        <v>3238.5490578343874</v>
      </c>
      <c r="BV85" s="62">
        <f t="shared" si="34"/>
        <v>0.20614570705502147</v>
      </c>
      <c r="BW85" s="144">
        <f t="shared" si="37"/>
        <v>15710</v>
      </c>
      <c r="BX85" s="144">
        <f t="shared" ref="BX85:BX116" si="48">+BW85/1.19</f>
        <v>13201.680672268909</v>
      </c>
      <c r="BY85" s="31">
        <f t="shared" si="35"/>
        <v>2508.3193277310929</v>
      </c>
      <c r="BZ85" s="331">
        <f t="shared" si="28"/>
        <v>3299100</v>
      </c>
      <c r="CA85" s="47" t="s">
        <v>665</v>
      </c>
      <c r="CB85" s="3"/>
      <c r="CC85" s="3"/>
      <c r="CD85" s="3"/>
      <c r="CE85" s="3"/>
      <c r="CF85" s="3"/>
    </row>
    <row r="86" spans="1:84" s="145" customFormat="1" ht="29" x14ac:dyDescent="0.35">
      <c r="A86" s="170">
        <v>79</v>
      </c>
      <c r="B86" s="171" t="s">
        <v>784</v>
      </c>
      <c r="C86" s="174" t="s">
        <v>787</v>
      </c>
      <c r="D86" s="171" t="s">
        <v>661</v>
      </c>
      <c r="E86" s="183">
        <v>265</v>
      </c>
      <c r="F86" s="173"/>
      <c r="G86" s="19"/>
      <c r="H86" s="19"/>
      <c r="I86" s="19"/>
      <c r="J86" s="19">
        <v>7800</v>
      </c>
      <c r="K86" s="19"/>
      <c r="L86" s="19">
        <v>6000</v>
      </c>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42">
        <f t="shared" si="45"/>
        <v>6900</v>
      </c>
      <c r="BT86" s="142">
        <f t="shared" si="46"/>
        <v>6900</v>
      </c>
      <c r="BU86" s="143">
        <f t="shared" si="47"/>
        <v>1272.7922061357856</v>
      </c>
      <c r="BV86" s="62">
        <f t="shared" si="34"/>
        <v>0.18446263857040371</v>
      </c>
      <c r="BW86" s="144">
        <f t="shared" si="37"/>
        <v>6900</v>
      </c>
      <c r="BX86" s="144">
        <f t="shared" si="48"/>
        <v>5798.3193277310929</v>
      </c>
      <c r="BY86" s="31">
        <f t="shared" si="35"/>
        <v>1101.6806722689078</v>
      </c>
      <c r="BZ86" s="331">
        <f t="shared" ref="BZ86:BZ108" si="49">+BW86*E86</f>
        <v>1828500</v>
      </c>
      <c r="CA86" s="47" t="s">
        <v>665</v>
      </c>
      <c r="CB86" s="3"/>
      <c r="CC86" s="3"/>
      <c r="CD86" s="3"/>
      <c r="CE86" s="3"/>
      <c r="CF86" s="3"/>
    </row>
    <row r="87" spans="1:84" s="145" customFormat="1" ht="29" x14ac:dyDescent="0.35">
      <c r="A87" s="170">
        <v>80</v>
      </c>
      <c r="B87" s="171" t="s">
        <v>788</v>
      </c>
      <c r="C87" s="172" t="s">
        <v>789</v>
      </c>
      <c r="D87" s="171" t="s">
        <v>212</v>
      </c>
      <c r="E87" s="183">
        <v>23</v>
      </c>
      <c r="F87" s="173"/>
      <c r="G87" s="19"/>
      <c r="H87" s="19"/>
      <c r="I87" s="19"/>
      <c r="J87" s="19">
        <f>[2]PAPELERIA!I90</f>
        <v>9800</v>
      </c>
      <c r="K87" s="19"/>
      <c r="L87" s="19">
        <v>10640</v>
      </c>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42">
        <f t="shared" si="45"/>
        <v>10220</v>
      </c>
      <c r="BT87" s="142">
        <f t="shared" si="46"/>
        <v>10220</v>
      </c>
      <c r="BU87" s="143">
        <f t="shared" si="47"/>
        <v>593.96969619669994</v>
      </c>
      <c r="BV87" s="62">
        <f t="shared" si="34"/>
        <v>5.8118365576976513E-2</v>
      </c>
      <c r="BW87" s="144">
        <f t="shared" si="37"/>
        <v>10220</v>
      </c>
      <c r="BX87" s="144">
        <f t="shared" si="48"/>
        <v>8588.2352941176468</v>
      </c>
      <c r="BY87" s="31">
        <f t="shared" si="35"/>
        <v>1631.7647058823529</v>
      </c>
      <c r="BZ87" s="331">
        <f t="shared" si="49"/>
        <v>235060</v>
      </c>
      <c r="CA87" s="47" t="s">
        <v>662</v>
      </c>
      <c r="CB87" s="3"/>
      <c r="CC87" s="3"/>
      <c r="CD87" s="3"/>
      <c r="CE87" s="3"/>
      <c r="CF87" s="3"/>
    </row>
    <row r="88" spans="1:84" s="145" customFormat="1" ht="29" x14ac:dyDescent="0.35">
      <c r="A88" s="170">
        <v>81</v>
      </c>
      <c r="B88" s="171" t="s">
        <v>790</v>
      </c>
      <c r="C88" s="172" t="s">
        <v>791</v>
      </c>
      <c r="D88" s="171" t="s">
        <v>350</v>
      </c>
      <c r="E88" s="183">
        <v>280</v>
      </c>
      <c r="F88" s="173"/>
      <c r="G88" s="19"/>
      <c r="H88" s="19"/>
      <c r="I88" s="19"/>
      <c r="J88" s="19">
        <v>19800</v>
      </c>
      <c r="K88" s="19"/>
      <c r="L88" s="19">
        <v>18300</v>
      </c>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c r="BN88" s="19"/>
      <c r="BO88" s="19"/>
      <c r="BP88" s="19"/>
      <c r="BQ88" s="19"/>
      <c r="BR88" s="19"/>
      <c r="BS88" s="142">
        <f t="shared" si="45"/>
        <v>19050</v>
      </c>
      <c r="BT88" s="142">
        <f t="shared" si="46"/>
        <v>19050</v>
      </c>
      <c r="BU88" s="143">
        <f t="shared" si="47"/>
        <v>1060.6601717798212</v>
      </c>
      <c r="BV88" s="62">
        <f t="shared" si="34"/>
        <v>5.567769930602736E-2</v>
      </c>
      <c r="BW88" s="144">
        <f t="shared" si="37"/>
        <v>19050</v>
      </c>
      <c r="BX88" s="144">
        <f t="shared" si="48"/>
        <v>16008.403361344539</v>
      </c>
      <c r="BY88" s="31">
        <f t="shared" si="35"/>
        <v>3041.5966386554624</v>
      </c>
      <c r="BZ88" s="331">
        <f t="shared" si="49"/>
        <v>5334000</v>
      </c>
      <c r="CA88" s="47" t="s">
        <v>662</v>
      </c>
      <c r="CB88" s="3"/>
      <c r="CC88" s="3"/>
      <c r="CD88" s="3"/>
      <c r="CE88" s="3"/>
      <c r="CF88" s="3"/>
    </row>
    <row r="89" spans="1:84" s="145" customFormat="1" ht="39" x14ac:dyDescent="0.35">
      <c r="A89" s="170">
        <v>82</v>
      </c>
      <c r="B89" s="171" t="s">
        <v>792</v>
      </c>
      <c r="C89" s="172" t="s">
        <v>793</v>
      </c>
      <c r="D89" s="171" t="s">
        <v>661</v>
      </c>
      <c r="E89" s="183">
        <v>397</v>
      </c>
      <c r="F89" s="173"/>
      <c r="G89" s="19"/>
      <c r="H89" s="19"/>
      <c r="I89" s="19"/>
      <c r="J89" s="19">
        <f>[2]PAPELERIA!I92</f>
        <v>5800</v>
      </c>
      <c r="K89" s="19"/>
      <c r="L89" s="19">
        <v>5050</v>
      </c>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42">
        <f t="shared" si="45"/>
        <v>5425</v>
      </c>
      <c r="BT89" s="142">
        <f t="shared" si="46"/>
        <v>5425</v>
      </c>
      <c r="BU89" s="143">
        <f t="shared" si="47"/>
        <v>530.33008588991061</v>
      </c>
      <c r="BV89" s="62">
        <f t="shared" si="34"/>
        <v>9.7756697859891356E-2</v>
      </c>
      <c r="BW89" s="144">
        <f t="shared" si="37"/>
        <v>5425</v>
      </c>
      <c r="BX89" s="144">
        <f t="shared" si="48"/>
        <v>4558.8235294117649</v>
      </c>
      <c r="BY89" s="31">
        <f t="shared" si="35"/>
        <v>866.17647058823536</v>
      </c>
      <c r="BZ89" s="331">
        <f t="shared" si="49"/>
        <v>2153725</v>
      </c>
      <c r="CA89" s="47" t="s">
        <v>662</v>
      </c>
      <c r="CB89" s="3"/>
      <c r="CC89" s="3"/>
      <c r="CD89" s="3"/>
      <c r="CE89" s="3"/>
      <c r="CF89" s="3"/>
    </row>
    <row r="90" spans="1:84" s="145" customFormat="1" ht="29" x14ac:dyDescent="0.35">
      <c r="A90" s="170">
        <v>83</v>
      </c>
      <c r="B90" s="171" t="s">
        <v>794</v>
      </c>
      <c r="C90" s="172" t="s">
        <v>795</v>
      </c>
      <c r="D90" s="171" t="s">
        <v>682</v>
      </c>
      <c r="E90" s="183">
        <v>26</v>
      </c>
      <c r="F90" s="173"/>
      <c r="G90" s="19"/>
      <c r="H90" s="19"/>
      <c r="I90" s="19">
        <v>16900</v>
      </c>
      <c r="J90" s="19"/>
      <c r="K90" s="19"/>
      <c r="L90" s="19">
        <v>16720</v>
      </c>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c r="BN90" s="19"/>
      <c r="BO90" s="19"/>
      <c r="BP90" s="19"/>
      <c r="BQ90" s="19"/>
      <c r="BR90" s="19"/>
      <c r="BS90" s="142">
        <f t="shared" si="45"/>
        <v>16810</v>
      </c>
      <c r="BT90" s="142">
        <f t="shared" si="46"/>
        <v>16810</v>
      </c>
      <c r="BU90" s="143">
        <f t="shared" si="47"/>
        <v>127.27922061357856</v>
      </c>
      <c r="BV90" s="62">
        <f t="shared" si="34"/>
        <v>7.5716371572622579E-3</v>
      </c>
      <c r="BW90" s="144">
        <f t="shared" si="37"/>
        <v>16810</v>
      </c>
      <c r="BX90" s="144">
        <f t="shared" si="48"/>
        <v>14126.050420168069</v>
      </c>
      <c r="BY90" s="31">
        <f t="shared" si="35"/>
        <v>2683.9495798319331</v>
      </c>
      <c r="BZ90" s="331">
        <f t="shared" si="49"/>
        <v>437060</v>
      </c>
      <c r="CA90" s="47" t="s">
        <v>662</v>
      </c>
      <c r="CB90" s="3"/>
      <c r="CC90" s="3"/>
      <c r="CD90" s="3"/>
      <c r="CE90" s="3"/>
      <c r="CF90" s="3"/>
    </row>
    <row r="91" spans="1:84" s="145" customFormat="1" ht="117" x14ac:dyDescent="0.35">
      <c r="A91" s="170">
        <v>84</v>
      </c>
      <c r="B91" s="171" t="s">
        <v>796</v>
      </c>
      <c r="C91" s="174" t="s">
        <v>797</v>
      </c>
      <c r="D91" s="171" t="s">
        <v>661</v>
      </c>
      <c r="E91" s="183">
        <v>15</v>
      </c>
      <c r="F91" s="173"/>
      <c r="G91" s="19"/>
      <c r="H91" s="19"/>
      <c r="I91" s="19"/>
      <c r="J91" s="19"/>
      <c r="K91" s="19"/>
      <c r="L91" s="19">
        <v>46800</v>
      </c>
      <c r="M91" s="19"/>
      <c r="N91" s="19"/>
      <c r="O91" s="19"/>
      <c r="P91" s="19"/>
      <c r="Q91" s="19"/>
      <c r="R91" s="19"/>
      <c r="S91" s="19"/>
      <c r="T91" s="19"/>
      <c r="U91" s="19"/>
      <c r="V91" s="19"/>
      <c r="W91" s="19"/>
      <c r="X91" s="19"/>
      <c r="Y91" s="19"/>
      <c r="Z91" s="19"/>
      <c r="AA91" s="19"/>
      <c r="AB91" s="19"/>
      <c r="AC91" s="19"/>
      <c r="AD91" s="19"/>
      <c r="AE91" s="19">
        <v>49900</v>
      </c>
      <c r="AF91" s="19">
        <f>+AE91/1.19</f>
        <v>41932.773109243702</v>
      </c>
      <c r="AG91" s="19">
        <f>+(AF91*36%)+AF91</f>
        <v>57028.571428571435</v>
      </c>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42">
        <f>MEDIAN(L91,AG91)</f>
        <v>51914.285714285717</v>
      </c>
      <c r="BT91" s="142">
        <f>AVERAGE(L91,AG91)</f>
        <v>51914.285714285717</v>
      </c>
      <c r="BU91" s="143">
        <f>STDEV(L91,AG91)</f>
        <v>7232.6922189938332</v>
      </c>
      <c r="BV91" s="62">
        <f t="shared" si="34"/>
        <v>0.13931988313967206</v>
      </c>
      <c r="BW91" s="144">
        <f t="shared" si="37"/>
        <v>51915</v>
      </c>
      <c r="BX91" s="144">
        <f t="shared" si="48"/>
        <v>43626.050420168067</v>
      </c>
      <c r="BY91" s="31">
        <f t="shared" si="35"/>
        <v>8288.9495798319331</v>
      </c>
      <c r="BZ91" s="331">
        <f t="shared" si="49"/>
        <v>778725</v>
      </c>
      <c r="CA91" s="47" t="s">
        <v>665</v>
      </c>
      <c r="CB91" s="3"/>
      <c r="CC91" s="3"/>
      <c r="CD91" s="3"/>
      <c r="CE91" s="3"/>
      <c r="CF91" s="3"/>
    </row>
    <row r="92" spans="1:84" customFormat="1" ht="29" x14ac:dyDescent="0.35">
      <c r="A92" s="170">
        <v>85</v>
      </c>
      <c r="B92" s="175" t="s">
        <v>798</v>
      </c>
      <c r="C92" s="182" t="s">
        <v>799</v>
      </c>
      <c r="D92" s="175" t="s">
        <v>661</v>
      </c>
      <c r="E92" s="183">
        <v>8</v>
      </c>
      <c r="F92" s="184"/>
      <c r="G92" s="18"/>
      <c r="H92" s="18"/>
      <c r="I92" s="18">
        <v>129900</v>
      </c>
      <c r="J92" s="18"/>
      <c r="K92" s="18"/>
      <c r="L92" s="18"/>
      <c r="M92" s="18"/>
      <c r="N92" s="18"/>
      <c r="O92" s="18"/>
      <c r="P92" s="18"/>
      <c r="Q92" s="18"/>
      <c r="R92" s="18"/>
      <c r="S92" s="18"/>
      <c r="T92" s="18"/>
      <c r="U92" s="18"/>
      <c r="V92" s="18"/>
      <c r="W92" s="18"/>
      <c r="X92" s="18"/>
      <c r="Y92" s="18">
        <v>104000</v>
      </c>
      <c r="Z92" s="19">
        <f>+Y92/1.19</f>
        <v>87394.957983193279</v>
      </c>
      <c r="AA92" s="19">
        <f>+(Z92*36%)+Z92</f>
        <v>118857.14285714286</v>
      </c>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5">
        <f>MEDIAN(I92,AA92)</f>
        <v>124378.57142857142</v>
      </c>
      <c r="BT92" s="185">
        <f>AVERAGE(I92,AA92)</f>
        <v>124378.57142857142</v>
      </c>
      <c r="BU92" s="186">
        <f>STDEV(I92,AA92)</f>
        <v>7808.4791693885909</v>
      </c>
      <c r="BV92" s="187">
        <f t="shared" si="34"/>
        <v>6.2779939339252439E-2</v>
      </c>
      <c r="BW92" s="188">
        <f>ROUNDUP(IF(BV92&lt;15%,BT92,BS92),0)</f>
        <v>124379</v>
      </c>
      <c r="BX92" s="188">
        <f t="shared" si="48"/>
        <v>104520.1680672269</v>
      </c>
      <c r="BY92" s="189">
        <f t="shared" si="35"/>
        <v>19858.831932773111</v>
      </c>
      <c r="BZ92" s="331">
        <f t="shared" si="49"/>
        <v>995032</v>
      </c>
      <c r="CA92" s="47" t="s">
        <v>665</v>
      </c>
      <c r="CB92" s="1"/>
      <c r="CC92" s="1"/>
      <c r="CD92" s="1"/>
      <c r="CE92" s="1"/>
      <c r="CF92" s="1"/>
    </row>
    <row r="93" spans="1:84" s="145" customFormat="1" ht="78" x14ac:dyDescent="0.35">
      <c r="A93" s="170">
        <v>86</v>
      </c>
      <c r="B93" s="171" t="s">
        <v>800</v>
      </c>
      <c r="C93" s="174" t="s">
        <v>801</v>
      </c>
      <c r="D93" s="171" t="s">
        <v>661</v>
      </c>
      <c r="E93" s="201">
        <v>9</v>
      </c>
      <c r="F93" s="173"/>
      <c r="G93" s="19"/>
      <c r="H93" s="19"/>
      <c r="I93" s="19">
        <v>129900</v>
      </c>
      <c r="J93" s="19"/>
      <c r="K93" s="19"/>
      <c r="L93" s="19">
        <v>143100</v>
      </c>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42">
        <f>MEDIAN(F93:M93)</f>
        <v>136500</v>
      </c>
      <c r="BT93" s="142">
        <f>AVERAGE(F93:M93)</f>
        <v>136500</v>
      </c>
      <c r="BU93" s="143">
        <f>STDEV(F93:M93)</f>
        <v>9333.8095116624281</v>
      </c>
      <c r="BV93" s="62">
        <f t="shared" si="34"/>
        <v>6.8379556861995816E-2</v>
      </c>
      <c r="BW93" s="144">
        <f t="shared" si="37"/>
        <v>136500</v>
      </c>
      <c r="BX93" s="144">
        <f t="shared" si="48"/>
        <v>114705.88235294117</v>
      </c>
      <c r="BY93" s="31">
        <f t="shared" si="35"/>
        <v>21794.117647058825</v>
      </c>
      <c r="BZ93" s="331">
        <f t="shared" si="49"/>
        <v>1228500</v>
      </c>
      <c r="CA93" s="47" t="s">
        <v>662</v>
      </c>
      <c r="CB93" s="3"/>
      <c r="CC93" s="3"/>
      <c r="CD93" s="3"/>
      <c r="CE93" s="3"/>
      <c r="CF93" s="3"/>
    </row>
    <row r="94" spans="1:84" s="145" customFormat="1" ht="39" x14ac:dyDescent="0.35">
      <c r="A94" s="170">
        <v>87</v>
      </c>
      <c r="B94" s="171" t="s">
        <v>800</v>
      </c>
      <c r="C94" s="172" t="s">
        <v>802</v>
      </c>
      <c r="D94" s="171" t="s">
        <v>661</v>
      </c>
      <c r="E94" s="183">
        <v>1</v>
      </c>
      <c r="F94" s="173"/>
      <c r="G94" s="19"/>
      <c r="H94" s="19"/>
      <c r="I94" s="19">
        <v>101500</v>
      </c>
      <c r="J94" s="19">
        <f>[2]PAPELERIA!I97</f>
        <v>98000</v>
      </c>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142">
        <f>MEDIAN(F94:M94)</f>
        <v>99750</v>
      </c>
      <c r="BT94" s="142">
        <f>AVERAGE(F94:M94)</f>
        <v>99750</v>
      </c>
      <c r="BU94" s="143">
        <f>STDEV(F94:M94)</f>
        <v>2474.8737341529163</v>
      </c>
      <c r="BV94" s="62">
        <f t="shared" si="34"/>
        <v>2.4810764252159563E-2</v>
      </c>
      <c r="BW94" s="144">
        <f t="shared" si="37"/>
        <v>99750</v>
      </c>
      <c r="BX94" s="144">
        <f t="shared" si="48"/>
        <v>83823.529411764714</v>
      </c>
      <c r="BY94" s="31">
        <f t="shared" si="35"/>
        <v>15926.470588235296</v>
      </c>
      <c r="BZ94" s="331">
        <f t="shared" si="49"/>
        <v>99750</v>
      </c>
      <c r="CA94" s="47" t="s">
        <v>662</v>
      </c>
      <c r="CB94" s="3"/>
      <c r="CC94" s="3"/>
      <c r="CD94" s="3"/>
      <c r="CE94" s="3"/>
      <c r="CF94" s="3"/>
    </row>
    <row r="95" spans="1:84" s="145" customFormat="1" ht="29" x14ac:dyDescent="0.35">
      <c r="A95" s="170">
        <v>88</v>
      </c>
      <c r="B95" s="171" t="s">
        <v>308</v>
      </c>
      <c r="C95" s="172" t="s">
        <v>803</v>
      </c>
      <c r="D95" s="171" t="s">
        <v>661</v>
      </c>
      <c r="E95" s="183">
        <v>250</v>
      </c>
      <c r="F95" s="173"/>
      <c r="G95" s="19"/>
      <c r="H95" s="19"/>
      <c r="I95" s="19"/>
      <c r="J95" s="19"/>
      <c r="K95" s="19"/>
      <c r="L95" s="19"/>
      <c r="M95" s="19"/>
      <c r="N95" s="18"/>
      <c r="O95" s="19"/>
      <c r="P95" s="19"/>
      <c r="Q95" s="176">
        <v>239</v>
      </c>
      <c r="R95" s="176">
        <f>((Q95*5.1%)+Q95)</f>
        <v>251.18899999999999</v>
      </c>
      <c r="S95" s="176">
        <v>270</v>
      </c>
      <c r="T95" s="176">
        <f t="shared" ref="T95" si="50">((S95*5.1%)+S95)</f>
        <v>283.77</v>
      </c>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142">
        <f>MEDIAN(R95,T95)</f>
        <v>267.47949999999997</v>
      </c>
      <c r="BT95" s="142">
        <f>AVERAGE(R95,T95)</f>
        <v>267.47949999999997</v>
      </c>
      <c r="BU95" s="143">
        <f>STDEV(R95,T95)</f>
        <v>23.038246037838899</v>
      </c>
      <c r="BV95" s="62">
        <f t="shared" si="34"/>
        <v>8.6130884938243502E-2</v>
      </c>
      <c r="BW95" s="144">
        <f t="shared" si="37"/>
        <v>268</v>
      </c>
      <c r="BX95" s="144">
        <f t="shared" si="48"/>
        <v>225.21008403361347</v>
      </c>
      <c r="BY95" s="31">
        <f t="shared" si="35"/>
        <v>42.789915966386559</v>
      </c>
      <c r="BZ95" s="331">
        <f t="shared" si="49"/>
        <v>67000</v>
      </c>
      <c r="CA95" s="47" t="s">
        <v>662</v>
      </c>
      <c r="CB95" s="3"/>
      <c r="CC95" s="3"/>
      <c r="CD95" s="3"/>
      <c r="CE95" s="3"/>
      <c r="CF95" s="3"/>
    </row>
    <row r="96" spans="1:84" s="145" customFormat="1" ht="29" x14ac:dyDescent="0.35">
      <c r="A96" s="170">
        <v>89</v>
      </c>
      <c r="B96" s="171" t="s">
        <v>804</v>
      </c>
      <c r="C96" s="172" t="s">
        <v>805</v>
      </c>
      <c r="D96" s="171" t="s">
        <v>212</v>
      </c>
      <c r="E96" s="183">
        <v>170</v>
      </c>
      <c r="F96" s="173"/>
      <c r="G96" s="19"/>
      <c r="H96" s="19"/>
      <c r="I96" s="19"/>
      <c r="J96" s="19">
        <f>[2]PAPELERIA!I99</f>
        <v>6000</v>
      </c>
      <c r="K96" s="19"/>
      <c r="L96" s="19">
        <v>7380</v>
      </c>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142">
        <f>MEDIAN(F96:M96)</f>
        <v>6690</v>
      </c>
      <c r="BT96" s="142">
        <f>AVERAGE(F96:M96)</f>
        <v>6690</v>
      </c>
      <c r="BU96" s="143">
        <f>STDEV(F96:M96)</f>
        <v>975.80735803743562</v>
      </c>
      <c r="BV96" s="62">
        <f t="shared" si="34"/>
        <v>0.14586059163489321</v>
      </c>
      <c r="BW96" s="144">
        <f t="shared" si="37"/>
        <v>6690</v>
      </c>
      <c r="BX96" s="144">
        <f t="shared" si="48"/>
        <v>5621.8487394957983</v>
      </c>
      <c r="BY96" s="31">
        <f t="shared" si="35"/>
        <v>1068.1512605042017</v>
      </c>
      <c r="BZ96" s="331">
        <f t="shared" si="49"/>
        <v>1137300</v>
      </c>
      <c r="CA96" s="47" t="s">
        <v>662</v>
      </c>
      <c r="CB96" s="3"/>
      <c r="CC96" s="3"/>
      <c r="CD96" s="3"/>
      <c r="CE96" s="3"/>
      <c r="CF96" s="3"/>
    </row>
    <row r="97" spans="1:84" s="145" customFormat="1" ht="29" x14ac:dyDescent="0.35">
      <c r="A97" s="170">
        <v>90</v>
      </c>
      <c r="B97" s="171" t="s">
        <v>401</v>
      </c>
      <c r="C97" s="172" t="s">
        <v>806</v>
      </c>
      <c r="D97" s="171" t="s">
        <v>661</v>
      </c>
      <c r="E97" s="183">
        <v>369</v>
      </c>
      <c r="F97" s="173"/>
      <c r="G97" s="19"/>
      <c r="H97" s="19"/>
      <c r="I97" s="19">
        <v>10900</v>
      </c>
      <c r="J97" s="19"/>
      <c r="K97" s="19"/>
      <c r="L97" s="19">
        <v>12600</v>
      </c>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142">
        <f>MEDIAN(F97:M97)</f>
        <v>11750</v>
      </c>
      <c r="BT97" s="142">
        <f>AVERAGE(F97:M97)</f>
        <v>11750</v>
      </c>
      <c r="BU97" s="143">
        <f>STDEV(F97:M97)</f>
        <v>1202.0815280171307</v>
      </c>
      <c r="BV97" s="62">
        <f t="shared" si="34"/>
        <v>0.10230481089507495</v>
      </c>
      <c r="BW97" s="144">
        <f t="shared" si="37"/>
        <v>11750</v>
      </c>
      <c r="BX97" s="144">
        <f t="shared" si="48"/>
        <v>9873.9495798319331</v>
      </c>
      <c r="BY97" s="31">
        <f t="shared" si="35"/>
        <v>1876.0504201680674</v>
      </c>
      <c r="BZ97" s="331">
        <f t="shared" si="49"/>
        <v>4335750</v>
      </c>
      <c r="CA97" s="47" t="s">
        <v>662</v>
      </c>
      <c r="CB97" s="3"/>
      <c r="CC97" s="3"/>
      <c r="CD97" s="3"/>
      <c r="CE97" s="3"/>
      <c r="CF97" s="3"/>
    </row>
    <row r="98" spans="1:84" s="145" customFormat="1" ht="65" x14ac:dyDescent="0.35">
      <c r="A98" s="170">
        <v>91</v>
      </c>
      <c r="B98" s="171" t="s">
        <v>807</v>
      </c>
      <c r="C98" s="172" t="s">
        <v>808</v>
      </c>
      <c r="D98" s="171" t="s">
        <v>661</v>
      </c>
      <c r="E98" s="183">
        <v>200</v>
      </c>
      <c r="F98" s="173"/>
      <c r="G98" s="19"/>
      <c r="H98" s="19"/>
      <c r="I98" s="19"/>
      <c r="J98" s="19"/>
      <c r="K98" s="19"/>
      <c r="L98" s="19">
        <v>2450</v>
      </c>
      <c r="M98" s="19"/>
      <c r="N98" s="19"/>
      <c r="O98" s="19"/>
      <c r="P98" s="19"/>
      <c r="Q98" s="19"/>
      <c r="R98" s="19"/>
      <c r="S98" s="19"/>
      <c r="T98" s="19"/>
      <c r="U98" s="19"/>
      <c r="V98" s="19"/>
      <c r="W98" s="19"/>
      <c r="X98" s="19"/>
      <c r="Y98" s="19"/>
      <c r="Z98" s="19"/>
      <c r="AA98" s="19"/>
      <c r="AB98" s="19"/>
      <c r="AC98" s="19"/>
      <c r="AD98" s="19"/>
      <c r="AE98" s="19"/>
      <c r="AF98" s="19"/>
      <c r="AG98" s="19"/>
      <c r="AH98" s="19">
        <f>+(2900*15%)+2900</f>
        <v>3335</v>
      </c>
      <c r="AI98" s="19">
        <f>+AH98/1.19</f>
        <v>2802.5210084033615</v>
      </c>
      <c r="AJ98" s="19">
        <f>+(AI98*36%)+AI98</f>
        <v>3811.4285714285716</v>
      </c>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142">
        <f>MEDIAN(L98,AJ98)</f>
        <v>3130.7142857142858</v>
      </c>
      <c r="BT98" s="142">
        <f>AVERAGE(L98,AJ98)</f>
        <v>3130.7142857142858</v>
      </c>
      <c r="BU98" s="143">
        <f>STDEV(L98,AJ98)</f>
        <v>962.67537495825616</v>
      </c>
      <c r="BV98" s="62">
        <f t="shared" si="34"/>
        <v>0.30749384552625109</v>
      </c>
      <c r="BW98" s="144">
        <f t="shared" si="37"/>
        <v>3131</v>
      </c>
      <c r="BX98" s="144">
        <f t="shared" si="48"/>
        <v>2631.09243697479</v>
      </c>
      <c r="BY98" s="31">
        <f t="shared" si="35"/>
        <v>499.9075630252101</v>
      </c>
      <c r="BZ98" s="331">
        <f t="shared" si="49"/>
        <v>626200</v>
      </c>
      <c r="CA98" s="47" t="s">
        <v>662</v>
      </c>
      <c r="CB98" s="3"/>
      <c r="CC98" s="3"/>
      <c r="CD98" s="3"/>
      <c r="CE98" s="3"/>
      <c r="CF98" s="3"/>
    </row>
    <row r="99" spans="1:84" s="145" customFormat="1" ht="39" x14ac:dyDescent="0.35">
      <c r="A99" s="170">
        <v>92</v>
      </c>
      <c r="B99" s="171" t="s">
        <v>809</v>
      </c>
      <c r="C99" s="172" t="s">
        <v>810</v>
      </c>
      <c r="D99" s="171" t="s">
        <v>661</v>
      </c>
      <c r="E99" s="183">
        <v>66</v>
      </c>
      <c r="F99" s="173"/>
      <c r="G99" s="19"/>
      <c r="H99" s="19"/>
      <c r="I99" s="19"/>
      <c r="J99" s="19">
        <f>[2]PAPELERIA!I102</f>
        <v>5800</v>
      </c>
      <c r="K99" s="19"/>
      <c r="L99" s="19">
        <v>4700</v>
      </c>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42">
        <f>MEDIAN(F99:M99)</f>
        <v>5250</v>
      </c>
      <c r="BT99" s="142">
        <f>AVERAGE(F99:M99)</f>
        <v>5250</v>
      </c>
      <c r="BU99" s="143">
        <f>STDEV(F99:M99)</f>
        <v>777.81745930520231</v>
      </c>
      <c r="BV99" s="62">
        <f t="shared" si="34"/>
        <v>0.14815570653432425</v>
      </c>
      <c r="BW99" s="144">
        <f t="shared" si="37"/>
        <v>5250</v>
      </c>
      <c r="BX99" s="144">
        <f t="shared" si="48"/>
        <v>4411.7647058823532</v>
      </c>
      <c r="BY99" s="31">
        <f t="shared" si="35"/>
        <v>838.23529411764707</v>
      </c>
      <c r="BZ99" s="331">
        <f t="shared" si="49"/>
        <v>346500</v>
      </c>
      <c r="CA99" s="47" t="s">
        <v>662</v>
      </c>
      <c r="CB99" s="3"/>
      <c r="CC99" s="3"/>
      <c r="CD99" s="3"/>
      <c r="CE99" s="3"/>
      <c r="CF99" s="3"/>
    </row>
    <row r="100" spans="1:84" s="145" customFormat="1" ht="65" x14ac:dyDescent="0.35">
      <c r="A100" s="170">
        <v>93</v>
      </c>
      <c r="B100" s="171" t="s">
        <v>811</v>
      </c>
      <c r="C100" s="172" t="s">
        <v>812</v>
      </c>
      <c r="D100" s="171" t="s">
        <v>212</v>
      </c>
      <c r="E100" s="183">
        <v>25</v>
      </c>
      <c r="F100" s="184"/>
      <c r="G100" s="19"/>
      <c r="H100" s="19"/>
      <c r="I100" s="19">
        <v>35000</v>
      </c>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8"/>
      <c r="AI100" s="18"/>
      <c r="AJ100" s="18"/>
      <c r="AK100" s="18">
        <f>+(35000*15%)+35000</f>
        <v>40250</v>
      </c>
      <c r="AL100" s="19">
        <f>+AK100/1.19</f>
        <v>33823.529411764706</v>
      </c>
      <c r="AM100" s="19">
        <f>+(AL100*36%)+AL100</f>
        <v>46000</v>
      </c>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42">
        <f>MEDIAN(I100,AM100)</f>
        <v>40500</v>
      </c>
      <c r="BT100" s="142">
        <f>AVERAGE(I100,AM100)</f>
        <v>40500</v>
      </c>
      <c r="BU100" s="143">
        <f>STDEV(I100,AM100)</f>
        <v>7778.1745930520228</v>
      </c>
      <c r="BV100" s="62">
        <f t="shared" si="34"/>
        <v>0.19205369365560551</v>
      </c>
      <c r="BW100" s="144">
        <f t="shared" si="37"/>
        <v>40500</v>
      </c>
      <c r="BX100" s="144">
        <f t="shared" si="48"/>
        <v>34033.613445378156</v>
      </c>
      <c r="BY100" s="31">
        <f t="shared" si="35"/>
        <v>6466.3865546218494</v>
      </c>
      <c r="BZ100" s="331">
        <f t="shared" si="49"/>
        <v>1012500</v>
      </c>
      <c r="CA100" s="47" t="s">
        <v>662</v>
      </c>
      <c r="CB100" s="3"/>
      <c r="CC100" s="3"/>
      <c r="CD100" s="3"/>
      <c r="CE100" s="3"/>
      <c r="CF100" s="3"/>
    </row>
    <row r="101" spans="1:84" s="145" customFormat="1" ht="29" x14ac:dyDescent="0.35">
      <c r="A101" s="170">
        <v>94</v>
      </c>
      <c r="B101" s="171" t="s">
        <v>813</v>
      </c>
      <c r="C101" s="172" t="s">
        <v>814</v>
      </c>
      <c r="D101" s="171" t="s">
        <v>661</v>
      </c>
      <c r="E101" s="183">
        <v>4000</v>
      </c>
      <c r="F101" s="173"/>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f>+(3500*15%)+3500</f>
        <v>4025</v>
      </c>
      <c r="AO101" s="19">
        <f>+AN101/1.19</f>
        <v>3382.3529411764707</v>
      </c>
      <c r="AP101" s="19">
        <f>+(AO101*36%)+AO101</f>
        <v>4600</v>
      </c>
      <c r="AQ101" s="19">
        <f>+(3800*15%)+3800</f>
        <v>4370</v>
      </c>
      <c r="AR101" s="19">
        <f>+AQ101/1.19</f>
        <v>3672.2689075630256</v>
      </c>
      <c r="AS101" s="19">
        <f>+(AR101*36%)+AR101</f>
        <v>4994.2857142857147</v>
      </c>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42">
        <f>MEDIAN(AP101,AS101)</f>
        <v>4797.1428571428569</v>
      </c>
      <c r="BT101" s="142">
        <f>AVERAGE(AP101,AS101)</f>
        <v>4797.1428571428569</v>
      </c>
      <c r="BU101" s="143">
        <f>STDEV(AP101,AS101)</f>
        <v>278.80210229641045</v>
      </c>
      <c r="BV101" s="62">
        <f t="shared" si="34"/>
        <v>5.8118365576976569E-2</v>
      </c>
      <c r="BW101" s="144">
        <f t="shared" si="37"/>
        <v>4798</v>
      </c>
      <c r="BX101" s="144">
        <f t="shared" si="48"/>
        <v>4031.932773109244</v>
      </c>
      <c r="BY101" s="31">
        <f t="shared" si="35"/>
        <v>766.06722689075639</v>
      </c>
      <c r="BZ101" s="331">
        <f t="shared" si="49"/>
        <v>19192000</v>
      </c>
      <c r="CA101" s="47" t="s">
        <v>662</v>
      </c>
      <c r="CB101" s="3"/>
      <c r="CC101" s="3"/>
      <c r="CD101" s="3"/>
      <c r="CE101" s="3"/>
      <c r="CF101" s="3"/>
    </row>
    <row r="102" spans="1:84" s="145" customFormat="1" ht="39" x14ac:dyDescent="0.35">
      <c r="A102" s="170">
        <v>95</v>
      </c>
      <c r="B102" s="171" t="s">
        <v>815</v>
      </c>
      <c r="C102" s="171" t="s">
        <v>1088</v>
      </c>
      <c r="D102" s="171" t="s">
        <v>661</v>
      </c>
      <c r="E102" s="201">
        <f>1200</f>
        <v>1200</v>
      </c>
      <c r="F102" s="173"/>
      <c r="G102" s="19"/>
      <c r="H102" s="19"/>
      <c r="I102" s="19"/>
      <c r="J102" s="19"/>
      <c r="K102" s="19"/>
      <c r="L102" s="19">
        <v>4260</v>
      </c>
      <c r="M102" s="19">
        <v>5000</v>
      </c>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42">
        <f>MEDIAN(F102:M102)</f>
        <v>4630</v>
      </c>
      <c r="BT102" s="142">
        <f>AVERAGE(F102:M102)</f>
        <v>4630</v>
      </c>
      <c r="BU102" s="143">
        <f>STDEV(F102:M102)</f>
        <v>523.25901807804519</v>
      </c>
      <c r="BV102" s="62">
        <f t="shared" si="34"/>
        <v>0.11301490671232077</v>
      </c>
      <c r="BW102" s="144">
        <f t="shared" si="37"/>
        <v>4630</v>
      </c>
      <c r="BX102" s="144">
        <f t="shared" si="48"/>
        <v>3890.7563025210084</v>
      </c>
      <c r="BY102" s="31">
        <f t="shared" si="35"/>
        <v>739.24369747899163</v>
      </c>
      <c r="BZ102" s="331">
        <f t="shared" si="49"/>
        <v>5556000</v>
      </c>
      <c r="CA102" s="47" t="s">
        <v>662</v>
      </c>
      <c r="CB102" s="3"/>
      <c r="CC102" s="3"/>
      <c r="CD102" s="3"/>
      <c r="CE102" s="3"/>
      <c r="CF102" s="3"/>
    </row>
    <row r="103" spans="1:84" s="145" customFormat="1" ht="29" x14ac:dyDescent="0.35">
      <c r="A103" s="170">
        <v>96</v>
      </c>
      <c r="B103" s="171" t="s">
        <v>777</v>
      </c>
      <c r="C103" s="174" t="s">
        <v>816</v>
      </c>
      <c r="D103" s="171" t="s">
        <v>661</v>
      </c>
      <c r="E103" s="204">
        <v>150</v>
      </c>
      <c r="F103" s="173"/>
      <c r="G103" s="19"/>
      <c r="H103" s="19"/>
      <c r="I103" s="19"/>
      <c r="J103" s="19">
        <v>1100</v>
      </c>
      <c r="K103" s="19"/>
      <c r="L103" s="19">
        <v>1080</v>
      </c>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42">
        <f>MEDIAN(F103:M103)</f>
        <v>1090</v>
      </c>
      <c r="BT103" s="142">
        <f>AVERAGE(F103:M103)</f>
        <v>1090</v>
      </c>
      <c r="BU103" s="143">
        <f>STDEV(F103:M103)</f>
        <v>14.142135623730951</v>
      </c>
      <c r="BV103" s="62">
        <f t="shared" si="34"/>
        <v>1.2974436352046745E-2</v>
      </c>
      <c r="BW103" s="144">
        <f t="shared" si="37"/>
        <v>1090</v>
      </c>
      <c r="BX103" s="144">
        <f t="shared" si="48"/>
        <v>915.96638655462186</v>
      </c>
      <c r="BY103" s="31">
        <f t="shared" si="35"/>
        <v>174.03361344537817</v>
      </c>
      <c r="BZ103" s="331">
        <f t="shared" si="49"/>
        <v>163500</v>
      </c>
      <c r="CA103" s="47" t="s">
        <v>662</v>
      </c>
      <c r="CB103" s="3"/>
      <c r="CC103" s="3"/>
      <c r="CD103" s="3"/>
      <c r="CE103" s="3"/>
      <c r="CF103" s="3"/>
    </row>
    <row r="104" spans="1:84" s="145" customFormat="1" ht="28.15" customHeight="1" x14ac:dyDescent="0.35">
      <c r="A104" s="170">
        <v>97</v>
      </c>
      <c r="B104" s="190" t="s">
        <v>817</v>
      </c>
      <c r="C104" s="191" t="s">
        <v>818</v>
      </c>
      <c r="D104" s="171" t="s">
        <v>350</v>
      </c>
      <c r="E104" s="204">
        <v>150</v>
      </c>
      <c r="F104" s="173"/>
      <c r="G104" s="19"/>
      <c r="H104" s="19"/>
      <c r="I104" s="18">
        <v>32900</v>
      </c>
      <c r="J104" s="19">
        <v>35000</v>
      </c>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42">
        <f>MEDIAN(F104:M104)</f>
        <v>33950</v>
      </c>
      <c r="BT104" s="142">
        <f>AVERAGE(F104:M104)</f>
        <v>33950</v>
      </c>
      <c r="BU104" s="143">
        <f>STDEV(F104:M104)</f>
        <v>1484.9242404917497</v>
      </c>
      <c r="BV104" s="62">
        <f t="shared" si="34"/>
        <v>4.3738563784734896E-2</v>
      </c>
      <c r="BW104" s="144">
        <f t="shared" si="37"/>
        <v>33950</v>
      </c>
      <c r="BX104" s="144">
        <f t="shared" si="48"/>
        <v>28529.411764705885</v>
      </c>
      <c r="BY104" s="31">
        <f t="shared" si="35"/>
        <v>5420.588235294118</v>
      </c>
      <c r="BZ104" s="331">
        <f t="shared" si="49"/>
        <v>5092500</v>
      </c>
      <c r="CA104" s="47" t="s">
        <v>662</v>
      </c>
      <c r="CB104" s="3"/>
      <c r="CC104" s="3"/>
      <c r="CD104" s="3"/>
      <c r="CE104" s="3"/>
      <c r="CF104" s="3"/>
    </row>
    <row r="105" spans="1:84" s="145" customFormat="1" ht="29" x14ac:dyDescent="0.35">
      <c r="A105" s="170">
        <v>98</v>
      </c>
      <c r="B105" s="171" t="s">
        <v>819</v>
      </c>
      <c r="C105" s="174" t="s">
        <v>820</v>
      </c>
      <c r="D105" s="171" t="s">
        <v>313</v>
      </c>
      <c r="E105" s="204">
        <v>119</v>
      </c>
      <c r="F105" s="173"/>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f>+(197171*15%)+197171</f>
        <v>226746.65</v>
      </c>
      <c r="AU105" s="19">
        <f>+AT105/1.19</f>
        <v>190543.40336134454</v>
      </c>
      <c r="AV105" s="19">
        <f>+(AU105*36%)+AU105</f>
        <v>259139.02857142856</v>
      </c>
      <c r="AW105" s="19">
        <f>+(151695*15%)+151695</f>
        <v>174449.25</v>
      </c>
      <c r="AX105" s="19">
        <f>+AW105/1.19</f>
        <v>146596.00840336134</v>
      </c>
      <c r="AY105" s="19">
        <f>+(AX105*36%)+AX105</f>
        <v>199370.57142857142</v>
      </c>
      <c r="AZ105" s="19"/>
      <c r="BA105" s="19"/>
      <c r="BB105" s="19"/>
      <c r="BC105" s="19"/>
      <c r="BD105" s="19"/>
      <c r="BE105" s="19"/>
      <c r="BF105" s="19"/>
      <c r="BG105" s="19"/>
      <c r="BH105" s="19"/>
      <c r="BI105" s="19"/>
      <c r="BJ105" s="19"/>
      <c r="BK105" s="19"/>
      <c r="BL105" s="19"/>
      <c r="BM105" s="19"/>
      <c r="BN105" s="19"/>
      <c r="BO105" s="19"/>
      <c r="BP105" s="19"/>
      <c r="BQ105" s="19"/>
      <c r="BR105" s="19"/>
      <c r="BS105" s="142">
        <f>MEDIAN(AV105,AY105)</f>
        <v>229254.8</v>
      </c>
      <c r="BT105" s="142">
        <f>AVERAGE(AV105,AY105)</f>
        <v>229254.8</v>
      </c>
      <c r="BU105" s="143">
        <f>STDEV(AV105,AY105)</f>
        <v>42262.681346771817</v>
      </c>
      <c r="BV105" s="62">
        <f t="shared" si="34"/>
        <v>0.18434807623121444</v>
      </c>
      <c r="BW105" s="144">
        <f t="shared" si="37"/>
        <v>229255</v>
      </c>
      <c r="BX105" s="144">
        <f t="shared" si="48"/>
        <v>192651.26050420169</v>
      </c>
      <c r="BY105" s="31">
        <f t="shared" si="35"/>
        <v>36603.73949579832</v>
      </c>
      <c r="BZ105" s="331">
        <f t="shared" si="49"/>
        <v>27281345</v>
      </c>
      <c r="CA105" s="47" t="s">
        <v>665</v>
      </c>
      <c r="CB105" s="3"/>
      <c r="CC105" s="3"/>
      <c r="CD105" s="3"/>
      <c r="CE105" s="3"/>
      <c r="CF105" s="3"/>
    </row>
    <row r="106" spans="1:84" s="145" customFormat="1" ht="29" x14ac:dyDescent="0.35">
      <c r="A106" s="170">
        <v>99</v>
      </c>
      <c r="B106" s="190" t="s">
        <v>821</v>
      </c>
      <c r="C106" s="192" t="s">
        <v>822</v>
      </c>
      <c r="D106" s="171" t="s">
        <v>313</v>
      </c>
      <c r="E106" s="204">
        <f>30+20</f>
        <v>50</v>
      </c>
      <c r="F106" s="173"/>
      <c r="G106" s="19"/>
      <c r="H106" s="19"/>
      <c r="I106" s="19">
        <v>46900</v>
      </c>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f>+(30998*15%)+30998</f>
        <v>35647.699999999997</v>
      </c>
      <c r="BA106" s="19">
        <f>+AZ106/1.19</f>
        <v>29956.050420168067</v>
      </c>
      <c r="BB106" s="19">
        <f>+(BA106*36%)+BA106</f>
        <v>40740.228571428568</v>
      </c>
      <c r="BC106" s="19"/>
      <c r="BD106" s="19"/>
      <c r="BE106" s="19"/>
      <c r="BF106" s="19"/>
      <c r="BG106" s="19"/>
      <c r="BH106" s="19"/>
      <c r="BI106" s="19"/>
      <c r="BJ106" s="19"/>
      <c r="BK106" s="19"/>
      <c r="BL106" s="19"/>
      <c r="BM106" s="19"/>
      <c r="BN106" s="19"/>
      <c r="BO106" s="19"/>
      <c r="BP106" s="19"/>
      <c r="BQ106" s="19"/>
      <c r="BR106" s="19"/>
      <c r="BS106" s="142">
        <f>MEDIAN(I106,BB106)</f>
        <v>43820.114285714284</v>
      </c>
      <c r="BT106" s="142">
        <f>AVERAGE(I106,BB106)</f>
        <v>43820.114285714284</v>
      </c>
      <c r="BU106" s="143">
        <f>STDEV(I106,BB106)</f>
        <v>4355.6161477020069</v>
      </c>
      <c r="BV106" s="62">
        <f t="shared" si="34"/>
        <v>9.9397644636494559E-2</v>
      </c>
      <c r="BW106" s="144">
        <f t="shared" si="37"/>
        <v>43821</v>
      </c>
      <c r="BX106" s="144">
        <f t="shared" si="48"/>
        <v>36824.36974789916</v>
      </c>
      <c r="BY106" s="31">
        <f t="shared" si="35"/>
        <v>6996.6302521008402</v>
      </c>
      <c r="BZ106" s="331">
        <f t="shared" si="49"/>
        <v>2191050</v>
      </c>
      <c r="CA106" s="47" t="s">
        <v>665</v>
      </c>
      <c r="CB106" s="3"/>
      <c r="CC106" s="3"/>
      <c r="CD106" s="3"/>
      <c r="CE106" s="3"/>
      <c r="CF106" s="3"/>
    </row>
    <row r="107" spans="1:84" s="145" customFormat="1" ht="29" x14ac:dyDescent="0.35">
      <c r="A107" s="170">
        <v>100</v>
      </c>
      <c r="B107" s="193" t="s">
        <v>823</v>
      </c>
      <c r="C107" s="194" t="s">
        <v>824</v>
      </c>
      <c r="D107" s="195" t="s">
        <v>661</v>
      </c>
      <c r="E107" s="205">
        <v>15</v>
      </c>
      <c r="F107" s="173"/>
      <c r="G107" s="19"/>
      <c r="H107" s="19"/>
      <c r="I107" s="19"/>
      <c r="J107" s="19"/>
      <c r="K107" s="19"/>
      <c r="L107" s="19">
        <v>75512</v>
      </c>
      <c r="M107" s="19">
        <f>[1]PAPELERIA!G111</f>
        <v>0</v>
      </c>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f>+(900000*15%)+900000</f>
        <v>1035000</v>
      </c>
      <c r="BD107" s="19">
        <f>+BC107/1.19</f>
        <v>869747.89915966394</v>
      </c>
      <c r="BE107" s="19">
        <f>+(BD107*36%)+BD107</f>
        <v>1182857.142857143</v>
      </c>
      <c r="BF107" s="19">
        <f>+(816000*15%)+816000</f>
        <v>938400</v>
      </c>
      <c r="BG107" s="19">
        <f>+BF107/1.19</f>
        <v>788571.42857142864</v>
      </c>
      <c r="BH107" s="19">
        <f>+(BG107*36%)+BG107</f>
        <v>1072457.142857143</v>
      </c>
      <c r="BI107" s="19"/>
      <c r="BJ107" s="19"/>
      <c r="BK107" s="19"/>
      <c r="BL107" s="19"/>
      <c r="BM107" s="19"/>
      <c r="BN107" s="19"/>
      <c r="BO107" s="19"/>
      <c r="BP107" s="19"/>
      <c r="BQ107" s="19"/>
      <c r="BR107" s="19"/>
      <c r="BS107" s="142">
        <f>MEDIAN(BE107,BH107)</f>
        <v>1127657.142857143</v>
      </c>
      <c r="BT107" s="142">
        <f>AVERAGE(BE107,BH107)</f>
        <v>1127657.142857143</v>
      </c>
      <c r="BU107" s="143">
        <f>STDEV(BE107,BH107)</f>
        <v>78064.588642994844</v>
      </c>
      <c r="BV107" s="62">
        <f>BU107/BT107</f>
        <v>6.9227237318962687E-2</v>
      </c>
      <c r="BW107" s="144">
        <f t="shared" si="37"/>
        <v>1127658</v>
      </c>
      <c r="BX107" s="144">
        <f t="shared" si="48"/>
        <v>947611.76470588241</v>
      </c>
      <c r="BY107" s="31">
        <f t="shared" si="35"/>
        <v>180046.23529411765</v>
      </c>
      <c r="BZ107" s="331">
        <f t="shared" si="49"/>
        <v>16914870</v>
      </c>
      <c r="CA107" s="47" t="s">
        <v>665</v>
      </c>
      <c r="CB107" s="3"/>
      <c r="CC107" s="3"/>
      <c r="CD107" s="3"/>
      <c r="CE107" s="3"/>
      <c r="CF107" s="3"/>
    </row>
    <row r="108" spans="1:84" s="145" customFormat="1" ht="29" x14ac:dyDescent="0.35">
      <c r="A108" s="170">
        <v>101</v>
      </c>
      <c r="B108" s="191" t="s">
        <v>825</v>
      </c>
      <c r="C108" s="196" t="s">
        <v>826</v>
      </c>
      <c r="D108" s="171" t="s">
        <v>131</v>
      </c>
      <c r="E108" s="204">
        <v>340</v>
      </c>
      <c r="F108" s="173"/>
      <c r="G108" s="19"/>
      <c r="H108" s="19"/>
      <c r="I108" s="19">
        <v>3900</v>
      </c>
      <c r="J108" s="19">
        <v>3500</v>
      </c>
      <c r="K108" s="19"/>
      <c r="L108" s="19">
        <v>2700</v>
      </c>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42">
        <f>MEDIAN(F108:M108)</f>
        <v>3500</v>
      </c>
      <c r="BT108" s="142">
        <f>AVERAGE(F108:M108)</f>
        <v>3366.6666666666665</v>
      </c>
      <c r="BU108" s="143">
        <f>STDEV(F108:M108)</f>
        <v>611.01009266077767</v>
      </c>
      <c r="BV108" s="62">
        <f t="shared" si="34"/>
        <v>0.18148814633488447</v>
      </c>
      <c r="BW108" s="144">
        <f t="shared" si="37"/>
        <v>3500</v>
      </c>
      <c r="BX108" s="144">
        <f t="shared" si="48"/>
        <v>2941.1764705882356</v>
      </c>
      <c r="BY108" s="31">
        <f t="shared" si="35"/>
        <v>558.82352941176475</v>
      </c>
      <c r="BZ108" s="331">
        <f t="shared" si="49"/>
        <v>1190000</v>
      </c>
      <c r="CA108" s="47" t="s">
        <v>665</v>
      </c>
      <c r="CB108" s="3"/>
      <c r="CC108" s="3"/>
      <c r="CD108" s="3"/>
      <c r="CE108" s="3"/>
      <c r="CF108" s="3"/>
    </row>
    <row r="109" spans="1:84" x14ac:dyDescent="0.35">
      <c r="A109" s="390" t="s">
        <v>827</v>
      </c>
      <c r="B109" s="391"/>
      <c r="C109" s="391"/>
      <c r="D109" s="392"/>
      <c r="E109" s="197"/>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63"/>
      <c r="BT109" s="163"/>
      <c r="BU109" s="126"/>
      <c r="BV109" s="55"/>
      <c r="BW109" s="198">
        <f>SUM(BW8:BW108)</f>
        <v>3613079</v>
      </c>
      <c r="BX109" s="198">
        <f>SUM(BX8:BX108)</f>
        <v>3045387.8991596648</v>
      </c>
      <c r="BY109" s="198">
        <f>SUM(BY8:BY108)</f>
        <v>567691.10084033606</v>
      </c>
      <c r="BZ109" s="198">
        <f>+SUM(BZ8:BZ108)</f>
        <v>275000000</v>
      </c>
      <c r="CA109" s="166"/>
    </row>
    <row r="112" spans="1:84" x14ac:dyDescent="0.3">
      <c r="B112" s="393" t="s">
        <v>828</v>
      </c>
      <c r="C112" s="394"/>
      <c r="D112" s="393"/>
      <c r="E112" s="393"/>
      <c r="BY112" s="199"/>
      <c r="BZ112" s="376"/>
    </row>
    <row r="113" spans="2:5" x14ac:dyDescent="0.35">
      <c r="B113" s="393"/>
      <c r="C113" s="394"/>
      <c r="D113" s="393"/>
      <c r="E113" s="393"/>
    </row>
    <row r="114" spans="2:5" x14ac:dyDescent="0.35">
      <c r="B114" s="393"/>
      <c r="C114" s="394"/>
      <c r="D114" s="393"/>
      <c r="E114" s="393"/>
    </row>
    <row r="115" spans="2:5" x14ac:dyDescent="0.35">
      <c r="B115" s="393"/>
      <c r="C115" s="394"/>
      <c r="D115" s="393"/>
      <c r="E115" s="393"/>
    </row>
    <row r="116" spans="2:5" x14ac:dyDescent="0.35">
      <c r="B116" s="393"/>
      <c r="C116" s="394"/>
      <c r="D116" s="393"/>
      <c r="E116" s="393"/>
    </row>
    <row r="117" spans="2:5" x14ac:dyDescent="0.35">
      <c r="B117" s="393"/>
      <c r="C117" s="394"/>
      <c r="D117" s="393"/>
      <c r="E117" s="393"/>
    </row>
    <row r="118" spans="2:5" x14ac:dyDescent="0.35">
      <c r="B118" s="393"/>
      <c r="C118" s="394"/>
      <c r="D118" s="393"/>
      <c r="E118" s="393"/>
    </row>
    <row r="119" spans="2:5" x14ac:dyDescent="0.35">
      <c r="B119" s="393"/>
      <c r="C119" s="394"/>
      <c r="D119" s="393"/>
      <c r="E119" s="393"/>
    </row>
    <row r="120" spans="2:5" x14ac:dyDescent="0.35">
      <c r="B120" s="393"/>
      <c r="C120" s="394"/>
      <c r="D120" s="393"/>
      <c r="E120" s="393"/>
    </row>
    <row r="121" spans="2:5" x14ac:dyDescent="0.35">
      <c r="B121" s="393"/>
      <c r="C121" s="394"/>
      <c r="D121" s="393"/>
      <c r="E121" s="393"/>
    </row>
    <row r="122" spans="2:5" x14ac:dyDescent="0.35">
      <c r="B122" s="393"/>
      <c r="C122" s="394"/>
      <c r="D122" s="393"/>
      <c r="E122" s="393"/>
    </row>
    <row r="123" spans="2:5" x14ac:dyDescent="0.35">
      <c r="B123" s="393"/>
      <c r="C123" s="394"/>
      <c r="D123" s="393"/>
      <c r="E123" s="393"/>
    </row>
    <row r="124" spans="2:5" x14ac:dyDescent="0.35">
      <c r="B124" s="393"/>
      <c r="C124" s="394"/>
      <c r="D124" s="393"/>
      <c r="E124" s="393"/>
    </row>
    <row r="125" spans="2:5" x14ac:dyDescent="0.35">
      <c r="B125" s="393"/>
      <c r="C125" s="394"/>
      <c r="D125" s="393"/>
      <c r="E125" s="393"/>
    </row>
    <row r="126" spans="2:5" x14ac:dyDescent="0.35">
      <c r="B126" s="393"/>
      <c r="C126" s="394"/>
      <c r="D126" s="393"/>
      <c r="E126" s="393"/>
    </row>
    <row r="127" spans="2:5" x14ac:dyDescent="0.35">
      <c r="B127" s="393"/>
      <c r="C127" s="394"/>
      <c r="D127" s="393"/>
      <c r="E127" s="393"/>
    </row>
    <row r="128" spans="2:5" x14ac:dyDescent="0.35">
      <c r="B128" s="393"/>
      <c r="C128" s="394"/>
      <c r="D128" s="393"/>
      <c r="E128" s="393"/>
    </row>
  </sheetData>
  <autoFilter ref="A5:E109" xr:uid="{9A4167FE-F5AE-4607-B699-EDC436BDE277}"/>
  <mergeCells count="58">
    <mergeCell ref="AQ5:AS5"/>
    <mergeCell ref="AQ6:AS6"/>
    <mergeCell ref="AT5:AV5"/>
    <mergeCell ref="AT6:AV6"/>
    <mergeCell ref="BF5:BH5"/>
    <mergeCell ref="BF6:BH6"/>
    <mergeCell ref="AW5:AY5"/>
    <mergeCell ref="AW6:AY6"/>
    <mergeCell ref="AZ5:BB5"/>
    <mergeCell ref="AZ6:BB6"/>
    <mergeCell ref="BC5:BE5"/>
    <mergeCell ref="BC6:BE6"/>
    <mergeCell ref="A1:M1"/>
    <mergeCell ref="A2:M2"/>
    <mergeCell ref="A3:M3"/>
    <mergeCell ref="A4:M4"/>
    <mergeCell ref="A5:A7"/>
    <mergeCell ref="B5:B7"/>
    <mergeCell ref="C5:C7"/>
    <mergeCell ref="D5:D7"/>
    <mergeCell ref="E5:E7"/>
    <mergeCell ref="CA5:CA7"/>
    <mergeCell ref="O5:P5"/>
    <mergeCell ref="Q5:R5"/>
    <mergeCell ref="S5:T5"/>
    <mergeCell ref="U5:V5"/>
    <mergeCell ref="W5:X5"/>
    <mergeCell ref="BS5:BV5"/>
    <mergeCell ref="BW5:BW7"/>
    <mergeCell ref="BX5:BX7"/>
    <mergeCell ref="BY5:BY7"/>
    <mergeCell ref="BZ5:BZ7"/>
    <mergeCell ref="BT6:BT7"/>
    <mergeCell ref="BU6:BU7"/>
    <mergeCell ref="BV6:BV7"/>
    <mergeCell ref="U6:V6"/>
    <mergeCell ref="AN6:AP6"/>
    <mergeCell ref="BS6:BS7"/>
    <mergeCell ref="A109:D109"/>
    <mergeCell ref="B112:E128"/>
    <mergeCell ref="O6:P6"/>
    <mergeCell ref="Q6:R6"/>
    <mergeCell ref="S6:T6"/>
    <mergeCell ref="BL5:BM6"/>
    <mergeCell ref="BN5:BO6"/>
    <mergeCell ref="BP5:BR6"/>
    <mergeCell ref="AE5:AG5"/>
    <mergeCell ref="AE6:AG6"/>
    <mergeCell ref="AH5:AJ5"/>
    <mergeCell ref="AH6:AJ6"/>
    <mergeCell ref="AK5:AM5"/>
    <mergeCell ref="AK6:AM6"/>
    <mergeCell ref="AN5:AP5"/>
    <mergeCell ref="Y5:AA5"/>
    <mergeCell ref="Y6:AA6"/>
    <mergeCell ref="AB5:AD5"/>
    <mergeCell ref="AB6:AD6"/>
    <mergeCell ref="W6:X6"/>
  </mergeCells>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6A87E-BE66-48B9-8872-AF37D0DC4DEF}">
  <dimension ref="A1:AD37"/>
  <sheetViews>
    <sheetView tabSelected="1" view="pageBreakPreview" topLeftCell="P1" zoomScale="60" zoomScaleNormal="60" workbookViewId="0">
      <selection activeCell="B21" sqref="B21:E37"/>
    </sheetView>
  </sheetViews>
  <sheetFormatPr baseColWidth="10" defaultColWidth="11.453125" defaultRowHeight="15.5" x14ac:dyDescent="0.35"/>
  <cols>
    <col min="1" max="1" width="9.26953125" style="121" customWidth="1"/>
    <col min="2" max="2" width="24" style="120" customWidth="1"/>
    <col min="3" max="3" width="91.81640625" style="120" bestFit="1" customWidth="1"/>
    <col min="4" max="4" width="13.54296875" style="120" bestFit="1" customWidth="1"/>
    <col min="5" max="5" width="15.453125" style="120" customWidth="1"/>
    <col min="6" max="6" width="24" style="121" bestFit="1" customWidth="1"/>
    <col min="7" max="7" width="32.1796875" style="120" bestFit="1" customWidth="1"/>
    <col min="8" max="8" width="24.1796875" style="120" bestFit="1" customWidth="1"/>
    <col min="9" max="9" width="24.1796875" style="120" customWidth="1"/>
    <col min="10" max="10" width="32.1796875" style="120" bestFit="1" customWidth="1"/>
    <col min="11" max="13" width="32.1796875" style="120" customWidth="1"/>
    <col min="14" max="14" width="20.7265625" style="129" customWidth="1"/>
    <col min="15" max="15" width="16.1796875" style="129" customWidth="1"/>
    <col min="16" max="16" width="25.453125" style="120" bestFit="1" customWidth="1"/>
    <col min="17" max="17" width="26.1796875" style="121" bestFit="1" customWidth="1"/>
    <col min="18" max="18" width="28" style="130" bestFit="1" customWidth="1"/>
    <col min="19" max="20" width="28" style="130" customWidth="1"/>
    <col min="21" max="21" width="27" style="120" bestFit="1" customWidth="1"/>
    <col min="22" max="22" width="52.453125" style="131" customWidth="1"/>
    <col min="23" max="23" width="11.453125" style="120"/>
    <col min="24" max="24" width="20.1796875" style="120" bestFit="1" customWidth="1"/>
    <col min="25" max="256" width="11.453125" style="120"/>
    <col min="257" max="257" width="9.26953125" style="120" customWidth="1"/>
    <col min="258" max="258" width="24" style="120" customWidth="1"/>
    <col min="259" max="259" width="91.81640625" style="120" bestFit="1" customWidth="1"/>
    <col min="260" max="260" width="13.54296875" style="120" bestFit="1" customWidth="1"/>
    <col min="261" max="261" width="15.453125" style="120" customWidth="1"/>
    <col min="262" max="262" width="24" style="120" bestFit="1" customWidth="1"/>
    <col min="263" max="263" width="32.1796875" style="120" bestFit="1" customWidth="1"/>
    <col min="264" max="264" width="24.1796875" style="120" bestFit="1" customWidth="1"/>
    <col min="265" max="265" width="24.1796875" style="120" customWidth="1"/>
    <col min="266" max="266" width="32.1796875" style="120" bestFit="1" customWidth="1"/>
    <col min="267" max="269" width="32.1796875" style="120" customWidth="1"/>
    <col min="270" max="270" width="20.7265625" style="120" customWidth="1"/>
    <col min="271" max="271" width="16.1796875" style="120" customWidth="1"/>
    <col min="272" max="272" width="25.453125" style="120" bestFit="1" customWidth="1"/>
    <col min="273" max="273" width="26.1796875" style="120" bestFit="1" customWidth="1"/>
    <col min="274" max="274" width="28" style="120" bestFit="1" customWidth="1"/>
    <col min="275" max="276" width="28" style="120" customWidth="1"/>
    <col min="277" max="277" width="27" style="120" bestFit="1" customWidth="1"/>
    <col min="278" max="278" width="52.453125" style="120" customWidth="1"/>
    <col min="279" max="512" width="11.453125" style="120"/>
    <col min="513" max="513" width="9.26953125" style="120" customWidth="1"/>
    <col min="514" max="514" width="24" style="120" customWidth="1"/>
    <col min="515" max="515" width="91.81640625" style="120" bestFit="1" customWidth="1"/>
    <col min="516" max="516" width="13.54296875" style="120" bestFit="1" customWidth="1"/>
    <col min="517" max="517" width="15.453125" style="120" customWidth="1"/>
    <col min="518" max="518" width="24" style="120" bestFit="1" customWidth="1"/>
    <col min="519" max="519" width="32.1796875" style="120" bestFit="1" customWidth="1"/>
    <col min="520" max="520" width="24.1796875" style="120" bestFit="1" customWidth="1"/>
    <col min="521" max="521" width="24.1796875" style="120" customWidth="1"/>
    <col min="522" max="522" width="32.1796875" style="120" bestFit="1" customWidth="1"/>
    <col min="523" max="525" width="32.1796875" style="120" customWidth="1"/>
    <col min="526" max="526" width="20.7265625" style="120" customWidth="1"/>
    <col min="527" max="527" width="16.1796875" style="120" customWidth="1"/>
    <col min="528" max="528" width="25.453125" style="120" bestFit="1" customWidth="1"/>
    <col min="529" max="529" width="26.1796875" style="120" bestFit="1" customWidth="1"/>
    <col min="530" max="530" width="28" style="120" bestFit="1" customWidth="1"/>
    <col min="531" max="532" width="28" style="120" customWidth="1"/>
    <col min="533" max="533" width="27" style="120" bestFit="1" customWidth="1"/>
    <col min="534" max="534" width="52.453125" style="120" customWidth="1"/>
    <col min="535" max="768" width="11.453125" style="120"/>
    <col min="769" max="769" width="9.26953125" style="120" customWidth="1"/>
    <col min="770" max="770" width="24" style="120" customWidth="1"/>
    <col min="771" max="771" width="91.81640625" style="120" bestFit="1" customWidth="1"/>
    <col min="772" max="772" width="13.54296875" style="120" bestFit="1" customWidth="1"/>
    <col min="773" max="773" width="15.453125" style="120" customWidth="1"/>
    <col min="774" max="774" width="24" style="120" bestFit="1" customWidth="1"/>
    <col min="775" max="775" width="32.1796875" style="120" bestFit="1" customWidth="1"/>
    <col min="776" max="776" width="24.1796875" style="120" bestFit="1" customWidth="1"/>
    <col min="777" max="777" width="24.1796875" style="120" customWidth="1"/>
    <col min="778" max="778" width="32.1796875" style="120" bestFit="1" customWidth="1"/>
    <col min="779" max="781" width="32.1796875" style="120" customWidth="1"/>
    <col min="782" max="782" width="20.7265625" style="120" customWidth="1"/>
    <col min="783" max="783" width="16.1796875" style="120" customWidth="1"/>
    <col min="784" max="784" width="25.453125" style="120" bestFit="1" customWidth="1"/>
    <col min="785" max="785" width="26.1796875" style="120" bestFit="1" customWidth="1"/>
    <col min="786" max="786" width="28" style="120" bestFit="1" customWidth="1"/>
    <col min="787" max="788" width="28" style="120" customWidth="1"/>
    <col min="789" max="789" width="27" style="120" bestFit="1" customWidth="1"/>
    <col min="790" max="790" width="52.453125" style="120" customWidth="1"/>
    <col min="791" max="1024" width="11.453125" style="120"/>
    <col min="1025" max="1025" width="9.26953125" style="120" customWidth="1"/>
    <col min="1026" max="1026" width="24" style="120" customWidth="1"/>
    <col min="1027" max="1027" width="91.81640625" style="120" bestFit="1" customWidth="1"/>
    <col min="1028" max="1028" width="13.54296875" style="120" bestFit="1" customWidth="1"/>
    <col min="1029" max="1029" width="15.453125" style="120" customWidth="1"/>
    <col min="1030" max="1030" width="24" style="120" bestFit="1" customWidth="1"/>
    <col min="1031" max="1031" width="32.1796875" style="120" bestFit="1" customWidth="1"/>
    <col min="1032" max="1032" width="24.1796875" style="120" bestFit="1" customWidth="1"/>
    <col min="1033" max="1033" width="24.1796875" style="120" customWidth="1"/>
    <col min="1034" max="1034" width="32.1796875" style="120" bestFit="1" customWidth="1"/>
    <col min="1035" max="1037" width="32.1796875" style="120" customWidth="1"/>
    <col min="1038" max="1038" width="20.7265625" style="120" customWidth="1"/>
    <col min="1039" max="1039" width="16.1796875" style="120" customWidth="1"/>
    <col min="1040" max="1040" width="25.453125" style="120" bestFit="1" customWidth="1"/>
    <col min="1041" max="1041" width="26.1796875" style="120" bestFit="1" customWidth="1"/>
    <col min="1042" max="1042" width="28" style="120" bestFit="1" customWidth="1"/>
    <col min="1043" max="1044" width="28" style="120" customWidth="1"/>
    <col min="1045" max="1045" width="27" style="120" bestFit="1" customWidth="1"/>
    <col min="1046" max="1046" width="52.453125" style="120" customWidth="1"/>
    <col min="1047" max="1280" width="11.453125" style="120"/>
    <col min="1281" max="1281" width="9.26953125" style="120" customWidth="1"/>
    <col min="1282" max="1282" width="24" style="120" customWidth="1"/>
    <col min="1283" max="1283" width="91.81640625" style="120" bestFit="1" customWidth="1"/>
    <col min="1284" max="1284" width="13.54296875" style="120" bestFit="1" customWidth="1"/>
    <col min="1285" max="1285" width="15.453125" style="120" customWidth="1"/>
    <col min="1286" max="1286" width="24" style="120" bestFit="1" customWidth="1"/>
    <col min="1287" max="1287" width="32.1796875" style="120" bestFit="1" customWidth="1"/>
    <col min="1288" max="1288" width="24.1796875" style="120" bestFit="1" customWidth="1"/>
    <col min="1289" max="1289" width="24.1796875" style="120" customWidth="1"/>
    <col min="1290" max="1290" width="32.1796875" style="120" bestFit="1" customWidth="1"/>
    <col min="1291" max="1293" width="32.1796875" style="120" customWidth="1"/>
    <col min="1294" max="1294" width="20.7265625" style="120" customWidth="1"/>
    <col min="1295" max="1295" width="16.1796875" style="120" customWidth="1"/>
    <col min="1296" max="1296" width="25.453125" style="120" bestFit="1" customWidth="1"/>
    <col min="1297" max="1297" width="26.1796875" style="120" bestFit="1" customWidth="1"/>
    <col min="1298" max="1298" width="28" style="120" bestFit="1" customWidth="1"/>
    <col min="1299" max="1300" width="28" style="120" customWidth="1"/>
    <col min="1301" max="1301" width="27" style="120" bestFit="1" customWidth="1"/>
    <col min="1302" max="1302" width="52.453125" style="120" customWidth="1"/>
    <col min="1303" max="1536" width="11.453125" style="120"/>
    <col min="1537" max="1537" width="9.26953125" style="120" customWidth="1"/>
    <col min="1538" max="1538" width="24" style="120" customWidth="1"/>
    <col min="1539" max="1539" width="91.81640625" style="120" bestFit="1" customWidth="1"/>
    <col min="1540" max="1540" width="13.54296875" style="120" bestFit="1" customWidth="1"/>
    <col min="1541" max="1541" width="15.453125" style="120" customWidth="1"/>
    <col min="1542" max="1542" width="24" style="120" bestFit="1" customWidth="1"/>
    <col min="1543" max="1543" width="32.1796875" style="120" bestFit="1" customWidth="1"/>
    <col min="1544" max="1544" width="24.1796875" style="120" bestFit="1" customWidth="1"/>
    <col min="1545" max="1545" width="24.1796875" style="120" customWidth="1"/>
    <col min="1546" max="1546" width="32.1796875" style="120" bestFit="1" customWidth="1"/>
    <col min="1547" max="1549" width="32.1796875" style="120" customWidth="1"/>
    <col min="1550" max="1550" width="20.7265625" style="120" customWidth="1"/>
    <col min="1551" max="1551" width="16.1796875" style="120" customWidth="1"/>
    <col min="1552" max="1552" width="25.453125" style="120" bestFit="1" customWidth="1"/>
    <col min="1553" max="1553" width="26.1796875" style="120" bestFit="1" customWidth="1"/>
    <col min="1554" max="1554" width="28" style="120" bestFit="1" customWidth="1"/>
    <col min="1555" max="1556" width="28" style="120" customWidth="1"/>
    <col min="1557" max="1557" width="27" style="120" bestFit="1" customWidth="1"/>
    <col min="1558" max="1558" width="52.453125" style="120" customWidth="1"/>
    <col min="1559" max="1792" width="11.453125" style="120"/>
    <col min="1793" max="1793" width="9.26953125" style="120" customWidth="1"/>
    <col min="1794" max="1794" width="24" style="120" customWidth="1"/>
    <col min="1795" max="1795" width="91.81640625" style="120" bestFit="1" customWidth="1"/>
    <col min="1796" max="1796" width="13.54296875" style="120" bestFit="1" customWidth="1"/>
    <col min="1797" max="1797" width="15.453125" style="120" customWidth="1"/>
    <col min="1798" max="1798" width="24" style="120" bestFit="1" customWidth="1"/>
    <col min="1799" max="1799" width="32.1796875" style="120" bestFit="1" customWidth="1"/>
    <col min="1800" max="1800" width="24.1796875" style="120" bestFit="1" customWidth="1"/>
    <col min="1801" max="1801" width="24.1796875" style="120" customWidth="1"/>
    <col min="1802" max="1802" width="32.1796875" style="120" bestFit="1" customWidth="1"/>
    <col min="1803" max="1805" width="32.1796875" style="120" customWidth="1"/>
    <col min="1806" max="1806" width="20.7265625" style="120" customWidth="1"/>
    <col min="1807" max="1807" width="16.1796875" style="120" customWidth="1"/>
    <col min="1808" max="1808" width="25.453125" style="120" bestFit="1" customWidth="1"/>
    <col min="1809" max="1809" width="26.1796875" style="120" bestFit="1" customWidth="1"/>
    <col min="1810" max="1810" width="28" style="120" bestFit="1" customWidth="1"/>
    <col min="1811" max="1812" width="28" style="120" customWidth="1"/>
    <col min="1813" max="1813" width="27" style="120" bestFit="1" customWidth="1"/>
    <col min="1814" max="1814" width="52.453125" style="120" customWidth="1"/>
    <col min="1815" max="2048" width="11.453125" style="120"/>
    <col min="2049" max="2049" width="9.26953125" style="120" customWidth="1"/>
    <col min="2050" max="2050" width="24" style="120" customWidth="1"/>
    <col min="2051" max="2051" width="91.81640625" style="120" bestFit="1" customWidth="1"/>
    <col min="2052" max="2052" width="13.54296875" style="120" bestFit="1" customWidth="1"/>
    <col min="2053" max="2053" width="15.453125" style="120" customWidth="1"/>
    <col min="2054" max="2054" width="24" style="120" bestFit="1" customWidth="1"/>
    <col min="2055" max="2055" width="32.1796875" style="120" bestFit="1" customWidth="1"/>
    <col min="2056" max="2056" width="24.1796875" style="120" bestFit="1" customWidth="1"/>
    <col min="2057" max="2057" width="24.1796875" style="120" customWidth="1"/>
    <col min="2058" max="2058" width="32.1796875" style="120" bestFit="1" customWidth="1"/>
    <col min="2059" max="2061" width="32.1796875" style="120" customWidth="1"/>
    <col min="2062" max="2062" width="20.7265625" style="120" customWidth="1"/>
    <col min="2063" max="2063" width="16.1796875" style="120" customWidth="1"/>
    <col min="2064" max="2064" width="25.453125" style="120" bestFit="1" customWidth="1"/>
    <col min="2065" max="2065" width="26.1796875" style="120" bestFit="1" customWidth="1"/>
    <col min="2066" max="2066" width="28" style="120" bestFit="1" customWidth="1"/>
    <col min="2067" max="2068" width="28" style="120" customWidth="1"/>
    <col min="2069" max="2069" width="27" style="120" bestFit="1" customWidth="1"/>
    <col min="2070" max="2070" width="52.453125" style="120" customWidth="1"/>
    <col min="2071" max="2304" width="11.453125" style="120"/>
    <col min="2305" max="2305" width="9.26953125" style="120" customWidth="1"/>
    <col min="2306" max="2306" width="24" style="120" customWidth="1"/>
    <col min="2307" max="2307" width="91.81640625" style="120" bestFit="1" customWidth="1"/>
    <col min="2308" max="2308" width="13.54296875" style="120" bestFit="1" customWidth="1"/>
    <col min="2309" max="2309" width="15.453125" style="120" customWidth="1"/>
    <col min="2310" max="2310" width="24" style="120" bestFit="1" customWidth="1"/>
    <col min="2311" max="2311" width="32.1796875" style="120" bestFit="1" customWidth="1"/>
    <col min="2312" max="2312" width="24.1796875" style="120" bestFit="1" customWidth="1"/>
    <col min="2313" max="2313" width="24.1796875" style="120" customWidth="1"/>
    <col min="2314" max="2314" width="32.1796875" style="120" bestFit="1" customWidth="1"/>
    <col min="2315" max="2317" width="32.1796875" style="120" customWidth="1"/>
    <col min="2318" max="2318" width="20.7265625" style="120" customWidth="1"/>
    <col min="2319" max="2319" width="16.1796875" style="120" customWidth="1"/>
    <col min="2320" max="2320" width="25.453125" style="120" bestFit="1" customWidth="1"/>
    <col min="2321" max="2321" width="26.1796875" style="120" bestFit="1" customWidth="1"/>
    <col min="2322" max="2322" width="28" style="120" bestFit="1" customWidth="1"/>
    <col min="2323" max="2324" width="28" style="120" customWidth="1"/>
    <col min="2325" max="2325" width="27" style="120" bestFit="1" customWidth="1"/>
    <col min="2326" max="2326" width="52.453125" style="120" customWidth="1"/>
    <col min="2327" max="2560" width="11.453125" style="120"/>
    <col min="2561" max="2561" width="9.26953125" style="120" customWidth="1"/>
    <col min="2562" max="2562" width="24" style="120" customWidth="1"/>
    <col min="2563" max="2563" width="91.81640625" style="120" bestFit="1" customWidth="1"/>
    <col min="2564" max="2564" width="13.54296875" style="120" bestFit="1" customWidth="1"/>
    <col min="2565" max="2565" width="15.453125" style="120" customWidth="1"/>
    <col min="2566" max="2566" width="24" style="120" bestFit="1" customWidth="1"/>
    <col min="2567" max="2567" width="32.1796875" style="120" bestFit="1" customWidth="1"/>
    <col min="2568" max="2568" width="24.1796875" style="120" bestFit="1" customWidth="1"/>
    <col min="2569" max="2569" width="24.1796875" style="120" customWidth="1"/>
    <col min="2570" max="2570" width="32.1796875" style="120" bestFit="1" customWidth="1"/>
    <col min="2571" max="2573" width="32.1796875" style="120" customWidth="1"/>
    <col min="2574" max="2574" width="20.7265625" style="120" customWidth="1"/>
    <col min="2575" max="2575" width="16.1796875" style="120" customWidth="1"/>
    <col min="2576" max="2576" width="25.453125" style="120" bestFit="1" customWidth="1"/>
    <col min="2577" max="2577" width="26.1796875" style="120" bestFit="1" customWidth="1"/>
    <col min="2578" max="2578" width="28" style="120" bestFit="1" customWidth="1"/>
    <col min="2579" max="2580" width="28" style="120" customWidth="1"/>
    <col min="2581" max="2581" width="27" style="120" bestFit="1" customWidth="1"/>
    <col min="2582" max="2582" width="52.453125" style="120" customWidth="1"/>
    <col min="2583" max="2816" width="11.453125" style="120"/>
    <col min="2817" max="2817" width="9.26953125" style="120" customWidth="1"/>
    <col min="2818" max="2818" width="24" style="120" customWidth="1"/>
    <col min="2819" max="2819" width="91.81640625" style="120" bestFit="1" customWidth="1"/>
    <col min="2820" max="2820" width="13.54296875" style="120" bestFit="1" customWidth="1"/>
    <col min="2821" max="2821" width="15.453125" style="120" customWidth="1"/>
    <col min="2822" max="2822" width="24" style="120" bestFit="1" customWidth="1"/>
    <col min="2823" max="2823" width="32.1796875" style="120" bestFit="1" customWidth="1"/>
    <col min="2824" max="2824" width="24.1796875" style="120" bestFit="1" customWidth="1"/>
    <col min="2825" max="2825" width="24.1796875" style="120" customWidth="1"/>
    <col min="2826" max="2826" width="32.1796875" style="120" bestFit="1" customWidth="1"/>
    <col min="2827" max="2829" width="32.1796875" style="120" customWidth="1"/>
    <col min="2830" max="2830" width="20.7265625" style="120" customWidth="1"/>
    <col min="2831" max="2831" width="16.1796875" style="120" customWidth="1"/>
    <col min="2832" max="2832" width="25.453125" style="120" bestFit="1" customWidth="1"/>
    <col min="2833" max="2833" width="26.1796875" style="120" bestFit="1" customWidth="1"/>
    <col min="2834" max="2834" width="28" style="120" bestFit="1" customWidth="1"/>
    <col min="2835" max="2836" width="28" style="120" customWidth="1"/>
    <col min="2837" max="2837" width="27" style="120" bestFit="1" customWidth="1"/>
    <col min="2838" max="2838" width="52.453125" style="120" customWidth="1"/>
    <col min="2839" max="3072" width="11.453125" style="120"/>
    <col min="3073" max="3073" width="9.26953125" style="120" customWidth="1"/>
    <col min="3074" max="3074" width="24" style="120" customWidth="1"/>
    <col min="3075" max="3075" width="91.81640625" style="120" bestFit="1" customWidth="1"/>
    <col min="3076" max="3076" width="13.54296875" style="120" bestFit="1" customWidth="1"/>
    <col min="3077" max="3077" width="15.453125" style="120" customWidth="1"/>
    <col min="3078" max="3078" width="24" style="120" bestFit="1" customWidth="1"/>
    <col min="3079" max="3079" width="32.1796875" style="120" bestFit="1" customWidth="1"/>
    <col min="3080" max="3080" width="24.1796875" style="120" bestFit="1" customWidth="1"/>
    <col min="3081" max="3081" width="24.1796875" style="120" customWidth="1"/>
    <col min="3082" max="3082" width="32.1796875" style="120" bestFit="1" customWidth="1"/>
    <col min="3083" max="3085" width="32.1796875" style="120" customWidth="1"/>
    <col min="3086" max="3086" width="20.7265625" style="120" customWidth="1"/>
    <col min="3087" max="3087" width="16.1796875" style="120" customWidth="1"/>
    <col min="3088" max="3088" width="25.453125" style="120" bestFit="1" customWidth="1"/>
    <col min="3089" max="3089" width="26.1796875" style="120" bestFit="1" customWidth="1"/>
    <col min="3090" max="3090" width="28" style="120" bestFit="1" customWidth="1"/>
    <col min="3091" max="3092" width="28" style="120" customWidth="1"/>
    <col min="3093" max="3093" width="27" style="120" bestFit="1" customWidth="1"/>
    <col min="3094" max="3094" width="52.453125" style="120" customWidth="1"/>
    <col min="3095" max="3328" width="11.453125" style="120"/>
    <col min="3329" max="3329" width="9.26953125" style="120" customWidth="1"/>
    <col min="3330" max="3330" width="24" style="120" customWidth="1"/>
    <col min="3331" max="3331" width="91.81640625" style="120" bestFit="1" customWidth="1"/>
    <col min="3332" max="3332" width="13.54296875" style="120" bestFit="1" customWidth="1"/>
    <col min="3333" max="3333" width="15.453125" style="120" customWidth="1"/>
    <col min="3334" max="3334" width="24" style="120" bestFit="1" customWidth="1"/>
    <col min="3335" max="3335" width="32.1796875" style="120" bestFit="1" customWidth="1"/>
    <col min="3336" max="3336" width="24.1796875" style="120" bestFit="1" customWidth="1"/>
    <col min="3337" max="3337" width="24.1796875" style="120" customWidth="1"/>
    <col min="3338" max="3338" width="32.1796875" style="120" bestFit="1" customWidth="1"/>
    <col min="3339" max="3341" width="32.1796875" style="120" customWidth="1"/>
    <col min="3342" max="3342" width="20.7265625" style="120" customWidth="1"/>
    <col min="3343" max="3343" width="16.1796875" style="120" customWidth="1"/>
    <col min="3344" max="3344" width="25.453125" style="120" bestFit="1" customWidth="1"/>
    <col min="3345" max="3345" width="26.1796875" style="120" bestFit="1" customWidth="1"/>
    <col min="3346" max="3346" width="28" style="120" bestFit="1" customWidth="1"/>
    <col min="3347" max="3348" width="28" style="120" customWidth="1"/>
    <col min="3349" max="3349" width="27" style="120" bestFit="1" customWidth="1"/>
    <col min="3350" max="3350" width="52.453125" style="120" customWidth="1"/>
    <col min="3351" max="3584" width="11.453125" style="120"/>
    <col min="3585" max="3585" width="9.26953125" style="120" customWidth="1"/>
    <col min="3586" max="3586" width="24" style="120" customWidth="1"/>
    <col min="3587" max="3587" width="91.81640625" style="120" bestFit="1" customWidth="1"/>
    <col min="3588" max="3588" width="13.54296875" style="120" bestFit="1" customWidth="1"/>
    <col min="3589" max="3589" width="15.453125" style="120" customWidth="1"/>
    <col min="3590" max="3590" width="24" style="120" bestFit="1" customWidth="1"/>
    <col min="3591" max="3591" width="32.1796875" style="120" bestFit="1" customWidth="1"/>
    <col min="3592" max="3592" width="24.1796875" style="120" bestFit="1" customWidth="1"/>
    <col min="3593" max="3593" width="24.1796875" style="120" customWidth="1"/>
    <col min="3594" max="3594" width="32.1796875" style="120" bestFit="1" customWidth="1"/>
    <col min="3595" max="3597" width="32.1796875" style="120" customWidth="1"/>
    <col min="3598" max="3598" width="20.7265625" style="120" customWidth="1"/>
    <col min="3599" max="3599" width="16.1796875" style="120" customWidth="1"/>
    <col min="3600" max="3600" width="25.453125" style="120" bestFit="1" customWidth="1"/>
    <col min="3601" max="3601" width="26.1796875" style="120" bestFit="1" customWidth="1"/>
    <col min="3602" max="3602" width="28" style="120" bestFit="1" customWidth="1"/>
    <col min="3603" max="3604" width="28" style="120" customWidth="1"/>
    <col min="3605" max="3605" width="27" style="120" bestFit="1" customWidth="1"/>
    <col min="3606" max="3606" width="52.453125" style="120" customWidth="1"/>
    <col min="3607" max="3840" width="11.453125" style="120"/>
    <col min="3841" max="3841" width="9.26953125" style="120" customWidth="1"/>
    <col min="3842" max="3842" width="24" style="120" customWidth="1"/>
    <col min="3843" max="3843" width="91.81640625" style="120" bestFit="1" customWidth="1"/>
    <col min="3844" max="3844" width="13.54296875" style="120" bestFit="1" customWidth="1"/>
    <col min="3845" max="3845" width="15.453125" style="120" customWidth="1"/>
    <col min="3846" max="3846" width="24" style="120" bestFit="1" customWidth="1"/>
    <col min="3847" max="3847" width="32.1796875" style="120" bestFit="1" customWidth="1"/>
    <col min="3848" max="3848" width="24.1796875" style="120" bestFit="1" customWidth="1"/>
    <col min="3849" max="3849" width="24.1796875" style="120" customWidth="1"/>
    <col min="3850" max="3850" width="32.1796875" style="120" bestFit="1" customWidth="1"/>
    <col min="3851" max="3853" width="32.1796875" style="120" customWidth="1"/>
    <col min="3854" max="3854" width="20.7265625" style="120" customWidth="1"/>
    <col min="3855" max="3855" width="16.1796875" style="120" customWidth="1"/>
    <col min="3856" max="3856" width="25.453125" style="120" bestFit="1" customWidth="1"/>
    <col min="3857" max="3857" width="26.1796875" style="120" bestFit="1" customWidth="1"/>
    <col min="3858" max="3858" width="28" style="120" bestFit="1" customWidth="1"/>
    <col min="3859" max="3860" width="28" style="120" customWidth="1"/>
    <col min="3861" max="3861" width="27" style="120" bestFit="1" customWidth="1"/>
    <col min="3862" max="3862" width="52.453125" style="120" customWidth="1"/>
    <col min="3863" max="4096" width="11.453125" style="120"/>
    <col min="4097" max="4097" width="9.26953125" style="120" customWidth="1"/>
    <col min="4098" max="4098" width="24" style="120" customWidth="1"/>
    <col min="4099" max="4099" width="91.81640625" style="120" bestFit="1" customWidth="1"/>
    <col min="4100" max="4100" width="13.54296875" style="120" bestFit="1" customWidth="1"/>
    <col min="4101" max="4101" width="15.453125" style="120" customWidth="1"/>
    <col min="4102" max="4102" width="24" style="120" bestFit="1" customWidth="1"/>
    <col min="4103" max="4103" width="32.1796875" style="120" bestFit="1" customWidth="1"/>
    <col min="4104" max="4104" width="24.1796875" style="120" bestFit="1" customWidth="1"/>
    <col min="4105" max="4105" width="24.1796875" style="120" customWidth="1"/>
    <col min="4106" max="4106" width="32.1796875" style="120" bestFit="1" customWidth="1"/>
    <col min="4107" max="4109" width="32.1796875" style="120" customWidth="1"/>
    <col min="4110" max="4110" width="20.7265625" style="120" customWidth="1"/>
    <col min="4111" max="4111" width="16.1796875" style="120" customWidth="1"/>
    <col min="4112" max="4112" width="25.453125" style="120" bestFit="1" customWidth="1"/>
    <col min="4113" max="4113" width="26.1796875" style="120" bestFit="1" customWidth="1"/>
    <col min="4114" max="4114" width="28" style="120" bestFit="1" customWidth="1"/>
    <col min="4115" max="4116" width="28" style="120" customWidth="1"/>
    <col min="4117" max="4117" width="27" style="120" bestFit="1" customWidth="1"/>
    <col min="4118" max="4118" width="52.453125" style="120" customWidth="1"/>
    <col min="4119" max="4352" width="11.453125" style="120"/>
    <col min="4353" max="4353" width="9.26953125" style="120" customWidth="1"/>
    <col min="4354" max="4354" width="24" style="120" customWidth="1"/>
    <col min="4355" max="4355" width="91.81640625" style="120" bestFit="1" customWidth="1"/>
    <col min="4356" max="4356" width="13.54296875" style="120" bestFit="1" customWidth="1"/>
    <col min="4357" max="4357" width="15.453125" style="120" customWidth="1"/>
    <col min="4358" max="4358" width="24" style="120" bestFit="1" customWidth="1"/>
    <col min="4359" max="4359" width="32.1796875" style="120" bestFit="1" customWidth="1"/>
    <col min="4360" max="4360" width="24.1796875" style="120" bestFit="1" customWidth="1"/>
    <col min="4361" max="4361" width="24.1796875" style="120" customWidth="1"/>
    <col min="4362" max="4362" width="32.1796875" style="120" bestFit="1" customWidth="1"/>
    <col min="4363" max="4365" width="32.1796875" style="120" customWidth="1"/>
    <col min="4366" max="4366" width="20.7265625" style="120" customWidth="1"/>
    <col min="4367" max="4367" width="16.1796875" style="120" customWidth="1"/>
    <col min="4368" max="4368" width="25.453125" style="120" bestFit="1" customWidth="1"/>
    <col min="4369" max="4369" width="26.1796875" style="120" bestFit="1" customWidth="1"/>
    <col min="4370" max="4370" width="28" style="120" bestFit="1" customWidth="1"/>
    <col min="4371" max="4372" width="28" style="120" customWidth="1"/>
    <col min="4373" max="4373" width="27" style="120" bestFit="1" customWidth="1"/>
    <col min="4374" max="4374" width="52.453125" style="120" customWidth="1"/>
    <col min="4375" max="4608" width="11.453125" style="120"/>
    <col min="4609" max="4609" width="9.26953125" style="120" customWidth="1"/>
    <col min="4610" max="4610" width="24" style="120" customWidth="1"/>
    <col min="4611" max="4611" width="91.81640625" style="120" bestFit="1" customWidth="1"/>
    <col min="4612" max="4612" width="13.54296875" style="120" bestFit="1" customWidth="1"/>
    <col min="4613" max="4613" width="15.453125" style="120" customWidth="1"/>
    <col min="4614" max="4614" width="24" style="120" bestFit="1" customWidth="1"/>
    <col min="4615" max="4615" width="32.1796875" style="120" bestFit="1" customWidth="1"/>
    <col min="4616" max="4616" width="24.1796875" style="120" bestFit="1" customWidth="1"/>
    <col min="4617" max="4617" width="24.1796875" style="120" customWidth="1"/>
    <col min="4618" max="4618" width="32.1796875" style="120" bestFit="1" customWidth="1"/>
    <col min="4619" max="4621" width="32.1796875" style="120" customWidth="1"/>
    <col min="4622" max="4622" width="20.7265625" style="120" customWidth="1"/>
    <col min="4623" max="4623" width="16.1796875" style="120" customWidth="1"/>
    <col min="4624" max="4624" width="25.453125" style="120" bestFit="1" customWidth="1"/>
    <col min="4625" max="4625" width="26.1796875" style="120" bestFit="1" customWidth="1"/>
    <col min="4626" max="4626" width="28" style="120" bestFit="1" customWidth="1"/>
    <col min="4627" max="4628" width="28" style="120" customWidth="1"/>
    <col min="4629" max="4629" width="27" style="120" bestFit="1" customWidth="1"/>
    <col min="4630" max="4630" width="52.453125" style="120" customWidth="1"/>
    <col min="4631" max="4864" width="11.453125" style="120"/>
    <col min="4865" max="4865" width="9.26953125" style="120" customWidth="1"/>
    <col min="4866" max="4866" width="24" style="120" customWidth="1"/>
    <col min="4867" max="4867" width="91.81640625" style="120" bestFit="1" customWidth="1"/>
    <col min="4868" max="4868" width="13.54296875" style="120" bestFit="1" customWidth="1"/>
    <col min="4869" max="4869" width="15.453125" style="120" customWidth="1"/>
    <col min="4870" max="4870" width="24" style="120" bestFit="1" customWidth="1"/>
    <col min="4871" max="4871" width="32.1796875" style="120" bestFit="1" customWidth="1"/>
    <col min="4872" max="4872" width="24.1796875" style="120" bestFit="1" customWidth="1"/>
    <col min="4873" max="4873" width="24.1796875" style="120" customWidth="1"/>
    <col min="4874" max="4874" width="32.1796875" style="120" bestFit="1" customWidth="1"/>
    <col min="4875" max="4877" width="32.1796875" style="120" customWidth="1"/>
    <col min="4878" max="4878" width="20.7265625" style="120" customWidth="1"/>
    <col min="4879" max="4879" width="16.1796875" style="120" customWidth="1"/>
    <col min="4880" max="4880" width="25.453125" style="120" bestFit="1" customWidth="1"/>
    <col min="4881" max="4881" width="26.1796875" style="120" bestFit="1" customWidth="1"/>
    <col min="4882" max="4882" width="28" style="120" bestFit="1" customWidth="1"/>
    <col min="4883" max="4884" width="28" style="120" customWidth="1"/>
    <col min="4885" max="4885" width="27" style="120" bestFit="1" customWidth="1"/>
    <col min="4886" max="4886" width="52.453125" style="120" customWidth="1"/>
    <col min="4887" max="5120" width="11.453125" style="120"/>
    <col min="5121" max="5121" width="9.26953125" style="120" customWidth="1"/>
    <col min="5122" max="5122" width="24" style="120" customWidth="1"/>
    <col min="5123" max="5123" width="91.81640625" style="120" bestFit="1" customWidth="1"/>
    <col min="5124" max="5124" width="13.54296875" style="120" bestFit="1" customWidth="1"/>
    <col min="5125" max="5125" width="15.453125" style="120" customWidth="1"/>
    <col min="5126" max="5126" width="24" style="120" bestFit="1" customWidth="1"/>
    <col min="5127" max="5127" width="32.1796875" style="120" bestFit="1" customWidth="1"/>
    <col min="5128" max="5128" width="24.1796875" style="120" bestFit="1" customWidth="1"/>
    <col min="5129" max="5129" width="24.1796875" style="120" customWidth="1"/>
    <col min="5130" max="5130" width="32.1796875" style="120" bestFit="1" customWidth="1"/>
    <col min="5131" max="5133" width="32.1796875" style="120" customWidth="1"/>
    <col min="5134" max="5134" width="20.7265625" style="120" customWidth="1"/>
    <col min="5135" max="5135" width="16.1796875" style="120" customWidth="1"/>
    <col min="5136" max="5136" width="25.453125" style="120" bestFit="1" customWidth="1"/>
    <col min="5137" max="5137" width="26.1796875" style="120" bestFit="1" customWidth="1"/>
    <col min="5138" max="5138" width="28" style="120" bestFit="1" customWidth="1"/>
    <col min="5139" max="5140" width="28" style="120" customWidth="1"/>
    <col min="5141" max="5141" width="27" style="120" bestFit="1" customWidth="1"/>
    <col min="5142" max="5142" width="52.453125" style="120" customWidth="1"/>
    <col min="5143" max="5376" width="11.453125" style="120"/>
    <col min="5377" max="5377" width="9.26953125" style="120" customWidth="1"/>
    <col min="5378" max="5378" width="24" style="120" customWidth="1"/>
    <col min="5379" max="5379" width="91.81640625" style="120" bestFit="1" customWidth="1"/>
    <col min="5380" max="5380" width="13.54296875" style="120" bestFit="1" customWidth="1"/>
    <col min="5381" max="5381" width="15.453125" style="120" customWidth="1"/>
    <col min="5382" max="5382" width="24" style="120" bestFit="1" customWidth="1"/>
    <col min="5383" max="5383" width="32.1796875" style="120" bestFit="1" customWidth="1"/>
    <col min="5384" max="5384" width="24.1796875" style="120" bestFit="1" customWidth="1"/>
    <col min="5385" max="5385" width="24.1796875" style="120" customWidth="1"/>
    <col min="5386" max="5386" width="32.1796875" style="120" bestFit="1" customWidth="1"/>
    <col min="5387" max="5389" width="32.1796875" style="120" customWidth="1"/>
    <col min="5390" max="5390" width="20.7265625" style="120" customWidth="1"/>
    <col min="5391" max="5391" width="16.1796875" style="120" customWidth="1"/>
    <col min="5392" max="5392" width="25.453125" style="120" bestFit="1" customWidth="1"/>
    <col min="5393" max="5393" width="26.1796875" style="120" bestFit="1" customWidth="1"/>
    <col min="5394" max="5394" width="28" style="120" bestFit="1" customWidth="1"/>
    <col min="5395" max="5396" width="28" style="120" customWidth="1"/>
    <col min="5397" max="5397" width="27" style="120" bestFit="1" customWidth="1"/>
    <col min="5398" max="5398" width="52.453125" style="120" customWidth="1"/>
    <col min="5399" max="5632" width="11.453125" style="120"/>
    <col min="5633" max="5633" width="9.26953125" style="120" customWidth="1"/>
    <col min="5634" max="5634" width="24" style="120" customWidth="1"/>
    <col min="5635" max="5635" width="91.81640625" style="120" bestFit="1" customWidth="1"/>
    <col min="5636" max="5636" width="13.54296875" style="120" bestFit="1" customWidth="1"/>
    <col min="5637" max="5637" width="15.453125" style="120" customWidth="1"/>
    <col min="5638" max="5638" width="24" style="120" bestFit="1" customWidth="1"/>
    <col min="5639" max="5639" width="32.1796875" style="120" bestFit="1" customWidth="1"/>
    <col min="5640" max="5640" width="24.1796875" style="120" bestFit="1" customWidth="1"/>
    <col min="5641" max="5641" width="24.1796875" style="120" customWidth="1"/>
    <col min="5642" max="5642" width="32.1796875" style="120" bestFit="1" customWidth="1"/>
    <col min="5643" max="5645" width="32.1796875" style="120" customWidth="1"/>
    <col min="5646" max="5646" width="20.7265625" style="120" customWidth="1"/>
    <col min="5647" max="5647" width="16.1796875" style="120" customWidth="1"/>
    <col min="5648" max="5648" width="25.453125" style="120" bestFit="1" customWidth="1"/>
    <col min="5649" max="5649" width="26.1796875" style="120" bestFit="1" customWidth="1"/>
    <col min="5650" max="5650" width="28" style="120" bestFit="1" customWidth="1"/>
    <col min="5651" max="5652" width="28" style="120" customWidth="1"/>
    <col min="5653" max="5653" width="27" style="120" bestFit="1" customWidth="1"/>
    <col min="5654" max="5654" width="52.453125" style="120" customWidth="1"/>
    <col min="5655" max="5888" width="11.453125" style="120"/>
    <col min="5889" max="5889" width="9.26953125" style="120" customWidth="1"/>
    <col min="5890" max="5890" width="24" style="120" customWidth="1"/>
    <col min="5891" max="5891" width="91.81640625" style="120" bestFit="1" customWidth="1"/>
    <col min="5892" max="5892" width="13.54296875" style="120" bestFit="1" customWidth="1"/>
    <col min="5893" max="5893" width="15.453125" style="120" customWidth="1"/>
    <col min="5894" max="5894" width="24" style="120" bestFit="1" customWidth="1"/>
    <col min="5895" max="5895" width="32.1796875" style="120" bestFit="1" customWidth="1"/>
    <col min="5896" max="5896" width="24.1796875" style="120" bestFit="1" customWidth="1"/>
    <col min="5897" max="5897" width="24.1796875" style="120" customWidth="1"/>
    <col min="5898" max="5898" width="32.1796875" style="120" bestFit="1" customWidth="1"/>
    <col min="5899" max="5901" width="32.1796875" style="120" customWidth="1"/>
    <col min="5902" max="5902" width="20.7265625" style="120" customWidth="1"/>
    <col min="5903" max="5903" width="16.1796875" style="120" customWidth="1"/>
    <col min="5904" max="5904" width="25.453125" style="120" bestFit="1" customWidth="1"/>
    <col min="5905" max="5905" width="26.1796875" style="120" bestFit="1" customWidth="1"/>
    <col min="5906" max="5906" width="28" style="120" bestFit="1" customWidth="1"/>
    <col min="5907" max="5908" width="28" style="120" customWidth="1"/>
    <col min="5909" max="5909" width="27" style="120" bestFit="1" customWidth="1"/>
    <col min="5910" max="5910" width="52.453125" style="120" customWidth="1"/>
    <col min="5911" max="6144" width="11.453125" style="120"/>
    <col min="6145" max="6145" width="9.26953125" style="120" customWidth="1"/>
    <col min="6146" max="6146" width="24" style="120" customWidth="1"/>
    <col min="6147" max="6147" width="91.81640625" style="120" bestFit="1" customWidth="1"/>
    <col min="6148" max="6148" width="13.54296875" style="120" bestFit="1" customWidth="1"/>
    <col min="6149" max="6149" width="15.453125" style="120" customWidth="1"/>
    <col min="6150" max="6150" width="24" style="120" bestFit="1" customWidth="1"/>
    <col min="6151" max="6151" width="32.1796875" style="120" bestFit="1" customWidth="1"/>
    <col min="6152" max="6152" width="24.1796875" style="120" bestFit="1" customWidth="1"/>
    <col min="6153" max="6153" width="24.1796875" style="120" customWidth="1"/>
    <col min="6154" max="6154" width="32.1796875" style="120" bestFit="1" customWidth="1"/>
    <col min="6155" max="6157" width="32.1796875" style="120" customWidth="1"/>
    <col min="6158" max="6158" width="20.7265625" style="120" customWidth="1"/>
    <col min="6159" max="6159" width="16.1796875" style="120" customWidth="1"/>
    <col min="6160" max="6160" width="25.453125" style="120" bestFit="1" customWidth="1"/>
    <col min="6161" max="6161" width="26.1796875" style="120" bestFit="1" customWidth="1"/>
    <col min="6162" max="6162" width="28" style="120" bestFit="1" customWidth="1"/>
    <col min="6163" max="6164" width="28" style="120" customWidth="1"/>
    <col min="6165" max="6165" width="27" style="120" bestFit="1" customWidth="1"/>
    <col min="6166" max="6166" width="52.453125" style="120" customWidth="1"/>
    <col min="6167" max="6400" width="11.453125" style="120"/>
    <col min="6401" max="6401" width="9.26953125" style="120" customWidth="1"/>
    <col min="6402" max="6402" width="24" style="120" customWidth="1"/>
    <col min="6403" max="6403" width="91.81640625" style="120" bestFit="1" customWidth="1"/>
    <col min="6404" max="6404" width="13.54296875" style="120" bestFit="1" customWidth="1"/>
    <col min="6405" max="6405" width="15.453125" style="120" customWidth="1"/>
    <col min="6406" max="6406" width="24" style="120" bestFit="1" customWidth="1"/>
    <col min="6407" max="6407" width="32.1796875" style="120" bestFit="1" customWidth="1"/>
    <col min="6408" max="6408" width="24.1796875" style="120" bestFit="1" customWidth="1"/>
    <col min="6409" max="6409" width="24.1796875" style="120" customWidth="1"/>
    <col min="6410" max="6410" width="32.1796875" style="120" bestFit="1" customWidth="1"/>
    <col min="6411" max="6413" width="32.1796875" style="120" customWidth="1"/>
    <col min="6414" max="6414" width="20.7265625" style="120" customWidth="1"/>
    <col min="6415" max="6415" width="16.1796875" style="120" customWidth="1"/>
    <col min="6416" max="6416" width="25.453125" style="120" bestFit="1" customWidth="1"/>
    <col min="6417" max="6417" width="26.1796875" style="120" bestFit="1" customWidth="1"/>
    <col min="6418" max="6418" width="28" style="120" bestFit="1" customWidth="1"/>
    <col min="6419" max="6420" width="28" style="120" customWidth="1"/>
    <col min="6421" max="6421" width="27" style="120" bestFit="1" customWidth="1"/>
    <col min="6422" max="6422" width="52.453125" style="120" customWidth="1"/>
    <col min="6423" max="6656" width="11.453125" style="120"/>
    <col min="6657" max="6657" width="9.26953125" style="120" customWidth="1"/>
    <col min="6658" max="6658" width="24" style="120" customWidth="1"/>
    <col min="6659" max="6659" width="91.81640625" style="120" bestFit="1" customWidth="1"/>
    <col min="6660" max="6660" width="13.54296875" style="120" bestFit="1" customWidth="1"/>
    <col min="6661" max="6661" width="15.453125" style="120" customWidth="1"/>
    <col min="6662" max="6662" width="24" style="120" bestFit="1" customWidth="1"/>
    <col min="6663" max="6663" width="32.1796875" style="120" bestFit="1" customWidth="1"/>
    <col min="6664" max="6664" width="24.1796875" style="120" bestFit="1" customWidth="1"/>
    <col min="6665" max="6665" width="24.1796875" style="120" customWidth="1"/>
    <col min="6666" max="6666" width="32.1796875" style="120" bestFit="1" customWidth="1"/>
    <col min="6667" max="6669" width="32.1796875" style="120" customWidth="1"/>
    <col min="6670" max="6670" width="20.7265625" style="120" customWidth="1"/>
    <col min="6671" max="6671" width="16.1796875" style="120" customWidth="1"/>
    <col min="6672" max="6672" width="25.453125" style="120" bestFit="1" customWidth="1"/>
    <col min="6673" max="6673" width="26.1796875" style="120" bestFit="1" customWidth="1"/>
    <col min="6674" max="6674" width="28" style="120" bestFit="1" customWidth="1"/>
    <col min="6675" max="6676" width="28" style="120" customWidth="1"/>
    <col min="6677" max="6677" width="27" style="120" bestFit="1" customWidth="1"/>
    <col min="6678" max="6678" width="52.453125" style="120" customWidth="1"/>
    <col min="6679" max="6912" width="11.453125" style="120"/>
    <col min="6913" max="6913" width="9.26953125" style="120" customWidth="1"/>
    <col min="6914" max="6914" width="24" style="120" customWidth="1"/>
    <col min="6915" max="6915" width="91.81640625" style="120" bestFit="1" customWidth="1"/>
    <col min="6916" max="6916" width="13.54296875" style="120" bestFit="1" customWidth="1"/>
    <col min="6917" max="6917" width="15.453125" style="120" customWidth="1"/>
    <col min="6918" max="6918" width="24" style="120" bestFit="1" customWidth="1"/>
    <col min="6919" max="6919" width="32.1796875" style="120" bestFit="1" customWidth="1"/>
    <col min="6920" max="6920" width="24.1796875" style="120" bestFit="1" customWidth="1"/>
    <col min="6921" max="6921" width="24.1796875" style="120" customWidth="1"/>
    <col min="6922" max="6922" width="32.1796875" style="120" bestFit="1" customWidth="1"/>
    <col min="6923" max="6925" width="32.1796875" style="120" customWidth="1"/>
    <col min="6926" max="6926" width="20.7265625" style="120" customWidth="1"/>
    <col min="6927" max="6927" width="16.1796875" style="120" customWidth="1"/>
    <col min="6928" max="6928" width="25.453125" style="120" bestFit="1" customWidth="1"/>
    <col min="6929" max="6929" width="26.1796875" style="120" bestFit="1" customWidth="1"/>
    <col min="6930" max="6930" width="28" style="120" bestFit="1" customWidth="1"/>
    <col min="6931" max="6932" width="28" style="120" customWidth="1"/>
    <col min="6933" max="6933" width="27" style="120" bestFit="1" customWidth="1"/>
    <col min="6934" max="6934" width="52.453125" style="120" customWidth="1"/>
    <col min="6935" max="7168" width="11.453125" style="120"/>
    <col min="7169" max="7169" width="9.26953125" style="120" customWidth="1"/>
    <col min="7170" max="7170" width="24" style="120" customWidth="1"/>
    <col min="7171" max="7171" width="91.81640625" style="120" bestFit="1" customWidth="1"/>
    <col min="7172" max="7172" width="13.54296875" style="120" bestFit="1" customWidth="1"/>
    <col min="7173" max="7173" width="15.453125" style="120" customWidth="1"/>
    <col min="7174" max="7174" width="24" style="120" bestFit="1" customWidth="1"/>
    <col min="7175" max="7175" width="32.1796875" style="120" bestFit="1" customWidth="1"/>
    <col min="7176" max="7176" width="24.1796875" style="120" bestFit="1" customWidth="1"/>
    <col min="7177" max="7177" width="24.1796875" style="120" customWidth="1"/>
    <col min="7178" max="7178" width="32.1796875" style="120" bestFit="1" customWidth="1"/>
    <col min="7179" max="7181" width="32.1796875" style="120" customWidth="1"/>
    <col min="7182" max="7182" width="20.7265625" style="120" customWidth="1"/>
    <col min="7183" max="7183" width="16.1796875" style="120" customWidth="1"/>
    <col min="7184" max="7184" width="25.453125" style="120" bestFit="1" customWidth="1"/>
    <col min="7185" max="7185" width="26.1796875" style="120" bestFit="1" customWidth="1"/>
    <col min="7186" max="7186" width="28" style="120" bestFit="1" customWidth="1"/>
    <col min="7187" max="7188" width="28" style="120" customWidth="1"/>
    <col min="7189" max="7189" width="27" style="120" bestFit="1" customWidth="1"/>
    <col min="7190" max="7190" width="52.453125" style="120" customWidth="1"/>
    <col min="7191" max="7424" width="11.453125" style="120"/>
    <col min="7425" max="7425" width="9.26953125" style="120" customWidth="1"/>
    <col min="7426" max="7426" width="24" style="120" customWidth="1"/>
    <col min="7427" max="7427" width="91.81640625" style="120" bestFit="1" customWidth="1"/>
    <col min="7428" max="7428" width="13.54296875" style="120" bestFit="1" customWidth="1"/>
    <col min="7429" max="7429" width="15.453125" style="120" customWidth="1"/>
    <col min="7430" max="7430" width="24" style="120" bestFit="1" customWidth="1"/>
    <col min="7431" max="7431" width="32.1796875" style="120" bestFit="1" customWidth="1"/>
    <col min="7432" max="7432" width="24.1796875" style="120" bestFit="1" customWidth="1"/>
    <col min="7433" max="7433" width="24.1796875" style="120" customWidth="1"/>
    <col min="7434" max="7434" width="32.1796875" style="120" bestFit="1" customWidth="1"/>
    <col min="7435" max="7437" width="32.1796875" style="120" customWidth="1"/>
    <col min="7438" max="7438" width="20.7265625" style="120" customWidth="1"/>
    <col min="7439" max="7439" width="16.1796875" style="120" customWidth="1"/>
    <col min="7440" max="7440" width="25.453125" style="120" bestFit="1" customWidth="1"/>
    <col min="7441" max="7441" width="26.1796875" style="120" bestFit="1" customWidth="1"/>
    <col min="7442" max="7442" width="28" style="120" bestFit="1" customWidth="1"/>
    <col min="7443" max="7444" width="28" style="120" customWidth="1"/>
    <col min="7445" max="7445" width="27" style="120" bestFit="1" customWidth="1"/>
    <col min="7446" max="7446" width="52.453125" style="120" customWidth="1"/>
    <col min="7447" max="7680" width="11.453125" style="120"/>
    <col min="7681" max="7681" width="9.26953125" style="120" customWidth="1"/>
    <col min="7682" max="7682" width="24" style="120" customWidth="1"/>
    <col min="7683" max="7683" width="91.81640625" style="120" bestFit="1" customWidth="1"/>
    <col min="7684" max="7684" width="13.54296875" style="120" bestFit="1" customWidth="1"/>
    <col min="7685" max="7685" width="15.453125" style="120" customWidth="1"/>
    <col min="7686" max="7686" width="24" style="120" bestFit="1" customWidth="1"/>
    <col min="7687" max="7687" width="32.1796875" style="120" bestFit="1" customWidth="1"/>
    <col min="7688" max="7688" width="24.1796875" style="120" bestFit="1" customWidth="1"/>
    <col min="7689" max="7689" width="24.1796875" style="120" customWidth="1"/>
    <col min="7690" max="7690" width="32.1796875" style="120" bestFit="1" customWidth="1"/>
    <col min="7691" max="7693" width="32.1796875" style="120" customWidth="1"/>
    <col min="7694" max="7694" width="20.7265625" style="120" customWidth="1"/>
    <col min="7695" max="7695" width="16.1796875" style="120" customWidth="1"/>
    <col min="7696" max="7696" width="25.453125" style="120" bestFit="1" customWidth="1"/>
    <col min="7697" max="7697" width="26.1796875" style="120" bestFit="1" customWidth="1"/>
    <col min="7698" max="7698" width="28" style="120" bestFit="1" customWidth="1"/>
    <col min="7699" max="7700" width="28" style="120" customWidth="1"/>
    <col min="7701" max="7701" width="27" style="120" bestFit="1" customWidth="1"/>
    <col min="7702" max="7702" width="52.453125" style="120" customWidth="1"/>
    <col min="7703" max="7936" width="11.453125" style="120"/>
    <col min="7937" max="7937" width="9.26953125" style="120" customWidth="1"/>
    <col min="7938" max="7938" width="24" style="120" customWidth="1"/>
    <col min="7939" max="7939" width="91.81640625" style="120" bestFit="1" customWidth="1"/>
    <col min="7940" max="7940" width="13.54296875" style="120" bestFit="1" customWidth="1"/>
    <col min="7941" max="7941" width="15.453125" style="120" customWidth="1"/>
    <col min="7942" max="7942" width="24" style="120" bestFit="1" customWidth="1"/>
    <col min="7943" max="7943" width="32.1796875" style="120" bestFit="1" customWidth="1"/>
    <col min="7944" max="7944" width="24.1796875" style="120" bestFit="1" customWidth="1"/>
    <col min="7945" max="7945" width="24.1796875" style="120" customWidth="1"/>
    <col min="7946" max="7946" width="32.1796875" style="120" bestFit="1" customWidth="1"/>
    <col min="7947" max="7949" width="32.1796875" style="120" customWidth="1"/>
    <col min="7950" max="7950" width="20.7265625" style="120" customWidth="1"/>
    <col min="7951" max="7951" width="16.1796875" style="120" customWidth="1"/>
    <col min="7952" max="7952" width="25.453125" style="120" bestFit="1" customWidth="1"/>
    <col min="7953" max="7953" width="26.1796875" style="120" bestFit="1" customWidth="1"/>
    <col min="7954" max="7954" width="28" style="120" bestFit="1" customWidth="1"/>
    <col min="7955" max="7956" width="28" style="120" customWidth="1"/>
    <col min="7957" max="7957" width="27" style="120" bestFit="1" customWidth="1"/>
    <col min="7958" max="7958" width="52.453125" style="120" customWidth="1"/>
    <col min="7959" max="8192" width="11.453125" style="120"/>
    <col min="8193" max="8193" width="9.26953125" style="120" customWidth="1"/>
    <col min="8194" max="8194" width="24" style="120" customWidth="1"/>
    <col min="8195" max="8195" width="91.81640625" style="120" bestFit="1" customWidth="1"/>
    <col min="8196" max="8196" width="13.54296875" style="120" bestFit="1" customWidth="1"/>
    <col min="8197" max="8197" width="15.453125" style="120" customWidth="1"/>
    <col min="8198" max="8198" width="24" style="120" bestFit="1" customWidth="1"/>
    <col min="8199" max="8199" width="32.1796875" style="120" bestFit="1" customWidth="1"/>
    <col min="8200" max="8200" width="24.1796875" style="120" bestFit="1" customWidth="1"/>
    <col min="8201" max="8201" width="24.1796875" style="120" customWidth="1"/>
    <col min="8202" max="8202" width="32.1796875" style="120" bestFit="1" customWidth="1"/>
    <col min="8203" max="8205" width="32.1796875" style="120" customWidth="1"/>
    <col min="8206" max="8206" width="20.7265625" style="120" customWidth="1"/>
    <col min="8207" max="8207" width="16.1796875" style="120" customWidth="1"/>
    <col min="8208" max="8208" width="25.453125" style="120" bestFit="1" customWidth="1"/>
    <col min="8209" max="8209" width="26.1796875" style="120" bestFit="1" customWidth="1"/>
    <col min="8210" max="8210" width="28" style="120" bestFit="1" customWidth="1"/>
    <col min="8211" max="8212" width="28" style="120" customWidth="1"/>
    <col min="8213" max="8213" width="27" style="120" bestFit="1" customWidth="1"/>
    <col min="8214" max="8214" width="52.453125" style="120" customWidth="1"/>
    <col min="8215" max="8448" width="11.453125" style="120"/>
    <col min="8449" max="8449" width="9.26953125" style="120" customWidth="1"/>
    <col min="8450" max="8450" width="24" style="120" customWidth="1"/>
    <col min="8451" max="8451" width="91.81640625" style="120" bestFit="1" customWidth="1"/>
    <col min="8452" max="8452" width="13.54296875" style="120" bestFit="1" customWidth="1"/>
    <col min="8453" max="8453" width="15.453125" style="120" customWidth="1"/>
    <col min="8454" max="8454" width="24" style="120" bestFit="1" customWidth="1"/>
    <col min="8455" max="8455" width="32.1796875" style="120" bestFit="1" customWidth="1"/>
    <col min="8456" max="8456" width="24.1796875" style="120" bestFit="1" customWidth="1"/>
    <col min="8457" max="8457" width="24.1796875" style="120" customWidth="1"/>
    <col min="8458" max="8458" width="32.1796875" style="120" bestFit="1" customWidth="1"/>
    <col min="8459" max="8461" width="32.1796875" style="120" customWidth="1"/>
    <col min="8462" max="8462" width="20.7265625" style="120" customWidth="1"/>
    <col min="8463" max="8463" width="16.1796875" style="120" customWidth="1"/>
    <col min="8464" max="8464" width="25.453125" style="120" bestFit="1" customWidth="1"/>
    <col min="8465" max="8465" width="26.1796875" style="120" bestFit="1" customWidth="1"/>
    <col min="8466" max="8466" width="28" style="120" bestFit="1" customWidth="1"/>
    <col min="8467" max="8468" width="28" style="120" customWidth="1"/>
    <col min="8469" max="8469" width="27" style="120" bestFit="1" customWidth="1"/>
    <col min="8470" max="8470" width="52.453125" style="120" customWidth="1"/>
    <col min="8471" max="8704" width="11.453125" style="120"/>
    <col min="8705" max="8705" width="9.26953125" style="120" customWidth="1"/>
    <col min="8706" max="8706" width="24" style="120" customWidth="1"/>
    <col min="8707" max="8707" width="91.81640625" style="120" bestFit="1" customWidth="1"/>
    <col min="8708" max="8708" width="13.54296875" style="120" bestFit="1" customWidth="1"/>
    <col min="8709" max="8709" width="15.453125" style="120" customWidth="1"/>
    <col min="8710" max="8710" width="24" style="120" bestFit="1" customWidth="1"/>
    <col min="8711" max="8711" width="32.1796875" style="120" bestFit="1" customWidth="1"/>
    <col min="8712" max="8712" width="24.1796875" style="120" bestFit="1" customWidth="1"/>
    <col min="8713" max="8713" width="24.1796875" style="120" customWidth="1"/>
    <col min="8714" max="8714" width="32.1796875" style="120" bestFit="1" customWidth="1"/>
    <col min="8715" max="8717" width="32.1796875" style="120" customWidth="1"/>
    <col min="8718" max="8718" width="20.7265625" style="120" customWidth="1"/>
    <col min="8719" max="8719" width="16.1796875" style="120" customWidth="1"/>
    <col min="8720" max="8720" width="25.453125" style="120" bestFit="1" customWidth="1"/>
    <col min="8721" max="8721" width="26.1796875" style="120" bestFit="1" customWidth="1"/>
    <col min="8722" max="8722" width="28" style="120" bestFit="1" customWidth="1"/>
    <col min="8723" max="8724" width="28" style="120" customWidth="1"/>
    <col min="8725" max="8725" width="27" style="120" bestFit="1" customWidth="1"/>
    <col min="8726" max="8726" width="52.453125" style="120" customWidth="1"/>
    <col min="8727" max="8960" width="11.453125" style="120"/>
    <col min="8961" max="8961" width="9.26953125" style="120" customWidth="1"/>
    <col min="8962" max="8962" width="24" style="120" customWidth="1"/>
    <col min="8963" max="8963" width="91.81640625" style="120" bestFit="1" customWidth="1"/>
    <col min="8964" max="8964" width="13.54296875" style="120" bestFit="1" customWidth="1"/>
    <col min="8965" max="8965" width="15.453125" style="120" customWidth="1"/>
    <col min="8966" max="8966" width="24" style="120" bestFit="1" customWidth="1"/>
    <col min="8967" max="8967" width="32.1796875" style="120" bestFit="1" customWidth="1"/>
    <col min="8968" max="8968" width="24.1796875" style="120" bestFit="1" customWidth="1"/>
    <col min="8969" max="8969" width="24.1796875" style="120" customWidth="1"/>
    <col min="8970" max="8970" width="32.1796875" style="120" bestFit="1" customWidth="1"/>
    <col min="8971" max="8973" width="32.1796875" style="120" customWidth="1"/>
    <col min="8974" max="8974" width="20.7265625" style="120" customWidth="1"/>
    <col min="8975" max="8975" width="16.1796875" style="120" customWidth="1"/>
    <col min="8976" max="8976" width="25.453125" style="120" bestFit="1" customWidth="1"/>
    <col min="8977" max="8977" width="26.1796875" style="120" bestFit="1" customWidth="1"/>
    <col min="8978" max="8978" width="28" style="120" bestFit="1" customWidth="1"/>
    <col min="8979" max="8980" width="28" style="120" customWidth="1"/>
    <col min="8981" max="8981" width="27" style="120" bestFit="1" customWidth="1"/>
    <col min="8982" max="8982" width="52.453125" style="120" customWidth="1"/>
    <col min="8983" max="9216" width="11.453125" style="120"/>
    <col min="9217" max="9217" width="9.26953125" style="120" customWidth="1"/>
    <col min="9218" max="9218" width="24" style="120" customWidth="1"/>
    <col min="9219" max="9219" width="91.81640625" style="120" bestFit="1" customWidth="1"/>
    <col min="9220" max="9220" width="13.54296875" style="120" bestFit="1" customWidth="1"/>
    <col min="9221" max="9221" width="15.453125" style="120" customWidth="1"/>
    <col min="9222" max="9222" width="24" style="120" bestFit="1" customWidth="1"/>
    <col min="9223" max="9223" width="32.1796875" style="120" bestFit="1" customWidth="1"/>
    <col min="9224" max="9224" width="24.1796875" style="120" bestFit="1" customWidth="1"/>
    <col min="9225" max="9225" width="24.1796875" style="120" customWidth="1"/>
    <col min="9226" max="9226" width="32.1796875" style="120" bestFit="1" customWidth="1"/>
    <col min="9227" max="9229" width="32.1796875" style="120" customWidth="1"/>
    <col min="9230" max="9230" width="20.7265625" style="120" customWidth="1"/>
    <col min="9231" max="9231" width="16.1796875" style="120" customWidth="1"/>
    <col min="9232" max="9232" width="25.453125" style="120" bestFit="1" customWidth="1"/>
    <col min="9233" max="9233" width="26.1796875" style="120" bestFit="1" customWidth="1"/>
    <col min="9234" max="9234" width="28" style="120" bestFit="1" customWidth="1"/>
    <col min="9235" max="9236" width="28" style="120" customWidth="1"/>
    <col min="9237" max="9237" width="27" style="120" bestFit="1" customWidth="1"/>
    <col min="9238" max="9238" width="52.453125" style="120" customWidth="1"/>
    <col min="9239" max="9472" width="11.453125" style="120"/>
    <col min="9473" max="9473" width="9.26953125" style="120" customWidth="1"/>
    <col min="9474" max="9474" width="24" style="120" customWidth="1"/>
    <col min="9475" max="9475" width="91.81640625" style="120" bestFit="1" customWidth="1"/>
    <col min="9476" max="9476" width="13.54296875" style="120" bestFit="1" customWidth="1"/>
    <col min="9477" max="9477" width="15.453125" style="120" customWidth="1"/>
    <col min="9478" max="9478" width="24" style="120" bestFit="1" customWidth="1"/>
    <col min="9479" max="9479" width="32.1796875" style="120" bestFit="1" customWidth="1"/>
    <col min="9480" max="9480" width="24.1796875" style="120" bestFit="1" customWidth="1"/>
    <col min="9481" max="9481" width="24.1796875" style="120" customWidth="1"/>
    <col min="9482" max="9482" width="32.1796875" style="120" bestFit="1" customWidth="1"/>
    <col min="9483" max="9485" width="32.1796875" style="120" customWidth="1"/>
    <col min="9486" max="9486" width="20.7265625" style="120" customWidth="1"/>
    <col min="9487" max="9487" width="16.1796875" style="120" customWidth="1"/>
    <col min="9488" max="9488" width="25.453125" style="120" bestFit="1" customWidth="1"/>
    <col min="9489" max="9489" width="26.1796875" style="120" bestFit="1" customWidth="1"/>
    <col min="9490" max="9490" width="28" style="120" bestFit="1" customWidth="1"/>
    <col min="9491" max="9492" width="28" style="120" customWidth="1"/>
    <col min="9493" max="9493" width="27" style="120" bestFit="1" customWidth="1"/>
    <col min="9494" max="9494" width="52.453125" style="120" customWidth="1"/>
    <col min="9495" max="9728" width="11.453125" style="120"/>
    <col min="9729" max="9729" width="9.26953125" style="120" customWidth="1"/>
    <col min="9730" max="9730" width="24" style="120" customWidth="1"/>
    <col min="9731" max="9731" width="91.81640625" style="120" bestFit="1" customWidth="1"/>
    <col min="9732" max="9732" width="13.54296875" style="120" bestFit="1" customWidth="1"/>
    <col min="9733" max="9733" width="15.453125" style="120" customWidth="1"/>
    <col min="9734" max="9734" width="24" style="120" bestFit="1" customWidth="1"/>
    <col min="9735" max="9735" width="32.1796875" style="120" bestFit="1" customWidth="1"/>
    <col min="9736" max="9736" width="24.1796875" style="120" bestFit="1" customWidth="1"/>
    <col min="9737" max="9737" width="24.1796875" style="120" customWidth="1"/>
    <col min="9738" max="9738" width="32.1796875" style="120" bestFit="1" customWidth="1"/>
    <col min="9739" max="9741" width="32.1796875" style="120" customWidth="1"/>
    <col min="9742" max="9742" width="20.7265625" style="120" customWidth="1"/>
    <col min="9743" max="9743" width="16.1796875" style="120" customWidth="1"/>
    <col min="9744" max="9744" width="25.453125" style="120" bestFit="1" customWidth="1"/>
    <col min="9745" max="9745" width="26.1796875" style="120" bestFit="1" customWidth="1"/>
    <col min="9746" max="9746" width="28" style="120" bestFit="1" customWidth="1"/>
    <col min="9747" max="9748" width="28" style="120" customWidth="1"/>
    <col min="9749" max="9749" width="27" style="120" bestFit="1" customWidth="1"/>
    <col min="9750" max="9750" width="52.453125" style="120" customWidth="1"/>
    <col min="9751" max="9984" width="11.453125" style="120"/>
    <col min="9985" max="9985" width="9.26953125" style="120" customWidth="1"/>
    <col min="9986" max="9986" width="24" style="120" customWidth="1"/>
    <col min="9987" max="9987" width="91.81640625" style="120" bestFit="1" customWidth="1"/>
    <col min="9988" max="9988" width="13.54296875" style="120" bestFit="1" customWidth="1"/>
    <col min="9989" max="9989" width="15.453125" style="120" customWidth="1"/>
    <col min="9990" max="9990" width="24" style="120" bestFit="1" customWidth="1"/>
    <col min="9991" max="9991" width="32.1796875" style="120" bestFit="1" customWidth="1"/>
    <col min="9992" max="9992" width="24.1796875" style="120" bestFit="1" customWidth="1"/>
    <col min="9993" max="9993" width="24.1796875" style="120" customWidth="1"/>
    <col min="9994" max="9994" width="32.1796875" style="120" bestFit="1" customWidth="1"/>
    <col min="9995" max="9997" width="32.1796875" style="120" customWidth="1"/>
    <col min="9998" max="9998" width="20.7265625" style="120" customWidth="1"/>
    <col min="9999" max="9999" width="16.1796875" style="120" customWidth="1"/>
    <col min="10000" max="10000" width="25.453125" style="120" bestFit="1" customWidth="1"/>
    <col min="10001" max="10001" width="26.1796875" style="120" bestFit="1" customWidth="1"/>
    <col min="10002" max="10002" width="28" style="120" bestFit="1" customWidth="1"/>
    <col min="10003" max="10004" width="28" style="120" customWidth="1"/>
    <col min="10005" max="10005" width="27" style="120" bestFit="1" customWidth="1"/>
    <col min="10006" max="10006" width="52.453125" style="120" customWidth="1"/>
    <col min="10007" max="10240" width="11.453125" style="120"/>
    <col min="10241" max="10241" width="9.26953125" style="120" customWidth="1"/>
    <col min="10242" max="10242" width="24" style="120" customWidth="1"/>
    <col min="10243" max="10243" width="91.81640625" style="120" bestFit="1" customWidth="1"/>
    <col min="10244" max="10244" width="13.54296875" style="120" bestFit="1" customWidth="1"/>
    <col min="10245" max="10245" width="15.453125" style="120" customWidth="1"/>
    <col min="10246" max="10246" width="24" style="120" bestFit="1" customWidth="1"/>
    <col min="10247" max="10247" width="32.1796875" style="120" bestFit="1" customWidth="1"/>
    <col min="10248" max="10248" width="24.1796875" style="120" bestFit="1" customWidth="1"/>
    <col min="10249" max="10249" width="24.1796875" style="120" customWidth="1"/>
    <col min="10250" max="10250" width="32.1796875" style="120" bestFit="1" customWidth="1"/>
    <col min="10251" max="10253" width="32.1796875" style="120" customWidth="1"/>
    <col min="10254" max="10254" width="20.7265625" style="120" customWidth="1"/>
    <col min="10255" max="10255" width="16.1796875" style="120" customWidth="1"/>
    <col min="10256" max="10256" width="25.453125" style="120" bestFit="1" customWidth="1"/>
    <col min="10257" max="10257" width="26.1796875" style="120" bestFit="1" customWidth="1"/>
    <col min="10258" max="10258" width="28" style="120" bestFit="1" customWidth="1"/>
    <col min="10259" max="10260" width="28" style="120" customWidth="1"/>
    <col min="10261" max="10261" width="27" style="120" bestFit="1" customWidth="1"/>
    <col min="10262" max="10262" width="52.453125" style="120" customWidth="1"/>
    <col min="10263" max="10496" width="11.453125" style="120"/>
    <col min="10497" max="10497" width="9.26953125" style="120" customWidth="1"/>
    <col min="10498" max="10498" width="24" style="120" customWidth="1"/>
    <col min="10499" max="10499" width="91.81640625" style="120" bestFit="1" customWidth="1"/>
    <col min="10500" max="10500" width="13.54296875" style="120" bestFit="1" customWidth="1"/>
    <col min="10501" max="10501" width="15.453125" style="120" customWidth="1"/>
    <col min="10502" max="10502" width="24" style="120" bestFit="1" customWidth="1"/>
    <col min="10503" max="10503" width="32.1796875" style="120" bestFit="1" customWidth="1"/>
    <col min="10504" max="10504" width="24.1796875" style="120" bestFit="1" customWidth="1"/>
    <col min="10505" max="10505" width="24.1796875" style="120" customWidth="1"/>
    <col min="10506" max="10506" width="32.1796875" style="120" bestFit="1" customWidth="1"/>
    <col min="10507" max="10509" width="32.1796875" style="120" customWidth="1"/>
    <col min="10510" max="10510" width="20.7265625" style="120" customWidth="1"/>
    <col min="10511" max="10511" width="16.1796875" style="120" customWidth="1"/>
    <col min="10512" max="10512" width="25.453125" style="120" bestFit="1" customWidth="1"/>
    <col min="10513" max="10513" width="26.1796875" style="120" bestFit="1" customWidth="1"/>
    <col min="10514" max="10514" width="28" style="120" bestFit="1" customWidth="1"/>
    <col min="10515" max="10516" width="28" style="120" customWidth="1"/>
    <col min="10517" max="10517" width="27" style="120" bestFit="1" customWidth="1"/>
    <col min="10518" max="10518" width="52.453125" style="120" customWidth="1"/>
    <col min="10519" max="10752" width="11.453125" style="120"/>
    <col min="10753" max="10753" width="9.26953125" style="120" customWidth="1"/>
    <col min="10754" max="10754" width="24" style="120" customWidth="1"/>
    <col min="10755" max="10755" width="91.81640625" style="120" bestFit="1" customWidth="1"/>
    <col min="10756" max="10756" width="13.54296875" style="120" bestFit="1" customWidth="1"/>
    <col min="10757" max="10757" width="15.453125" style="120" customWidth="1"/>
    <col min="10758" max="10758" width="24" style="120" bestFit="1" customWidth="1"/>
    <col min="10759" max="10759" width="32.1796875" style="120" bestFit="1" customWidth="1"/>
    <col min="10760" max="10760" width="24.1796875" style="120" bestFit="1" customWidth="1"/>
    <col min="10761" max="10761" width="24.1796875" style="120" customWidth="1"/>
    <col min="10762" max="10762" width="32.1796875" style="120" bestFit="1" customWidth="1"/>
    <col min="10763" max="10765" width="32.1796875" style="120" customWidth="1"/>
    <col min="10766" max="10766" width="20.7265625" style="120" customWidth="1"/>
    <col min="10767" max="10767" width="16.1796875" style="120" customWidth="1"/>
    <col min="10768" max="10768" width="25.453125" style="120" bestFit="1" customWidth="1"/>
    <col min="10769" max="10769" width="26.1796875" style="120" bestFit="1" customWidth="1"/>
    <col min="10770" max="10770" width="28" style="120" bestFit="1" customWidth="1"/>
    <col min="10771" max="10772" width="28" style="120" customWidth="1"/>
    <col min="10773" max="10773" width="27" style="120" bestFit="1" customWidth="1"/>
    <col min="10774" max="10774" width="52.453125" style="120" customWidth="1"/>
    <col min="10775" max="11008" width="11.453125" style="120"/>
    <col min="11009" max="11009" width="9.26953125" style="120" customWidth="1"/>
    <col min="11010" max="11010" width="24" style="120" customWidth="1"/>
    <col min="11011" max="11011" width="91.81640625" style="120" bestFit="1" customWidth="1"/>
    <col min="11012" max="11012" width="13.54296875" style="120" bestFit="1" customWidth="1"/>
    <col min="11013" max="11013" width="15.453125" style="120" customWidth="1"/>
    <col min="11014" max="11014" width="24" style="120" bestFit="1" customWidth="1"/>
    <col min="11015" max="11015" width="32.1796875" style="120" bestFit="1" customWidth="1"/>
    <col min="11016" max="11016" width="24.1796875" style="120" bestFit="1" customWidth="1"/>
    <col min="11017" max="11017" width="24.1796875" style="120" customWidth="1"/>
    <col min="11018" max="11018" width="32.1796875" style="120" bestFit="1" customWidth="1"/>
    <col min="11019" max="11021" width="32.1796875" style="120" customWidth="1"/>
    <col min="11022" max="11022" width="20.7265625" style="120" customWidth="1"/>
    <col min="11023" max="11023" width="16.1796875" style="120" customWidth="1"/>
    <col min="11024" max="11024" width="25.453125" style="120" bestFit="1" customWidth="1"/>
    <col min="11025" max="11025" width="26.1796875" style="120" bestFit="1" customWidth="1"/>
    <col min="11026" max="11026" width="28" style="120" bestFit="1" customWidth="1"/>
    <col min="11027" max="11028" width="28" style="120" customWidth="1"/>
    <col min="11029" max="11029" width="27" style="120" bestFit="1" customWidth="1"/>
    <col min="11030" max="11030" width="52.453125" style="120" customWidth="1"/>
    <col min="11031" max="11264" width="11.453125" style="120"/>
    <col min="11265" max="11265" width="9.26953125" style="120" customWidth="1"/>
    <col min="11266" max="11266" width="24" style="120" customWidth="1"/>
    <col min="11267" max="11267" width="91.81640625" style="120" bestFit="1" customWidth="1"/>
    <col min="11268" max="11268" width="13.54296875" style="120" bestFit="1" customWidth="1"/>
    <col min="11269" max="11269" width="15.453125" style="120" customWidth="1"/>
    <col min="11270" max="11270" width="24" style="120" bestFit="1" customWidth="1"/>
    <col min="11271" max="11271" width="32.1796875" style="120" bestFit="1" customWidth="1"/>
    <col min="11272" max="11272" width="24.1796875" style="120" bestFit="1" customWidth="1"/>
    <col min="11273" max="11273" width="24.1796875" style="120" customWidth="1"/>
    <col min="11274" max="11274" width="32.1796875" style="120" bestFit="1" customWidth="1"/>
    <col min="11275" max="11277" width="32.1796875" style="120" customWidth="1"/>
    <col min="11278" max="11278" width="20.7265625" style="120" customWidth="1"/>
    <col min="11279" max="11279" width="16.1796875" style="120" customWidth="1"/>
    <col min="11280" max="11280" width="25.453125" style="120" bestFit="1" customWidth="1"/>
    <col min="11281" max="11281" width="26.1796875" style="120" bestFit="1" customWidth="1"/>
    <col min="11282" max="11282" width="28" style="120" bestFit="1" customWidth="1"/>
    <col min="11283" max="11284" width="28" style="120" customWidth="1"/>
    <col min="11285" max="11285" width="27" style="120" bestFit="1" customWidth="1"/>
    <col min="11286" max="11286" width="52.453125" style="120" customWidth="1"/>
    <col min="11287" max="11520" width="11.453125" style="120"/>
    <col min="11521" max="11521" width="9.26953125" style="120" customWidth="1"/>
    <col min="11522" max="11522" width="24" style="120" customWidth="1"/>
    <col min="11523" max="11523" width="91.81640625" style="120" bestFit="1" customWidth="1"/>
    <col min="11524" max="11524" width="13.54296875" style="120" bestFit="1" customWidth="1"/>
    <col min="11525" max="11525" width="15.453125" style="120" customWidth="1"/>
    <col min="11526" max="11526" width="24" style="120" bestFit="1" customWidth="1"/>
    <col min="11527" max="11527" width="32.1796875" style="120" bestFit="1" customWidth="1"/>
    <col min="11528" max="11528" width="24.1796875" style="120" bestFit="1" customWidth="1"/>
    <col min="11529" max="11529" width="24.1796875" style="120" customWidth="1"/>
    <col min="11530" max="11530" width="32.1796875" style="120" bestFit="1" customWidth="1"/>
    <col min="11531" max="11533" width="32.1796875" style="120" customWidth="1"/>
    <col min="11534" max="11534" width="20.7265625" style="120" customWidth="1"/>
    <col min="11535" max="11535" width="16.1796875" style="120" customWidth="1"/>
    <col min="11536" max="11536" width="25.453125" style="120" bestFit="1" customWidth="1"/>
    <col min="11537" max="11537" width="26.1796875" style="120" bestFit="1" customWidth="1"/>
    <col min="11538" max="11538" width="28" style="120" bestFit="1" customWidth="1"/>
    <col min="11539" max="11540" width="28" style="120" customWidth="1"/>
    <col min="11541" max="11541" width="27" style="120" bestFit="1" customWidth="1"/>
    <col min="11542" max="11542" width="52.453125" style="120" customWidth="1"/>
    <col min="11543" max="11776" width="11.453125" style="120"/>
    <col min="11777" max="11777" width="9.26953125" style="120" customWidth="1"/>
    <col min="11778" max="11778" width="24" style="120" customWidth="1"/>
    <col min="11779" max="11779" width="91.81640625" style="120" bestFit="1" customWidth="1"/>
    <col min="11780" max="11780" width="13.54296875" style="120" bestFit="1" customWidth="1"/>
    <col min="11781" max="11781" width="15.453125" style="120" customWidth="1"/>
    <col min="11782" max="11782" width="24" style="120" bestFit="1" customWidth="1"/>
    <col min="11783" max="11783" width="32.1796875" style="120" bestFit="1" customWidth="1"/>
    <col min="11784" max="11784" width="24.1796875" style="120" bestFit="1" customWidth="1"/>
    <col min="11785" max="11785" width="24.1796875" style="120" customWidth="1"/>
    <col min="11786" max="11786" width="32.1796875" style="120" bestFit="1" customWidth="1"/>
    <col min="11787" max="11789" width="32.1796875" style="120" customWidth="1"/>
    <col min="11790" max="11790" width="20.7265625" style="120" customWidth="1"/>
    <col min="11791" max="11791" width="16.1796875" style="120" customWidth="1"/>
    <col min="11792" max="11792" width="25.453125" style="120" bestFit="1" customWidth="1"/>
    <col min="11793" max="11793" width="26.1796875" style="120" bestFit="1" customWidth="1"/>
    <col min="11794" max="11794" width="28" style="120" bestFit="1" customWidth="1"/>
    <col min="11795" max="11796" width="28" style="120" customWidth="1"/>
    <col min="11797" max="11797" width="27" style="120" bestFit="1" customWidth="1"/>
    <col min="11798" max="11798" width="52.453125" style="120" customWidth="1"/>
    <col min="11799" max="12032" width="11.453125" style="120"/>
    <col min="12033" max="12033" width="9.26953125" style="120" customWidth="1"/>
    <col min="12034" max="12034" width="24" style="120" customWidth="1"/>
    <col min="12035" max="12035" width="91.81640625" style="120" bestFit="1" customWidth="1"/>
    <col min="12036" max="12036" width="13.54296875" style="120" bestFit="1" customWidth="1"/>
    <col min="12037" max="12037" width="15.453125" style="120" customWidth="1"/>
    <col min="12038" max="12038" width="24" style="120" bestFit="1" customWidth="1"/>
    <col min="12039" max="12039" width="32.1796875" style="120" bestFit="1" customWidth="1"/>
    <col min="12040" max="12040" width="24.1796875" style="120" bestFit="1" customWidth="1"/>
    <col min="12041" max="12041" width="24.1796875" style="120" customWidth="1"/>
    <col min="12042" max="12042" width="32.1796875" style="120" bestFit="1" customWidth="1"/>
    <col min="12043" max="12045" width="32.1796875" style="120" customWidth="1"/>
    <col min="12046" max="12046" width="20.7265625" style="120" customWidth="1"/>
    <col min="12047" max="12047" width="16.1796875" style="120" customWidth="1"/>
    <col min="12048" max="12048" width="25.453125" style="120" bestFit="1" customWidth="1"/>
    <col min="12049" max="12049" width="26.1796875" style="120" bestFit="1" customWidth="1"/>
    <col min="12050" max="12050" width="28" style="120" bestFit="1" customWidth="1"/>
    <col min="12051" max="12052" width="28" style="120" customWidth="1"/>
    <col min="12053" max="12053" width="27" style="120" bestFit="1" customWidth="1"/>
    <col min="12054" max="12054" width="52.453125" style="120" customWidth="1"/>
    <col min="12055" max="12288" width="11.453125" style="120"/>
    <col min="12289" max="12289" width="9.26953125" style="120" customWidth="1"/>
    <col min="12290" max="12290" width="24" style="120" customWidth="1"/>
    <col min="12291" max="12291" width="91.81640625" style="120" bestFit="1" customWidth="1"/>
    <col min="12292" max="12292" width="13.54296875" style="120" bestFit="1" customWidth="1"/>
    <col min="12293" max="12293" width="15.453125" style="120" customWidth="1"/>
    <col min="12294" max="12294" width="24" style="120" bestFit="1" customWidth="1"/>
    <col min="12295" max="12295" width="32.1796875" style="120" bestFit="1" customWidth="1"/>
    <col min="12296" max="12296" width="24.1796875" style="120" bestFit="1" customWidth="1"/>
    <col min="12297" max="12297" width="24.1796875" style="120" customWidth="1"/>
    <col min="12298" max="12298" width="32.1796875" style="120" bestFit="1" customWidth="1"/>
    <col min="12299" max="12301" width="32.1796875" style="120" customWidth="1"/>
    <col min="12302" max="12302" width="20.7265625" style="120" customWidth="1"/>
    <col min="12303" max="12303" width="16.1796875" style="120" customWidth="1"/>
    <col min="12304" max="12304" width="25.453125" style="120" bestFit="1" customWidth="1"/>
    <col min="12305" max="12305" width="26.1796875" style="120" bestFit="1" customWidth="1"/>
    <col min="12306" max="12306" width="28" style="120" bestFit="1" customWidth="1"/>
    <col min="12307" max="12308" width="28" style="120" customWidth="1"/>
    <col min="12309" max="12309" width="27" style="120" bestFit="1" customWidth="1"/>
    <col min="12310" max="12310" width="52.453125" style="120" customWidth="1"/>
    <col min="12311" max="12544" width="11.453125" style="120"/>
    <col min="12545" max="12545" width="9.26953125" style="120" customWidth="1"/>
    <col min="12546" max="12546" width="24" style="120" customWidth="1"/>
    <col min="12547" max="12547" width="91.81640625" style="120" bestFit="1" customWidth="1"/>
    <col min="12548" max="12548" width="13.54296875" style="120" bestFit="1" customWidth="1"/>
    <col min="12549" max="12549" width="15.453125" style="120" customWidth="1"/>
    <col min="12550" max="12550" width="24" style="120" bestFit="1" customWidth="1"/>
    <col min="12551" max="12551" width="32.1796875" style="120" bestFit="1" customWidth="1"/>
    <col min="12552" max="12552" width="24.1796875" style="120" bestFit="1" customWidth="1"/>
    <col min="12553" max="12553" width="24.1796875" style="120" customWidth="1"/>
    <col min="12554" max="12554" width="32.1796875" style="120" bestFit="1" customWidth="1"/>
    <col min="12555" max="12557" width="32.1796875" style="120" customWidth="1"/>
    <col min="12558" max="12558" width="20.7265625" style="120" customWidth="1"/>
    <col min="12559" max="12559" width="16.1796875" style="120" customWidth="1"/>
    <col min="12560" max="12560" width="25.453125" style="120" bestFit="1" customWidth="1"/>
    <col min="12561" max="12561" width="26.1796875" style="120" bestFit="1" customWidth="1"/>
    <col min="12562" max="12562" width="28" style="120" bestFit="1" customWidth="1"/>
    <col min="12563" max="12564" width="28" style="120" customWidth="1"/>
    <col min="12565" max="12565" width="27" style="120" bestFit="1" customWidth="1"/>
    <col min="12566" max="12566" width="52.453125" style="120" customWidth="1"/>
    <col min="12567" max="12800" width="11.453125" style="120"/>
    <col min="12801" max="12801" width="9.26953125" style="120" customWidth="1"/>
    <col min="12802" max="12802" width="24" style="120" customWidth="1"/>
    <col min="12803" max="12803" width="91.81640625" style="120" bestFit="1" customWidth="1"/>
    <col min="12804" max="12804" width="13.54296875" style="120" bestFit="1" customWidth="1"/>
    <col min="12805" max="12805" width="15.453125" style="120" customWidth="1"/>
    <col min="12806" max="12806" width="24" style="120" bestFit="1" customWidth="1"/>
    <col min="12807" max="12807" width="32.1796875" style="120" bestFit="1" customWidth="1"/>
    <col min="12808" max="12808" width="24.1796875" style="120" bestFit="1" customWidth="1"/>
    <col min="12809" max="12809" width="24.1796875" style="120" customWidth="1"/>
    <col min="12810" max="12810" width="32.1796875" style="120" bestFit="1" customWidth="1"/>
    <col min="12811" max="12813" width="32.1796875" style="120" customWidth="1"/>
    <col min="12814" max="12814" width="20.7265625" style="120" customWidth="1"/>
    <col min="12815" max="12815" width="16.1796875" style="120" customWidth="1"/>
    <col min="12816" max="12816" width="25.453125" style="120" bestFit="1" customWidth="1"/>
    <col min="12817" max="12817" width="26.1796875" style="120" bestFit="1" customWidth="1"/>
    <col min="12818" max="12818" width="28" style="120" bestFit="1" customWidth="1"/>
    <col min="12819" max="12820" width="28" style="120" customWidth="1"/>
    <col min="12821" max="12821" width="27" style="120" bestFit="1" customWidth="1"/>
    <col min="12822" max="12822" width="52.453125" style="120" customWidth="1"/>
    <col min="12823" max="13056" width="11.453125" style="120"/>
    <col min="13057" max="13057" width="9.26953125" style="120" customWidth="1"/>
    <col min="13058" max="13058" width="24" style="120" customWidth="1"/>
    <col min="13059" max="13059" width="91.81640625" style="120" bestFit="1" customWidth="1"/>
    <col min="13060" max="13060" width="13.54296875" style="120" bestFit="1" customWidth="1"/>
    <col min="13061" max="13061" width="15.453125" style="120" customWidth="1"/>
    <col min="13062" max="13062" width="24" style="120" bestFit="1" customWidth="1"/>
    <col min="13063" max="13063" width="32.1796875" style="120" bestFit="1" customWidth="1"/>
    <col min="13064" max="13064" width="24.1796875" style="120" bestFit="1" customWidth="1"/>
    <col min="13065" max="13065" width="24.1796875" style="120" customWidth="1"/>
    <col min="13066" max="13066" width="32.1796875" style="120" bestFit="1" customWidth="1"/>
    <col min="13067" max="13069" width="32.1796875" style="120" customWidth="1"/>
    <col min="13070" max="13070" width="20.7265625" style="120" customWidth="1"/>
    <col min="13071" max="13071" width="16.1796875" style="120" customWidth="1"/>
    <col min="13072" max="13072" width="25.453125" style="120" bestFit="1" customWidth="1"/>
    <col min="13073" max="13073" width="26.1796875" style="120" bestFit="1" customWidth="1"/>
    <col min="13074" max="13074" width="28" style="120" bestFit="1" customWidth="1"/>
    <col min="13075" max="13076" width="28" style="120" customWidth="1"/>
    <col min="13077" max="13077" width="27" style="120" bestFit="1" customWidth="1"/>
    <col min="13078" max="13078" width="52.453125" style="120" customWidth="1"/>
    <col min="13079" max="13312" width="11.453125" style="120"/>
    <col min="13313" max="13313" width="9.26953125" style="120" customWidth="1"/>
    <col min="13314" max="13314" width="24" style="120" customWidth="1"/>
    <col min="13315" max="13315" width="91.81640625" style="120" bestFit="1" customWidth="1"/>
    <col min="13316" max="13316" width="13.54296875" style="120" bestFit="1" customWidth="1"/>
    <col min="13317" max="13317" width="15.453125" style="120" customWidth="1"/>
    <col min="13318" max="13318" width="24" style="120" bestFit="1" customWidth="1"/>
    <col min="13319" max="13319" width="32.1796875" style="120" bestFit="1" customWidth="1"/>
    <col min="13320" max="13320" width="24.1796875" style="120" bestFit="1" customWidth="1"/>
    <col min="13321" max="13321" width="24.1796875" style="120" customWidth="1"/>
    <col min="13322" max="13322" width="32.1796875" style="120" bestFit="1" customWidth="1"/>
    <col min="13323" max="13325" width="32.1796875" style="120" customWidth="1"/>
    <col min="13326" max="13326" width="20.7265625" style="120" customWidth="1"/>
    <col min="13327" max="13327" width="16.1796875" style="120" customWidth="1"/>
    <col min="13328" max="13328" width="25.453125" style="120" bestFit="1" customWidth="1"/>
    <col min="13329" max="13329" width="26.1796875" style="120" bestFit="1" customWidth="1"/>
    <col min="13330" max="13330" width="28" style="120" bestFit="1" customWidth="1"/>
    <col min="13331" max="13332" width="28" style="120" customWidth="1"/>
    <col min="13333" max="13333" width="27" style="120" bestFit="1" customWidth="1"/>
    <col min="13334" max="13334" width="52.453125" style="120" customWidth="1"/>
    <col min="13335" max="13568" width="11.453125" style="120"/>
    <col min="13569" max="13569" width="9.26953125" style="120" customWidth="1"/>
    <col min="13570" max="13570" width="24" style="120" customWidth="1"/>
    <col min="13571" max="13571" width="91.81640625" style="120" bestFit="1" customWidth="1"/>
    <col min="13572" max="13572" width="13.54296875" style="120" bestFit="1" customWidth="1"/>
    <col min="13573" max="13573" width="15.453125" style="120" customWidth="1"/>
    <col min="13574" max="13574" width="24" style="120" bestFit="1" customWidth="1"/>
    <col min="13575" max="13575" width="32.1796875" style="120" bestFit="1" customWidth="1"/>
    <col min="13576" max="13576" width="24.1796875" style="120" bestFit="1" customWidth="1"/>
    <col min="13577" max="13577" width="24.1796875" style="120" customWidth="1"/>
    <col min="13578" max="13578" width="32.1796875" style="120" bestFit="1" customWidth="1"/>
    <col min="13579" max="13581" width="32.1796875" style="120" customWidth="1"/>
    <col min="13582" max="13582" width="20.7265625" style="120" customWidth="1"/>
    <col min="13583" max="13583" width="16.1796875" style="120" customWidth="1"/>
    <col min="13584" max="13584" width="25.453125" style="120" bestFit="1" customWidth="1"/>
    <col min="13585" max="13585" width="26.1796875" style="120" bestFit="1" customWidth="1"/>
    <col min="13586" max="13586" width="28" style="120" bestFit="1" customWidth="1"/>
    <col min="13587" max="13588" width="28" style="120" customWidth="1"/>
    <col min="13589" max="13589" width="27" style="120" bestFit="1" customWidth="1"/>
    <col min="13590" max="13590" width="52.453125" style="120" customWidth="1"/>
    <col min="13591" max="13824" width="11.453125" style="120"/>
    <col min="13825" max="13825" width="9.26953125" style="120" customWidth="1"/>
    <col min="13826" max="13826" width="24" style="120" customWidth="1"/>
    <col min="13827" max="13827" width="91.81640625" style="120" bestFit="1" customWidth="1"/>
    <col min="13828" max="13828" width="13.54296875" style="120" bestFit="1" customWidth="1"/>
    <col min="13829" max="13829" width="15.453125" style="120" customWidth="1"/>
    <col min="13830" max="13830" width="24" style="120" bestFit="1" customWidth="1"/>
    <col min="13831" max="13831" width="32.1796875" style="120" bestFit="1" customWidth="1"/>
    <col min="13832" max="13832" width="24.1796875" style="120" bestFit="1" customWidth="1"/>
    <col min="13833" max="13833" width="24.1796875" style="120" customWidth="1"/>
    <col min="13834" max="13834" width="32.1796875" style="120" bestFit="1" customWidth="1"/>
    <col min="13835" max="13837" width="32.1796875" style="120" customWidth="1"/>
    <col min="13838" max="13838" width="20.7265625" style="120" customWidth="1"/>
    <col min="13839" max="13839" width="16.1796875" style="120" customWidth="1"/>
    <col min="13840" max="13840" width="25.453125" style="120" bestFit="1" customWidth="1"/>
    <col min="13841" max="13841" width="26.1796875" style="120" bestFit="1" customWidth="1"/>
    <col min="13842" max="13842" width="28" style="120" bestFit="1" customWidth="1"/>
    <col min="13843" max="13844" width="28" style="120" customWidth="1"/>
    <col min="13845" max="13845" width="27" style="120" bestFit="1" customWidth="1"/>
    <col min="13846" max="13846" width="52.453125" style="120" customWidth="1"/>
    <col min="13847" max="14080" width="11.453125" style="120"/>
    <col min="14081" max="14081" width="9.26953125" style="120" customWidth="1"/>
    <col min="14082" max="14082" width="24" style="120" customWidth="1"/>
    <col min="14083" max="14083" width="91.81640625" style="120" bestFit="1" customWidth="1"/>
    <col min="14084" max="14084" width="13.54296875" style="120" bestFit="1" customWidth="1"/>
    <col min="14085" max="14085" width="15.453125" style="120" customWidth="1"/>
    <col min="14086" max="14086" width="24" style="120" bestFit="1" customWidth="1"/>
    <col min="14087" max="14087" width="32.1796875" style="120" bestFit="1" customWidth="1"/>
    <col min="14088" max="14088" width="24.1796875" style="120" bestFit="1" customWidth="1"/>
    <col min="14089" max="14089" width="24.1796875" style="120" customWidth="1"/>
    <col min="14090" max="14090" width="32.1796875" style="120" bestFit="1" customWidth="1"/>
    <col min="14091" max="14093" width="32.1796875" style="120" customWidth="1"/>
    <col min="14094" max="14094" width="20.7265625" style="120" customWidth="1"/>
    <col min="14095" max="14095" width="16.1796875" style="120" customWidth="1"/>
    <col min="14096" max="14096" width="25.453125" style="120" bestFit="1" customWidth="1"/>
    <col min="14097" max="14097" width="26.1796875" style="120" bestFit="1" customWidth="1"/>
    <col min="14098" max="14098" width="28" style="120" bestFit="1" customWidth="1"/>
    <col min="14099" max="14100" width="28" style="120" customWidth="1"/>
    <col min="14101" max="14101" width="27" style="120" bestFit="1" customWidth="1"/>
    <col min="14102" max="14102" width="52.453125" style="120" customWidth="1"/>
    <col min="14103" max="14336" width="11.453125" style="120"/>
    <col min="14337" max="14337" width="9.26953125" style="120" customWidth="1"/>
    <col min="14338" max="14338" width="24" style="120" customWidth="1"/>
    <col min="14339" max="14339" width="91.81640625" style="120" bestFit="1" customWidth="1"/>
    <col min="14340" max="14340" width="13.54296875" style="120" bestFit="1" customWidth="1"/>
    <col min="14341" max="14341" width="15.453125" style="120" customWidth="1"/>
    <col min="14342" max="14342" width="24" style="120" bestFit="1" customWidth="1"/>
    <col min="14343" max="14343" width="32.1796875" style="120" bestFit="1" customWidth="1"/>
    <col min="14344" max="14344" width="24.1796875" style="120" bestFit="1" customWidth="1"/>
    <col min="14345" max="14345" width="24.1796875" style="120" customWidth="1"/>
    <col min="14346" max="14346" width="32.1796875" style="120" bestFit="1" customWidth="1"/>
    <col min="14347" max="14349" width="32.1796875" style="120" customWidth="1"/>
    <col min="14350" max="14350" width="20.7265625" style="120" customWidth="1"/>
    <col min="14351" max="14351" width="16.1796875" style="120" customWidth="1"/>
    <col min="14352" max="14352" width="25.453125" style="120" bestFit="1" customWidth="1"/>
    <col min="14353" max="14353" width="26.1796875" style="120" bestFit="1" customWidth="1"/>
    <col min="14354" max="14354" width="28" style="120" bestFit="1" customWidth="1"/>
    <col min="14355" max="14356" width="28" style="120" customWidth="1"/>
    <col min="14357" max="14357" width="27" style="120" bestFit="1" customWidth="1"/>
    <col min="14358" max="14358" width="52.453125" style="120" customWidth="1"/>
    <col min="14359" max="14592" width="11.453125" style="120"/>
    <col min="14593" max="14593" width="9.26953125" style="120" customWidth="1"/>
    <col min="14594" max="14594" width="24" style="120" customWidth="1"/>
    <col min="14595" max="14595" width="91.81640625" style="120" bestFit="1" customWidth="1"/>
    <col min="14596" max="14596" width="13.54296875" style="120" bestFit="1" customWidth="1"/>
    <col min="14597" max="14597" width="15.453125" style="120" customWidth="1"/>
    <col min="14598" max="14598" width="24" style="120" bestFit="1" customWidth="1"/>
    <col min="14599" max="14599" width="32.1796875" style="120" bestFit="1" customWidth="1"/>
    <col min="14600" max="14600" width="24.1796875" style="120" bestFit="1" customWidth="1"/>
    <col min="14601" max="14601" width="24.1796875" style="120" customWidth="1"/>
    <col min="14602" max="14602" width="32.1796875" style="120" bestFit="1" customWidth="1"/>
    <col min="14603" max="14605" width="32.1796875" style="120" customWidth="1"/>
    <col min="14606" max="14606" width="20.7265625" style="120" customWidth="1"/>
    <col min="14607" max="14607" width="16.1796875" style="120" customWidth="1"/>
    <col min="14608" max="14608" width="25.453125" style="120" bestFit="1" customWidth="1"/>
    <col min="14609" max="14609" width="26.1796875" style="120" bestFit="1" customWidth="1"/>
    <col min="14610" max="14610" width="28" style="120" bestFit="1" customWidth="1"/>
    <col min="14611" max="14612" width="28" style="120" customWidth="1"/>
    <col min="14613" max="14613" width="27" style="120" bestFit="1" customWidth="1"/>
    <col min="14614" max="14614" width="52.453125" style="120" customWidth="1"/>
    <col min="14615" max="14848" width="11.453125" style="120"/>
    <col min="14849" max="14849" width="9.26953125" style="120" customWidth="1"/>
    <col min="14850" max="14850" width="24" style="120" customWidth="1"/>
    <col min="14851" max="14851" width="91.81640625" style="120" bestFit="1" customWidth="1"/>
    <col min="14852" max="14852" width="13.54296875" style="120" bestFit="1" customWidth="1"/>
    <col min="14853" max="14853" width="15.453125" style="120" customWidth="1"/>
    <col min="14854" max="14854" width="24" style="120" bestFit="1" customWidth="1"/>
    <col min="14855" max="14855" width="32.1796875" style="120" bestFit="1" customWidth="1"/>
    <col min="14856" max="14856" width="24.1796875" style="120" bestFit="1" customWidth="1"/>
    <col min="14857" max="14857" width="24.1796875" style="120" customWidth="1"/>
    <col min="14858" max="14858" width="32.1796875" style="120" bestFit="1" customWidth="1"/>
    <col min="14859" max="14861" width="32.1796875" style="120" customWidth="1"/>
    <col min="14862" max="14862" width="20.7265625" style="120" customWidth="1"/>
    <col min="14863" max="14863" width="16.1796875" style="120" customWidth="1"/>
    <col min="14864" max="14864" width="25.453125" style="120" bestFit="1" customWidth="1"/>
    <col min="14865" max="14865" width="26.1796875" style="120" bestFit="1" customWidth="1"/>
    <col min="14866" max="14866" width="28" style="120" bestFit="1" customWidth="1"/>
    <col min="14867" max="14868" width="28" style="120" customWidth="1"/>
    <col min="14869" max="14869" width="27" style="120" bestFit="1" customWidth="1"/>
    <col min="14870" max="14870" width="52.453125" style="120" customWidth="1"/>
    <col min="14871" max="15104" width="11.453125" style="120"/>
    <col min="15105" max="15105" width="9.26953125" style="120" customWidth="1"/>
    <col min="15106" max="15106" width="24" style="120" customWidth="1"/>
    <col min="15107" max="15107" width="91.81640625" style="120" bestFit="1" customWidth="1"/>
    <col min="15108" max="15108" width="13.54296875" style="120" bestFit="1" customWidth="1"/>
    <col min="15109" max="15109" width="15.453125" style="120" customWidth="1"/>
    <col min="15110" max="15110" width="24" style="120" bestFit="1" customWidth="1"/>
    <col min="15111" max="15111" width="32.1796875" style="120" bestFit="1" customWidth="1"/>
    <col min="15112" max="15112" width="24.1796875" style="120" bestFit="1" customWidth="1"/>
    <col min="15113" max="15113" width="24.1796875" style="120" customWidth="1"/>
    <col min="15114" max="15114" width="32.1796875" style="120" bestFit="1" customWidth="1"/>
    <col min="15115" max="15117" width="32.1796875" style="120" customWidth="1"/>
    <col min="15118" max="15118" width="20.7265625" style="120" customWidth="1"/>
    <col min="15119" max="15119" width="16.1796875" style="120" customWidth="1"/>
    <col min="15120" max="15120" width="25.453125" style="120" bestFit="1" customWidth="1"/>
    <col min="15121" max="15121" width="26.1796875" style="120" bestFit="1" customWidth="1"/>
    <col min="15122" max="15122" width="28" style="120" bestFit="1" customWidth="1"/>
    <col min="15123" max="15124" width="28" style="120" customWidth="1"/>
    <col min="15125" max="15125" width="27" style="120" bestFit="1" customWidth="1"/>
    <col min="15126" max="15126" width="52.453125" style="120" customWidth="1"/>
    <col min="15127" max="15360" width="11.453125" style="120"/>
    <col min="15361" max="15361" width="9.26953125" style="120" customWidth="1"/>
    <col min="15362" max="15362" width="24" style="120" customWidth="1"/>
    <col min="15363" max="15363" width="91.81640625" style="120" bestFit="1" customWidth="1"/>
    <col min="15364" max="15364" width="13.54296875" style="120" bestFit="1" customWidth="1"/>
    <col min="15365" max="15365" width="15.453125" style="120" customWidth="1"/>
    <col min="15366" max="15366" width="24" style="120" bestFit="1" customWidth="1"/>
    <col min="15367" max="15367" width="32.1796875" style="120" bestFit="1" customWidth="1"/>
    <col min="15368" max="15368" width="24.1796875" style="120" bestFit="1" customWidth="1"/>
    <col min="15369" max="15369" width="24.1796875" style="120" customWidth="1"/>
    <col min="15370" max="15370" width="32.1796875" style="120" bestFit="1" customWidth="1"/>
    <col min="15371" max="15373" width="32.1796875" style="120" customWidth="1"/>
    <col min="15374" max="15374" width="20.7265625" style="120" customWidth="1"/>
    <col min="15375" max="15375" width="16.1796875" style="120" customWidth="1"/>
    <col min="15376" max="15376" width="25.453125" style="120" bestFit="1" customWidth="1"/>
    <col min="15377" max="15377" width="26.1796875" style="120" bestFit="1" customWidth="1"/>
    <col min="15378" max="15378" width="28" style="120" bestFit="1" customWidth="1"/>
    <col min="15379" max="15380" width="28" style="120" customWidth="1"/>
    <col min="15381" max="15381" width="27" style="120" bestFit="1" customWidth="1"/>
    <col min="15382" max="15382" width="52.453125" style="120" customWidth="1"/>
    <col min="15383" max="15616" width="11.453125" style="120"/>
    <col min="15617" max="15617" width="9.26953125" style="120" customWidth="1"/>
    <col min="15618" max="15618" width="24" style="120" customWidth="1"/>
    <col min="15619" max="15619" width="91.81640625" style="120" bestFit="1" customWidth="1"/>
    <col min="15620" max="15620" width="13.54296875" style="120" bestFit="1" customWidth="1"/>
    <col min="15621" max="15621" width="15.453125" style="120" customWidth="1"/>
    <col min="15622" max="15622" width="24" style="120" bestFit="1" customWidth="1"/>
    <col min="15623" max="15623" width="32.1796875" style="120" bestFit="1" customWidth="1"/>
    <col min="15624" max="15624" width="24.1796875" style="120" bestFit="1" customWidth="1"/>
    <col min="15625" max="15625" width="24.1796875" style="120" customWidth="1"/>
    <col min="15626" max="15626" width="32.1796875" style="120" bestFit="1" customWidth="1"/>
    <col min="15627" max="15629" width="32.1796875" style="120" customWidth="1"/>
    <col min="15630" max="15630" width="20.7265625" style="120" customWidth="1"/>
    <col min="15631" max="15631" width="16.1796875" style="120" customWidth="1"/>
    <col min="15632" max="15632" width="25.453125" style="120" bestFit="1" customWidth="1"/>
    <col min="15633" max="15633" width="26.1796875" style="120" bestFit="1" customWidth="1"/>
    <col min="15634" max="15634" width="28" style="120" bestFit="1" customWidth="1"/>
    <col min="15635" max="15636" width="28" style="120" customWidth="1"/>
    <col min="15637" max="15637" width="27" style="120" bestFit="1" customWidth="1"/>
    <col min="15638" max="15638" width="52.453125" style="120" customWidth="1"/>
    <col min="15639" max="15872" width="11.453125" style="120"/>
    <col min="15873" max="15873" width="9.26953125" style="120" customWidth="1"/>
    <col min="15874" max="15874" width="24" style="120" customWidth="1"/>
    <col min="15875" max="15875" width="91.81640625" style="120" bestFit="1" customWidth="1"/>
    <col min="15876" max="15876" width="13.54296875" style="120" bestFit="1" customWidth="1"/>
    <col min="15877" max="15877" width="15.453125" style="120" customWidth="1"/>
    <col min="15878" max="15878" width="24" style="120" bestFit="1" customWidth="1"/>
    <col min="15879" max="15879" width="32.1796875" style="120" bestFit="1" customWidth="1"/>
    <col min="15880" max="15880" width="24.1796875" style="120" bestFit="1" customWidth="1"/>
    <col min="15881" max="15881" width="24.1796875" style="120" customWidth="1"/>
    <col min="15882" max="15882" width="32.1796875" style="120" bestFit="1" customWidth="1"/>
    <col min="15883" max="15885" width="32.1796875" style="120" customWidth="1"/>
    <col min="15886" max="15886" width="20.7265625" style="120" customWidth="1"/>
    <col min="15887" max="15887" width="16.1796875" style="120" customWidth="1"/>
    <col min="15888" max="15888" width="25.453125" style="120" bestFit="1" customWidth="1"/>
    <col min="15889" max="15889" width="26.1796875" style="120" bestFit="1" customWidth="1"/>
    <col min="15890" max="15890" width="28" style="120" bestFit="1" customWidth="1"/>
    <col min="15891" max="15892" width="28" style="120" customWidth="1"/>
    <col min="15893" max="15893" width="27" style="120" bestFit="1" customWidth="1"/>
    <col min="15894" max="15894" width="52.453125" style="120" customWidth="1"/>
    <col min="15895" max="16128" width="11.453125" style="120"/>
    <col min="16129" max="16129" width="9.26953125" style="120" customWidth="1"/>
    <col min="16130" max="16130" width="24" style="120" customWidth="1"/>
    <col min="16131" max="16131" width="91.81640625" style="120" bestFit="1" customWidth="1"/>
    <col min="16132" max="16132" width="13.54296875" style="120" bestFit="1" customWidth="1"/>
    <col min="16133" max="16133" width="15.453125" style="120" customWidth="1"/>
    <col min="16134" max="16134" width="24" style="120" bestFit="1" customWidth="1"/>
    <col min="16135" max="16135" width="32.1796875" style="120" bestFit="1" customWidth="1"/>
    <col min="16136" max="16136" width="24.1796875" style="120" bestFit="1" customWidth="1"/>
    <col min="16137" max="16137" width="24.1796875" style="120" customWidth="1"/>
    <col min="16138" max="16138" width="32.1796875" style="120" bestFit="1" customWidth="1"/>
    <col min="16139" max="16141" width="32.1796875" style="120" customWidth="1"/>
    <col min="16142" max="16142" width="20.7265625" style="120" customWidth="1"/>
    <col min="16143" max="16143" width="16.1796875" style="120" customWidth="1"/>
    <col min="16144" max="16144" width="25.453125" style="120" bestFit="1" customWidth="1"/>
    <col min="16145" max="16145" width="26.1796875" style="120" bestFit="1" customWidth="1"/>
    <col min="16146" max="16146" width="28" style="120" bestFit="1" customWidth="1"/>
    <col min="16147" max="16148" width="28" style="120" customWidth="1"/>
    <col min="16149" max="16149" width="27" style="120" bestFit="1" customWidth="1"/>
    <col min="16150" max="16150" width="52.453125" style="120" customWidth="1"/>
    <col min="16151" max="16384" width="11.453125" style="120"/>
  </cols>
  <sheetData>
    <row r="1" spans="1:30" x14ac:dyDescent="0.35">
      <c r="A1" s="413"/>
      <c r="B1" s="414"/>
      <c r="C1" s="414"/>
      <c r="D1" s="414"/>
      <c r="E1" s="414"/>
      <c r="F1" s="414"/>
      <c r="G1" s="414"/>
      <c r="H1" s="414"/>
      <c r="I1" s="414"/>
      <c r="J1" s="414"/>
      <c r="K1" s="121"/>
      <c r="L1" s="121"/>
      <c r="M1" s="121"/>
    </row>
    <row r="2" spans="1:30" ht="42" customHeight="1" x14ac:dyDescent="0.35">
      <c r="A2" s="416" t="s">
        <v>602</v>
      </c>
      <c r="B2" s="417"/>
      <c r="C2" s="417"/>
      <c r="D2" s="417"/>
      <c r="E2" s="417"/>
      <c r="F2" s="417"/>
      <c r="G2" s="417"/>
      <c r="H2" s="417"/>
      <c r="I2" s="417"/>
      <c r="J2" s="417"/>
      <c r="K2" s="132"/>
      <c r="L2" s="132"/>
      <c r="M2" s="132"/>
    </row>
    <row r="3" spans="1:30" ht="28.5" customHeight="1" x14ac:dyDescent="0.35">
      <c r="A3" s="419" t="s">
        <v>603</v>
      </c>
      <c r="B3" s="420"/>
      <c r="C3" s="420"/>
      <c r="D3" s="420"/>
      <c r="E3" s="420"/>
      <c r="F3" s="420"/>
      <c r="G3" s="420"/>
      <c r="H3" s="420"/>
      <c r="I3" s="420"/>
      <c r="J3" s="420"/>
      <c r="K3" s="133"/>
      <c r="L3" s="133"/>
      <c r="M3" s="133"/>
    </row>
    <row r="4" spans="1:30" ht="35.25" customHeight="1" x14ac:dyDescent="0.35">
      <c r="A4" s="422" t="s">
        <v>876</v>
      </c>
      <c r="B4" s="423"/>
      <c r="C4" s="423"/>
      <c r="D4" s="423"/>
      <c r="E4" s="423"/>
      <c r="F4" s="424"/>
      <c r="G4" s="423"/>
      <c r="H4" s="423"/>
      <c r="I4" s="423"/>
      <c r="J4" s="423"/>
      <c r="K4" s="134"/>
      <c r="L4" s="134"/>
      <c r="M4" s="134"/>
    </row>
    <row r="5" spans="1:30" ht="47.65" customHeight="1" x14ac:dyDescent="0.35">
      <c r="A5" s="425" t="s">
        <v>49</v>
      </c>
      <c r="B5" s="425" t="s">
        <v>50</v>
      </c>
      <c r="C5" s="425" t="s">
        <v>51</v>
      </c>
      <c r="D5" s="425" t="s">
        <v>52</v>
      </c>
      <c r="E5" s="425" t="s">
        <v>569</v>
      </c>
      <c r="F5" s="135" t="s">
        <v>829</v>
      </c>
      <c r="G5" s="136" t="s">
        <v>830</v>
      </c>
      <c r="H5" s="135" t="s">
        <v>831</v>
      </c>
      <c r="I5" s="136" t="s">
        <v>832</v>
      </c>
      <c r="J5" s="135" t="s">
        <v>833</v>
      </c>
      <c r="K5" s="137" t="s">
        <v>834</v>
      </c>
      <c r="L5" s="135" t="s">
        <v>835</v>
      </c>
      <c r="M5" s="137" t="s">
        <v>836</v>
      </c>
      <c r="N5" s="402" t="s">
        <v>47</v>
      </c>
      <c r="O5" s="402"/>
      <c r="P5" s="402"/>
      <c r="Q5" s="402"/>
      <c r="R5" s="574" t="s">
        <v>837</v>
      </c>
      <c r="S5" s="574" t="s">
        <v>838</v>
      </c>
      <c r="T5" s="574" t="s">
        <v>571</v>
      </c>
      <c r="U5" s="575" t="s">
        <v>867</v>
      </c>
      <c r="V5" s="576" t="s">
        <v>839</v>
      </c>
    </row>
    <row r="6" spans="1:30" ht="37.5" customHeight="1" x14ac:dyDescent="0.35">
      <c r="A6" s="425"/>
      <c r="B6" s="425"/>
      <c r="C6" s="425"/>
      <c r="D6" s="425"/>
      <c r="E6" s="425"/>
      <c r="F6" s="135" t="s">
        <v>840</v>
      </c>
      <c r="G6" s="136" t="s">
        <v>841</v>
      </c>
      <c r="H6" s="135" t="s">
        <v>842</v>
      </c>
      <c r="I6" s="136" t="s">
        <v>843</v>
      </c>
      <c r="J6" s="135" t="s">
        <v>844</v>
      </c>
      <c r="K6" s="137" t="s">
        <v>845</v>
      </c>
      <c r="L6" s="135" t="s">
        <v>846</v>
      </c>
      <c r="M6" s="137" t="s">
        <v>1041</v>
      </c>
      <c r="N6" s="389" t="s">
        <v>56</v>
      </c>
      <c r="O6" s="389" t="s">
        <v>57</v>
      </c>
      <c r="P6" s="412" t="s">
        <v>58</v>
      </c>
      <c r="Q6" s="412" t="s">
        <v>59</v>
      </c>
      <c r="R6" s="574"/>
      <c r="S6" s="574"/>
      <c r="T6" s="574"/>
      <c r="U6" s="575"/>
      <c r="V6" s="576"/>
    </row>
    <row r="7" spans="1:30" ht="37.5" customHeight="1" x14ac:dyDescent="0.35">
      <c r="A7" s="425"/>
      <c r="B7" s="425"/>
      <c r="C7" s="425"/>
      <c r="D7" s="425"/>
      <c r="E7" s="425"/>
      <c r="F7" s="128" t="s">
        <v>657</v>
      </c>
      <c r="G7" s="128" t="s">
        <v>657</v>
      </c>
      <c r="H7" s="128" t="s">
        <v>657</v>
      </c>
      <c r="I7" s="128" t="s">
        <v>657</v>
      </c>
      <c r="J7" s="128" t="s">
        <v>572</v>
      </c>
      <c r="K7" s="128" t="s">
        <v>657</v>
      </c>
      <c r="L7" s="128" t="s">
        <v>657</v>
      </c>
      <c r="M7" s="128" t="s">
        <v>657</v>
      </c>
      <c r="N7" s="389"/>
      <c r="O7" s="389"/>
      <c r="P7" s="412"/>
      <c r="Q7" s="412"/>
      <c r="R7" s="574"/>
      <c r="S7" s="574"/>
      <c r="T7" s="574"/>
      <c r="U7" s="575"/>
      <c r="V7" s="576"/>
    </row>
    <row r="8" spans="1:30" s="145" customFormat="1" ht="29" x14ac:dyDescent="0.35">
      <c r="A8" s="138">
        <v>1</v>
      </c>
      <c r="B8" s="139" t="s">
        <v>847</v>
      </c>
      <c r="C8" s="140" t="s">
        <v>848</v>
      </c>
      <c r="D8" s="141" t="s">
        <v>64</v>
      </c>
      <c r="E8" s="141">
        <v>80</v>
      </c>
      <c r="F8" s="19"/>
      <c r="G8" s="19"/>
      <c r="H8" s="19">
        <v>486300</v>
      </c>
      <c r="I8" s="19"/>
      <c r="J8" s="19">
        <v>459000</v>
      </c>
      <c r="K8" s="19">
        <v>360000</v>
      </c>
      <c r="L8" s="19"/>
      <c r="M8" s="19"/>
      <c r="N8" s="142">
        <f>+MEDIAN(F8:M8)</f>
        <v>459000</v>
      </c>
      <c r="O8" s="142">
        <f>+AVERAGE(F8:M8)</f>
        <v>435100</v>
      </c>
      <c r="P8" s="143">
        <f>+STDEV(F8:M8)</f>
        <v>66455.473815179445</v>
      </c>
      <c r="Q8" s="62">
        <f>P8/O8</f>
        <v>0.15273609242744068</v>
      </c>
      <c r="R8" s="144">
        <f>ROUNDUP(IF(Q8&lt;15%,O8,N8),0)</f>
        <v>459000</v>
      </c>
      <c r="S8" s="144">
        <f>+R8/1.19</f>
        <v>385714.28571428574</v>
      </c>
      <c r="T8" s="144">
        <f>+S8*19%</f>
        <v>73285.71428571429</v>
      </c>
      <c r="U8" s="31">
        <f>+R8*E8</f>
        <v>36720000</v>
      </c>
      <c r="V8" s="47" t="s">
        <v>662</v>
      </c>
      <c r="W8" s="3"/>
      <c r="X8" s="3"/>
      <c r="Y8" s="3"/>
      <c r="Z8" s="3"/>
      <c r="AA8" s="3"/>
      <c r="AB8" s="3"/>
      <c r="AC8" s="3"/>
      <c r="AD8" s="3"/>
    </row>
    <row r="9" spans="1:30" s="145" customFormat="1" ht="29" x14ac:dyDescent="0.35">
      <c r="A9" s="138">
        <v>2</v>
      </c>
      <c r="B9" s="139" t="s">
        <v>849</v>
      </c>
      <c r="C9" s="140" t="s">
        <v>850</v>
      </c>
      <c r="D9" s="141" t="s">
        <v>64</v>
      </c>
      <c r="E9" s="141">
        <v>50</v>
      </c>
      <c r="F9" s="19"/>
      <c r="G9" s="19"/>
      <c r="H9" s="19">
        <v>482600</v>
      </c>
      <c r="I9" s="19"/>
      <c r="J9" s="19">
        <v>465000</v>
      </c>
      <c r="K9" s="19">
        <v>369000</v>
      </c>
      <c r="L9" s="19"/>
      <c r="M9" s="19"/>
      <c r="N9" s="142">
        <f>+MEDIAN(F9:M9)</f>
        <v>465000</v>
      </c>
      <c r="O9" s="142">
        <f>+AVERAGE(F9:M9)</f>
        <v>438866.66666666669</v>
      </c>
      <c r="P9" s="143">
        <f>+STDEV(F9:M9)</f>
        <v>61142.892745872865</v>
      </c>
      <c r="Q9" s="62">
        <f>P9/O9</f>
        <v>0.1393199743563866</v>
      </c>
      <c r="R9" s="144">
        <f t="shared" ref="R9:R17" si="0">ROUNDUP(IF(Q9&lt;15%,O9,N9),0)</f>
        <v>438867</v>
      </c>
      <c r="S9" s="144">
        <f>+R9/1.19</f>
        <v>368795.79831932776</v>
      </c>
      <c r="T9" s="144">
        <f>+S9*19%</f>
        <v>70071.201680672282</v>
      </c>
      <c r="U9" s="31">
        <f>+R9*E9</f>
        <v>21943350</v>
      </c>
      <c r="V9" s="47" t="s">
        <v>662</v>
      </c>
      <c r="W9" s="3"/>
      <c r="X9" s="3"/>
      <c r="Y9" s="3"/>
      <c r="Z9" s="3"/>
      <c r="AA9" s="3"/>
      <c r="AB9" s="3"/>
      <c r="AC9" s="3"/>
      <c r="AD9" s="3"/>
    </row>
    <row r="10" spans="1:30" s="145" customFormat="1" ht="15.75" customHeight="1" x14ac:dyDescent="0.35">
      <c r="A10" s="146"/>
      <c r="B10" s="147" t="s">
        <v>868</v>
      </c>
      <c r="C10" s="148"/>
      <c r="D10" s="148"/>
      <c r="E10" s="149"/>
      <c r="F10" s="150"/>
      <c r="G10" s="150"/>
      <c r="H10" s="150"/>
      <c r="I10" s="150"/>
      <c r="J10" s="150"/>
      <c r="K10" s="150"/>
      <c r="L10" s="150"/>
      <c r="M10" s="150"/>
      <c r="N10" s="151"/>
      <c r="O10" s="151"/>
      <c r="P10" s="152"/>
      <c r="Q10" s="153"/>
      <c r="R10" s="154"/>
      <c r="S10" s="154"/>
      <c r="T10" s="154"/>
      <c r="U10" s="155"/>
      <c r="V10" s="156"/>
      <c r="W10" s="3"/>
      <c r="X10" s="3"/>
      <c r="Y10" s="3"/>
      <c r="Z10" s="3"/>
      <c r="AA10" s="3"/>
      <c r="AB10" s="3"/>
      <c r="AC10" s="3"/>
      <c r="AD10" s="3"/>
    </row>
    <row r="11" spans="1:30" s="145" customFormat="1" ht="29" x14ac:dyDescent="0.35">
      <c r="A11" s="138">
        <v>3</v>
      </c>
      <c r="B11" s="139" t="s">
        <v>851</v>
      </c>
      <c r="C11" s="140" t="s">
        <v>852</v>
      </c>
      <c r="D11" s="141" t="s">
        <v>64</v>
      </c>
      <c r="E11" s="141">
        <v>50</v>
      </c>
      <c r="F11" s="19"/>
      <c r="G11" s="19"/>
      <c r="H11" s="19">
        <v>79800</v>
      </c>
      <c r="I11" s="19">
        <v>105003</v>
      </c>
      <c r="J11" s="19"/>
      <c r="K11" s="19"/>
      <c r="L11" s="19"/>
      <c r="M11" s="19"/>
      <c r="N11" s="142">
        <f>+MEDIAN(F11:M11)</f>
        <v>92401.5</v>
      </c>
      <c r="O11" s="142">
        <f>+AVERAGE(F11:M11)</f>
        <v>92401.5</v>
      </c>
      <c r="P11" s="143">
        <f>+STDEV(F11:M11)</f>
        <v>17821.212206244556</v>
      </c>
      <c r="Q11" s="62">
        <f t="shared" ref="Q11:Q18" si="1">P11/O11</f>
        <v>0.19286713101242464</v>
      </c>
      <c r="R11" s="144">
        <f t="shared" si="0"/>
        <v>92402</v>
      </c>
      <c r="S11" s="144">
        <f>+R11/1.19</f>
        <v>77648.73949579832</v>
      </c>
      <c r="T11" s="144">
        <f>+S11*19%</f>
        <v>14753.26050420168</v>
      </c>
      <c r="U11" s="31">
        <f>+R11*E11</f>
        <v>4620100</v>
      </c>
      <c r="V11" s="47" t="s">
        <v>665</v>
      </c>
      <c r="W11" s="3"/>
      <c r="X11" s="3"/>
      <c r="Y11" s="3"/>
      <c r="Z11" s="3"/>
      <c r="AA11" s="3"/>
      <c r="AB11" s="3"/>
      <c r="AC11" s="3"/>
      <c r="AD11" s="3"/>
    </row>
    <row r="12" spans="1:30" s="145" customFormat="1" ht="29" x14ac:dyDescent="0.35">
      <c r="A12" s="138">
        <v>4</v>
      </c>
      <c r="B12" s="139" t="s">
        <v>853</v>
      </c>
      <c r="C12" s="140" t="s">
        <v>854</v>
      </c>
      <c r="D12" s="141" t="s">
        <v>127</v>
      </c>
      <c r="E12" s="141">
        <v>55</v>
      </c>
      <c r="F12" s="19"/>
      <c r="G12" s="19"/>
      <c r="H12" s="19">
        <v>118400</v>
      </c>
      <c r="I12" s="19"/>
      <c r="J12" s="19"/>
      <c r="K12" s="19">
        <v>129910</v>
      </c>
      <c r="L12" s="19"/>
      <c r="M12" s="19"/>
      <c r="N12" s="142">
        <f>+MEDIAN(F12:M12)</f>
        <v>124155</v>
      </c>
      <c r="O12" s="142">
        <f>+AVERAGE(F12:M12)</f>
        <v>124155</v>
      </c>
      <c r="P12" s="143">
        <f>+STDEV(F12:M12)</f>
        <v>8138.799051457162</v>
      </c>
      <c r="Q12" s="62">
        <f t="shared" si="1"/>
        <v>6.5553534303549293E-2</v>
      </c>
      <c r="R12" s="144">
        <f t="shared" si="0"/>
        <v>124155</v>
      </c>
      <c r="S12" s="144">
        <f>+R12/1.19</f>
        <v>104331.93277310925</v>
      </c>
      <c r="T12" s="144">
        <f>+S12*19%</f>
        <v>19823.067226890758</v>
      </c>
      <c r="U12" s="31">
        <f>+R12*E12</f>
        <v>6828525</v>
      </c>
      <c r="V12" s="47" t="s">
        <v>662</v>
      </c>
      <c r="W12" s="3"/>
      <c r="X12" s="3"/>
      <c r="Y12" s="3"/>
      <c r="Z12" s="3"/>
      <c r="AA12" s="3"/>
      <c r="AB12" s="3"/>
      <c r="AC12" s="3"/>
      <c r="AD12" s="3"/>
    </row>
    <row r="13" spans="1:30" s="145" customFormat="1" ht="29" x14ac:dyDescent="0.35">
      <c r="A13" s="138">
        <v>5</v>
      </c>
      <c r="B13" s="157" t="s">
        <v>855</v>
      </c>
      <c r="C13" s="140" t="s">
        <v>856</v>
      </c>
      <c r="D13" s="141" t="s">
        <v>64</v>
      </c>
      <c r="E13" s="158">
        <v>50</v>
      </c>
      <c r="F13" s="19"/>
      <c r="G13" s="19"/>
      <c r="H13" s="19"/>
      <c r="I13" s="19"/>
      <c r="J13" s="19"/>
      <c r="K13" s="19"/>
      <c r="L13" s="19">
        <v>119000</v>
      </c>
      <c r="M13" s="19">
        <v>101000</v>
      </c>
      <c r="N13" s="142">
        <f>+MEDIAN(F13:M13)</f>
        <v>110000</v>
      </c>
      <c r="O13" s="142">
        <f>+AVERAGE(F13:M13)</f>
        <v>110000</v>
      </c>
      <c r="P13" s="143">
        <f>+STDEV(F13:M13)</f>
        <v>12727.922061357855</v>
      </c>
      <c r="Q13" s="62">
        <f t="shared" si="1"/>
        <v>0.1157083823759805</v>
      </c>
      <c r="R13" s="144">
        <f t="shared" si="0"/>
        <v>110000</v>
      </c>
      <c r="S13" s="144">
        <f>+R13/1.19</f>
        <v>92436.97478991597</v>
      </c>
      <c r="T13" s="144">
        <f>+S13*19%</f>
        <v>17563.025210084033</v>
      </c>
      <c r="U13" s="31">
        <f>+R13*E13</f>
        <v>5500000</v>
      </c>
      <c r="V13" s="47" t="s">
        <v>662</v>
      </c>
      <c r="W13" s="3"/>
      <c r="X13" s="3"/>
      <c r="Y13" s="3"/>
      <c r="Z13" s="3"/>
      <c r="AA13" s="3"/>
      <c r="AB13" s="3"/>
      <c r="AC13" s="3"/>
      <c r="AD13" s="3"/>
    </row>
    <row r="14" spans="1:30" s="145" customFormat="1" ht="29" x14ac:dyDescent="0.35">
      <c r="A14" s="138">
        <v>6</v>
      </c>
      <c r="B14" s="157" t="s">
        <v>857</v>
      </c>
      <c r="C14" s="140" t="s">
        <v>858</v>
      </c>
      <c r="D14" s="141" t="s">
        <v>64</v>
      </c>
      <c r="E14" s="158">
        <v>50</v>
      </c>
      <c r="F14" s="159"/>
      <c r="G14" s="19"/>
      <c r="H14" s="159"/>
      <c r="I14" s="159"/>
      <c r="J14" s="19"/>
      <c r="K14" s="19"/>
      <c r="L14" s="19">
        <v>109000</v>
      </c>
      <c r="M14" s="19">
        <v>84000</v>
      </c>
      <c r="N14" s="142">
        <f>+MEDIAN(F14:M14)</f>
        <v>96500</v>
      </c>
      <c r="O14" s="142">
        <f>+AVERAGE(F14:M14)</f>
        <v>96500</v>
      </c>
      <c r="P14" s="143">
        <f>+STDEV(F14:M14)</f>
        <v>17677.66952966369</v>
      </c>
      <c r="Q14" s="62">
        <f t="shared" si="1"/>
        <v>0.18318828528148901</v>
      </c>
      <c r="R14" s="144">
        <f t="shared" si="0"/>
        <v>96500</v>
      </c>
      <c r="S14" s="144">
        <f>+R14/1.19</f>
        <v>81092.436974789918</v>
      </c>
      <c r="T14" s="144">
        <f>+S14*19%</f>
        <v>15407.563025210085</v>
      </c>
      <c r="U14" s="31">
        <f>+R14*E14</f>
        <v>4825000</v>
      </c>
      <c r="V14" s="47" t="s">
        <v>665</v>
      </c>
      <c r="W14" s="3"/>
      <c r="X14" s="3"/>
      <c r="Y14" s="3"/>
      <c r="Z14" s="3"/>
      <c r="AA14" s="3"/>
      <c r="AB14" s="3"/>
      <c r="AC14" s="3"/>
      <c r="AD14" s="3"/>
    </row>
    <row r="15" spans="1:30" s="145" customFormat="1" x14ac:dyDescent="0.35">
      <c r="A15" s="146"/>
      <c r="B15" s="160" t="s">
        <v>859</v>
      </c>
      <c r="C15" s="160"/>
      <c r="D15" s="160"/>
      <c r="E15" s="160"/>
      <c r="F15" s="161"/>
      <c r="G15" s="150"/>
      <c r="H15" s="161"/>
      <c r="I15" s="161"/>
      <c r="J15" s="150"/>
      <c r="K15" s="150"/>
      <c r="L15" s="150"/>
      <c r="M15" s="150"/>
      <c r="N15" s="151"/>
      <c r="O15" s="151"/>
      <c r="P15" s="152"/>
      <c r="Q15" s="153"/>
      <c r="R15" s="154"/>
      <c r="S15" s="154"/>
      <c r="T15" s="154"/>
      <c r="U15" s="155"/>
      <c r="V15" s="156"/>
      <c r="W15" s="3"/>
      <c r="X15" s="3"/>
      <c r="Y15" s="3"/>
      <c r="Z15" s="3"/>
      <c r="AA15" s="3"/>
      <c r="AB15" s="3"/>
      <c r="AC15" s="3"/>
      <c r="AD15" s="3"/>
    </row>
    <row r="16" spans="1:30" s="145" customFormat="1" ht="29" x14ac:dyDescent="0.35">
      <c r="A16" s="138">
        <v>7</v>
      </c>
      <c r="B16" s="139" t="s">
        <v>860</v>
      </c>
      <c r="C16" s="140" t="s">
        <v>861</v>
      </c>
      <c r="D16" s="141" t="s">
        <v>313</v>
      </c>
      <c r="E16" s="141">
        <v>210</v>
      </c>
      <c r="F16" s="19">
        <v>35000</v>
      </c>
      <c r="H16" s="19">
        <v>41500</v>
      </c>
      <c r="I16" s="19"/>
      <c r="J16" s="19"/>
      <c r="K16" s="19"/>
      <c r="L16" s="19"/>
      <c r="M16" s="19"/>
      <c r="N16" s="142">
        <f>+MEDIAN(F16:M16)</f>
        <v>38250</v>
      </c>
      <c r="O16" s="142">
        <f>+AVERAGE(F16:M16)</f>
        <v>38250</v>
      </c>
      <c r="P16" s="143">
        <f>+STDEV(F16:M16)</f>
        <v>4596.1940777125592</v>
      </c>
      <c r="Q16" s="62">
        <f t="shared" si="1"/>
        <v>0.12016193667222377</v>
      </c>
      <c r="R16" s="144">
        <f t="shared" si="0"/>
        <v>38250</v>
      </c>
      <c r="S16" s="144">
        <f>+R16/1.19</f>
        <v>32142.857142857145</v>
      </c>
      <c r="T16" s="144">
        <f>+S16*19%</f>
        <v>6107.1428571428578</v>
      </c>
      <c r="U16" s="31">
        <f>+R16*E16</f>
        <v>8032500</v>
      </c>
      <c r="V16" s="47" t="s">
        <v>662</v>
      </c>
      <c r="W16" s="3"/>
      <c r="X16" s="3"/>
      <c r="Y16" s="3"/>
      <c r="Z16" s="3"/>
      <c r="AA16" s="3"/>
      <c r="AB16" s="3"/>
      <c r="AC16" s="3"/>
      <c r="AD16" s="3"/>
    </row>
    <row r="17" spans="1:24" ht="29" x14ac:dyDescent="0.35">
      <c r="A17" s="138">
        <v>8</v>
      </c>
      <c r="B17" s="139" t="s">
        <v>862</v>
      </c>
      <c r="C17" s="140" t="s">
        <v>863</v>
      </c>
      <c r="D17" s="141" t="s">
        <v>313</v>
      </c>
      <c r="E17" s="141">
        <v>201</v>
      </c>
      <c r="F17" s="19">
        <v>25000</v>
      </c>
      <c r="G17" s="14"/>
      <c r="H17" s="19">
        <v>30000</v>
      </c>
      <c r="I17" s="19"/>
      <c r="J17" s="14"/>
      <c r="K17" s="14"/>
      <c r="L17" s="14"/>
      <c r="M17" s="14"/>
      <c r="N17" s="142">
        <f>+MEDIAN(F17:M17)</f>
        <v>27500</v>
      </c>
      <c r="O17" s="142">
        <f>+AVERAGE(F17:M17)</f>
        <v>27500</v>
      </c>
      <c r="P17" s="143">
        <f>+STDEV(F17:M17)</f>
        <v>3535.5339059327375</v>
      </c>
      <c r="Q17" s="62">
        <f t="shared" si="1"/>
        <v>0.12856486930664501</v>
      </c>
      <c r="R17" s="144">
        <f t="shared" si="0"/>
        <v>27500</v>
      </c>
      <c r="S17" s="144">
        <f>+R17/1.19</f>
        <v>23109.243697478993</v>
      </c>
      <c r="T17" s="144">
        <f>+S17*19%</f>
        <v>4390.7563025210084</v>
      </c>
      <c r="U17" s="31">
        <f>+R17*E17+3025</f>
        <v>5530525</v>
      </c>
      <c r="V17" s="47" t="s">
        <v>662</v>
      </c>
    </row>
    <row r="18" spans="1:24" ht="39" x14ac:dyDescent="0.35">
      <c r="A18" s="138">
        <v>9</v>
      </c>
      <c r="B18" s="139" t="s">
        <v>864</v>
      </c>
      <c r="C18" s="140" t="s">
        <v>865</v>
      </c>
      <c r="D18" s="141" t="s">
        <v>866</v>
      </c>
      <c r="E18" s="141">
        <v>100</v>
      </c>
      <c r="F18" s="19">
        <v>80000</v>
      </c>
      <c r="G18" s="19">
        <v>110000</v>
      </c>
      <c r="H18" s="19">
        <v>71500</v>
      </c>
      <c r="I18" s="19"/>
      <c r="J18" s="126"/>
      <c r="K18" s="126"/>
      <c r="L18" s="126"/>
      <c r="M18" s="126"/>
      <c r="N18" s="142">
        <f>+MEDIAN(F18:M18)</f>
        <v>80000</v>
      </c>
      <c r="O18" s="142">
        <f>+AVERAGE(F18:M18)</f>
        <v>87166.666666666672</v>
      </c>
      <c r="P18" s="143">
        <f>+STDEV(F18:M18)</f>
        <v>20225.808595290669</v>
      </c>
      <c r="Q18" s="62">
        <f t="shared" si="1"/>
        <v>0.23203604507025624</v>
      </c>
      <c r="R18" s="144">
        <f>ROUNDUP(IF(Q18&lt;15%,O18,N18),0)</f>
        <v>80000</v>
      </c>
      <c r="S18" s="144">
        <f>+R18/1.19</f>
        <v>67226.890756302528</v>
      </c>
      <c r="T18" s="144">
        <f>+S18*19%</f>
        <v>12773.10924369748</v>
      </c>
      <c r="U18" s="31">
        <f>+R18*E18</f>
        <v>8000000</v>
      </c>
      <c r="V18" s="47" t="s">
        <v>665</v>
      </c>
    </row>
    <row r="19" spans="1:24" x14ac:dyDescent="0.35">
      <c r="A19" s="573" t="s">
        <v>827</v>
      </c>
      <c r="B19" s="573"/>
      <c r="C19" s="573"/>
      <c r="D19" s="573"/>
      <c r="E19" s="573"/>
      <c r="F19" s="162">
        <f>SUM(F8:F18)</f>
        <v>140000</v>
      </c>
      <c r="G19" s="162">
        <f t="shared" ref="G19:M19" si="2">SUM(G8:G18)</f>
        <v>110000</v>
      </c>
      <c r="H19" s="162">
        <f t="shared" si="2"/>
        <v>1310100</v>
      </c>
      <c r="I19" s="162">
        <f t="shared" si="2"/>
        <v>105003</v>
      </c>
      <c r="J19" s="162">
        <f t="shared" si="2"/>
        <v>924000</v>
      </c>
      <c r="K19" s="162">
        <f t="shared" si="2"/>
        <v>858910</v>
      </c>
      <c r="L19" s="162">
        <f t="shared" si="2"/>
        <v>228000</v>
      </c>
      <c r="M19" s="162">
        <f t="shared" si="2"/>
        <v>185000</v>
      </c>
      <c r="N19" s="163"/>
      <c r="O19" s="163"/>
      <c r="P19" s="126"/>
      <c r="Q19" s="55"/>
      <c r="R19" s="164">
        <f>SUM(R8:R18)</f>
        <v>1466674</v>
      </c>
      <c r="S19" s="144">
        <f>SUM(S8:S18)</f>
        <v>1232499.1596638656</v>
      </c>
      <c r="T19" s="144">
        <f>SUM(T8:T18)</f>
        <v>234174.84033613451</v>
      </c>
      <c r="U19" s="165">
        <f>SUM(U8:U18)</f>
        <v>102000000</v>
      </c>
      <c r="V19" s="166"/>
      <c r="X19" s="357"/>
    </row>
    <row r="21" spans="1:24" x14ac:dyDescent="0.35">
      <c r="B21" s="393" t="s">
        <v>828</v>
      </c>
      <c r="C21" s="393"/>
      <c r="D21" s="393"/>
      <c r="E21" s="393"/>
    </row>
    <row r="22" spans="1:24" x14ac:dyDescent="0.35">
      <c r="B22" s="393"/>
      <c r="C22" s="393"/>
      <c r="D22" s="393"/>
      <c r="E22" s="393"/>
    </row>
    <row r="23" spans="1:24" x14ac:dyDescent="0.35">
      <c r="B23" s="393"/>
      <c r="C23" s="393"/>
      <c r="D23" s="393"/>
      <c r="E23" s="393"/>
    </row>
    <row r="24" spans="1:24" x14ac:dyDescent="0.35">
      <c r="B24" s="393"/>
      <c r="C24" s="393"/>
      <c r="D24" s="393"/>
      <c r="E24" s="393"/>
    </row>
    <row r="25" spans="1:24" x14ac:dyDescent="0.35">
      <c r="B25" s="393"/>
      <c r="C25" s="393"/>
      <c r="D25" s="393"/>
      <c r="E25" s="393"/>
    </row>
    <row r="26" spans="1:24" x14ac:dyDescent="0.35">
      <c r="B26" s="393"/>
      <c r="C26" s="393"/>
      <c r="D26" s="393"/>
      <c r="E26" s="393"/>
    </row>
    <row r="27" spans="1:24" x14ac:dyDescent="0.35">
      <c r="B27" s="393"/>
      <c r="C27" s="393"/>
      <c r="D27" s="393"/>
      <c r="E27" s="393"/>
    </row>
    <row r="28" spans="1:24" x14ac:dyDescent="0.35">
      <c r="B28" s="393"/>
      <c r="C28" s="393"/>
      <c r="D28" s="393"/>
      <c r="E28" s="393"/>
    </row>
    <row r="29" spans="1:24" x14ac:dyDescent="0.35">
      <c r="B29" s="393"/>
      <c r="C29" s="393"/>
      <c r="D29" s="393"/>
      <c r="E29" s="393"/>
    </row>
    <row r="30" spans="1:24" x14ac:dyDescent="0.35">
      <c r="B30" s="393"/>
      <c r="C30" s="393"/>
      <c r="D30" s="393"/>
      <c r="E30" s="393"/>
    </row>
    <row r="31" spans="1:24" x14ac:dyDescent="0.35">
      <c r="B31" s="393"/>
      <c r="C31" s="393"/>
      <c r="D31" s="393"/>
      <c r="E31" s="393"/>
    </row>
    <row r="32" spans="1:24" x14ac:dyDescent="0.35">
      <c r="B32" s="393"/>
      <c r="C32" s="393"/>
      <c r="D32" s="393"/>
      <c r="E32" s="393"/>
    </row>
    <row r="33" spans="2:5" x14ac:dyDescent="0.35">
      <c r="B33" s="393"/>
      <c r="C33" s="393"/>
      <c r="D33" s="393"/>
      <c r="E33" s="393"/>
    </row>
    <row r="34" spans="2:5" x14ac:dyDescent="0.35">
      <c r="B34" s="393"/>
      <c r="C34" s="393"/>
      <c r="D34" s="393"/>
      <c r="E34" s="393"/>
    </row>
    <row r="35" spans="2:5" x14ac:dyDescent="0.35">
      <c r="B35" s="393"/>
      <c r="C35" s="393"/>
      <c r="D35" s="393"/>
      <c r="E35" s="393"/>
    </row>
    <row r="36" spans="2:5" x14ac:dyDescent="0.35">
      <c r="B36" s="393"/>
      <c r="C36" s="393"/>
      <c r="D36" s="393"/>
      <c r="E36" s="393"/>
    </row>
    <row r="37" spans="2:5" x14ac:dyDescent="0.35">
      <c r="B37" s="393"/>
      <c r="C37" s="393"/>
      <c r="D37" s="393"/>
      <c r="E37" s="393"/>
    </row>
  </sheetData>
  <mergeCells count="21">
    <mergeCell ref="A1:J1"/>
    <mergeCell ref="A2:J2"/>
    <mergeCell ref="A3:J3"/>
    <mergeCell ref="A4:J4"/>
    <mergeCell ref="A5:A7"/>
    <mergeCell ref="B5:B7"/>
    <mergeCell ref="C5:C7"/>
    <mergeCell ref="D5:D7"/>
    <mergeCell ref="E5:E7"/>
    <mergeCell ref="T5:T7"/>
    <mergeCell ref="U5:U7"/>
    <mergeCell ref="V5:V7"/>
    <mergeCell ref="N6:N7"/>
    <mergeCell ref="O6:O7"/>
    <mergeCell ref="P6:P7"/>
    <mergeCell ref="Q6:Q7"/>
    <mergeCell ref="A19:E19"/>
    <mergeCell ref="B21:E37"/>
    <mergeCell ref="N5:Q5"/>
    <mergeCell ref="R5:R7"/>
    <mergeCell ref="S5:S7"/>
  </mergeCells>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COMUNALES</vt:lpstr>
      <vt:lpstr>LOTE 2 CULTURA</vt:lpstr>
      <vt:lpstr>LOTE 3 DEPORTE </vt:lpstr>
      <vt:lpstr>LOTE4  PAPELERIA</vt:lpstr>
      <vt:lpstr>LOTE 5 INSUMOS IMP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Alejandro Vela Rodriguez</dc:creator>
  <cp:keywords/>
  <dc:description/>
  <cp:lastModifiedBy>Andres Fernando Betancourt Martinez</cp:lastModifiedBy>
  <cp:revision/>
  <dcterms:created xsi:type="dcterms:W3CDTF">2025-02-06T22:20:45Z</dcterms:created>
  <dcterms:modified xsi:type="dcterms:W3CDTF">2026-06-03T16:48:56Z</dcterms:modified>
  <cp:category/>
  <cp:contentStatus/>
</cp:coreProperties>
</file>