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JORGE MONTEALEGRE 2021\JUSTIFICACION OPORTUNIDAD Y CONVENIENCIA\2026\EP RESTAURACION PAI GUARINO- AMOYA\"/>
    </mc:Choice>
  </mc:AlternateContent>
  <bookViews>
    <workbookView xWindow="0" yWindow="0" windowWidth="28800" windowHeight="11400"/>
  </bookViews>
  <sheets>
    <sheet name="Estudio de Mercado" sheetId="1" r:id="rId1"/>
    <sheet name="CERCA VIVA" sheetId="2" r:id="rId2"/>
    <sheet name="AISLAMIENTO" sheetId="3" r:id="rId3"/>
    <sheet name="TOTAL PROYECTO" sheetId="4" r:id="rId4"/>
  </sheets>
  <externalReferences>
    <externalReference r:id="rId5"/>
  </externalReferences>
  <definedNames>
    <definedName name="__123Graph_A">#REF!</definedName>
    <definedName name="__123Graph_AGraph2">#REF!</definedName>
    <definedName name="__123Graph_X">#REF!</definedName>
    <definedName name="_Fill">#REF!</definedName>
    <definedName name="_Key1">#REF!</definedName>
    <definedName name="_MttoRp2">#REF!</definedName>
    <definedName name="_scenchg1">#REF!</definedName>
    <definedName name="_Sort">#REF!</definedName>
    <definedName name="_X">#REF!</definedName>
    <definedName name="_X_10">#REF!</definedName>
    <definedName name="_X_3">#REF!</definedName>
    <definedName name="_X_4">#REF!</definedName>
    <definedName name="_X_5">#REF!</definedName>
    <definedName name="_X_6">#REF!</definedName>
    <definedName name="_X_7">#REF!</definedName>
    <definedName name="_X_8">#REF!</definedName>
    <definedName name="_X_9">#REF!</definedName>
    <definedName name="_Z">#REF!</definedName>
    <definedName name="_Z_10">#REF!</definedName>
    <definedName name="_Z_3">#REF!</definedName>
    <definedName name="_Z_4">#REF!</definedName>
    <definedName name="_Z_5">#REF!</definedName>
    <definedName name="_Z_6">#REF!</definedName>
    <definedName name="_Z_7">#REF!</definedName>
    <definedName name="_Z_8">#REF!</definedName>
    <definedName name="_Z_9">#REF!</definedName>
    <definedName name="a">#REF!</definedName>
    <definedName name="A_ARCINIEGAS">#REF!</definedName>
    <definedName name="A_impresión_IM">#REF!</definedName>
    <definedName name="AAA_10">#REF!</definedName>
    <definedName name="AAA_3">#REF!</definedName>
    <definedName name="AAA_4">#REF!</definedName>
    <definedName name="AAA_5">#REF!</definedName>
    <definedName name="AAA_6">#REF!</definedName>
    <definedName name="AAA_7">#REF!</definedName>
    <definedName name="AAA_8">#REF!</definedName>
    <definedName name="AAA_9">#REF!</definedName>
    <definedName name="aas">#REF!</definedName>
    <definedName name="ACTA1">#REF!</definedName>
    <definedName name="ACTA2">#REF!</definedName>
    <definedName name="ads">#REF!</definedName>
    <definedName name="AIU">#REF!</definedName>
    <definedName name="asdda">#REF!</definedName>
    <definedName name="asdf">#REF!</definedName>
    <definedName name="asdfds">#REF!</definedName>
    <definedName name="asdflkjh">#REF!</definedName>
    <definedName name="Base_datos_IM">#REF!</definedName>
    <definedName name="BOX__">#REF!</definedName>
    <definedName name="Buscar">#REF!</definedName>
    <definedName name="CANTIDAD">#REF!</definedName>
    <definedName name="CARRO">#REF!</definedName>
    <definedName name="CINCUENTA">#REF!</definedName>
    <definedName name="COSTODIRECTO">#REF!</definedName>
    <definedName name="Criterios_IM">#REF!</definedName>
    <definedName name="CUAL_10">#REF!</definedName>
    <definedName name="CUAL_3">#REF!</definedName>
    <definedName name="CUAL_4">#REF!</definedName>
    <definedName name="CUAL_5">#REF!</definedName>
    <definedName name="CUAL_6">#REF!</definedName>
    <definedName name="CUAL_7">#REF!</definedName>
    <definedName name="CUAL_8">#REF!</definedName>
    <definedName name="CUAL_9">#REF!</definedName>
    <definedName name="dd_10">#REF!</definedName>
    <definedName name="dd_3">#REF!</definedName>
    <definedName name="dd_4">#REF!</definedName>
    <definedName name="dd_5">#REF!</definedName>
    <definedName name="dd_6">#REF!</definedName>
    <definedName name="dd_7">#REF!</definedName>
    <definedName name="dd_8">#REF!</definedName>
    <definedName name="dd_9">#REF!</definedName>
    <definedName name="dedicacion">#REF!</definedName>
    <definedName name="dfasd">#REF!</definedName>
    <definedName name="DFGDFG">#REF!</definedName>
    <definedName name="dfsds">#REF!</definedName>
    <definedName name="drg">#REF!</definedName>
    <definedName name="dzfc">#REF!</definedName>
    <definedName name="EDICAR">#REF!</definedName>
    <definedName name="EEE">#REF!</definedName>
    <definedName name="EMPRESA">#REF!</definedName>
    <definedName name="ERTERT">#REF!</definedName>
    <definedName name="Excel_BuiltIn_Print_Titles_2">#REF!</definedName>
    <definedName name="Extracción_IM">#REF!</definedName>
    <definedName name="f.s">#REF!</definedName>
    <definedName name="factor">#REF!</definedName>
    <definedName name="FAHESA">#REF!</definedName>
    <definedName name="FD">#REF!</definedName>
    <definedName name="fsdfdf">#REF!</definedName>
    <definedName name="fsdsad">#REF!</definedName>
    <definedName name="G_MURILLO">#REF!</definedName>
    <definedName name="GLOBAL">#REF!</definedName>
    <definedName name="H_DELGADO">#REF!</definedName>
    <definedName name="HERNAN_DUARTE">#REF!</definedName>
    <definedName name="HJKHJ">#REF!</definedName>
    <definedName name="HONORARIOS">#REF!</definedName>
    <definedName name="inf">#REF!</definedName>
    <definedName name="Israel">#REF!</definedName>
    <definedName name="J_GARCIA_P">#REF!</definedName>
    <definedName name="K">#REF!</definedName>
    <definedName name="KBKL">#REF!</definedName>
    <definedName name="lidsa">#REF!</definedName>
    <definedName name="M.R.SOLARTE">#REF!</definedName>
    <definedName name="MACO">#REF!</definedName>
    <definedName name="MES">#REF!</definedName>
    <definedName name="NANCY_POLO">#REF!</definedName>
    <definedName name="Nocal2m">#REF!</definedName>
    <definedName name="nocall2n">#REF!</definedName>
    <definedName name="NORTE">#REF!</definedName>
    <definedName name="NOVENTA">#REF!</definedName>
    <definedName name="ñpl">#REF!</definedName>
    <definedName name="OCHENTA">#REF!</definedName>
    <definedName name="OLE_LINK1_6">#REF!</definedName>
    <definedName name="OLE_LINK2_6">#REF!</definedName>
    <definedName name="ORDENAR">#REF!</definedName>
    <definedName name="PAPEL">#REF!</definedName>
    <definedName name="personal">#REF!</definedName>
    <definedName name="POZOS">#REF!</definedName>
    <definedName name="PR">#REF!</definedName>
    <definedName name="PRESUPUESTO">#REF!</definedName>
    <definedName name="PROY">#REF!</definedName>
    <definedName name="q">#REF!</definedName>
    <definedName name="RICARDO">#REF!</definedName>
    <definedName name="rpld">#REF!</definedName>
    <definedName name="SADFSDFTGDS">#REF!</definedName>
    <definedName name="SbtPpto">#REF!</definedName>
    <definedName name="scen_change">#REF!</definedName>
    <definedName name="SDFGD">#REF!</definedName>
    <definedName name="SDFGDG">#REF!</definedName>
    <definedName name="SDFGHFDH">#REF!</definedName>
    <definedName name="SESENTA">#REF!</definedName>
    <definedName name="SETENTA">#REF!</definedName>
    <definedName name="SHARED_FORMULA_0">#REF!</definedName>
    <definedName name="SHARED_FORMULA_1">#REF!</definedName>
    <definedName name="SHARED_FORMULA_2">#REF!</definedName>
    <definedName name="SHARED_FORMULA_3">#REF!</definedName>
    <definedName name="SHARED_FORMULA_4">#REF!</definedName>
    <definedName name="SHARED_FORMULA_5">#REF!</definedName>
    <definedName name="SHARED_FORMULA_6">#REF!</definedName>
    <definedName name="TOTAL">#REF!</definedName>
    <definedName name="TREINTA">#REF!</definedName>
    <definedName name="u_TEMPORAL_VILLAREAL">#REF!</definedName>
    <definedName name="UNION_TEMPORAL">#REF!</definedName>
    <definedName name="vect.raster.1000">#REF!</definedName>
    <definedName name="vect.raster.10001">#REF!</definedName>
    <definedName name="vect.raster.2000">#REF!</definedName>
    <definedName name="VEINTE">#REF!</definedName>
    <definedName name="VIA">#REF!</definedName>
    <definedName name="w">#REF!</definedName>
    <definedName name="W.A.C.C.">#REF!</definedName>
    <definedName name="wrn.HyCal._.I._.Mixing.">#REF!</definedName>
    <definedName name="wrn.Hycal._.II.">#REF!</definedName>
    <definedName name="wrn.HyCal._.II._.Blending.">#REF!</definedName>
    <definedName name="wrn.HyCal._.III.">#REF!</definedName>
    <definedName name="wrn.NoCal._.I._.Mixing.">#REF!</definedName>
    <definedName name="wrn.NoCal._.II._.Mixing.">#REF!</definedName>
    <definedName name="wrn.Resumen.">#REF!</definedName>
    <definedName name="YUIYUI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1" i="2" l="1"/>
  <c r="F9" i="4"/>
  <c r="F8" i="4"/>
  <c r="N28" i="1"/>
  <c r="G75" i="2"/>
  <c r="D21" i="3" l="1"/>
  <c r="E22" i="2"/>
  <c r="E21" i="2"/>
  <c r="E20" i="2"/>
  <c r="E18" i="2"/>
  <c r="E17" i="2"/>
  <c r="E16" i="2"/>
  <c r="E15" i="2"/>
  <c r="E23" i="2"/>
  <c r="F69" i="3" l="1"/>
  <c r="E68" i="3"/>
  <c r="D52" i="3"/>
  <c r="D51" i="3"/>
  <c r="D50" i="3"/>
  <c r="D49" i="3"/>
  <c r="D48" i="3"/>
  <c r="G66" i="3" s="1"/>
  <c r="D47" i="3"/>
  <c r="G65" i="3" s="1"/>
  <c r="D46" i="3"/>
  <c r="G68" i="3" s="1"/>
  <c r="D45" i="3"/>
  <c r="G67" i="3" s="1"/>
  <c r="E39" i="3"/>
  <c r="E36" i="3"/>
  <c r="F36" i="3" s="1"/>
  <c r="D19" i="3"/>
  <c r="E52" i="3" s="1"/>
  <c r="D18" i="3"/>
  <c r="E51" i="3" s="1"/>
  <c r="D17" i="3"/>
  <c r="E50" i="3" s="1"/>
  <c r="D16" i="3"/>
  <c r="E49" i="3" s="1"/>
  <c r="D15" i="3"/>
  <c r="E46" i="3" s="1"/>
  <c r="D13" i="3"/>
  <c r="C13" i="3"/>
  <c r="D53" i="2"/>
  <c r="D52" i="2"/>
  <c r="D41" i="2"/>
  <c r="D40" i="2"/>
  <c r="D38" i="2"/>
  <c r="D37" i="2"/>
  <c r="D36" i="2"/>
  <c r="D35" i="2"/>
  <c r="D34" i="2"/>
  <c r="E53" i="2"/>
  <c r="E52" i="2"/>
  <c r="E54" i="2"/>
  <c r="E51" i="2"/>
  <c r="E50" i="2"/>
  <c r="E49" i="2"/>
  <c r="E48" i="2"/>
  <c r="D13" i="2"/>
  <c r="B67" i="1"/>
  <c r="B61" i="1"/>
  <c r="B60" i="1"/>
  <c r="B59" i="1"/>
  <c r="B58" i="1"/>
  <c r="B57" i="1"/>
  <c r="B65" i="1" s="1"/>
  <c r="B66" i="1" s="1"/>
  <c r="N52" i="1"/>
  <c r="N50" i="1"/>
  <c r="E12" i="2" s="1"/>
  <c r="E47" i="2" s="1"/>
  <c r="N47" i="1"/>
  <c r="D12" i="3" s="1"/>
  <c r="E48" i="3" s="1"/>
  <c r="N46" i="1"/>
  <c r="D11" i="3" s="1"/>
  <c r="E47" i="3" s="1"/>
  <c r="N43" i="1"/>
  <c r="N42" i="1"/>
  <c r="N41" i="1"/>
  <c r="N40" i="1"/>
  <c r="N39" i="1"/>
  <c r="N38" i="1"/>
  <c r="N37" i="1"/>
  <c r="N35" i="1"/>
  <c r="N34" i="1"/>
  <c r="N33" i="1"/>
  <c r="N32" i="1"/>
  <c r="N31" i="1"/>
  <c r="N30" i="1"/>
  <c r="N29" i="1"/>
  <c r="O28" i="1"/>
  <c r="N27" i="1"/>
  <c r="D14" i="3" s="1"/>
  <c r="E45" i="3" s="1"/>
  <c r="H26" i="1"/>
  <c r="N26" i="1" s="1"/>
  <c r="N25" i="1"/>
  <c r="N24" i="1"/>
  <c r="N23" i="1"/>
  <c r="N22" i="1"/>
  <c r="N19" i="1"/>
  <c r="N18" i="1"/>
  <c r="N17" i="1"/>
  <c r="E19" i="2" s="1"/>
  <c r="E55" i="2" s="1"/>
  <c r="N16" i="1"/>
  <c r="O16" i="1" s="1"/>
  <c r="N15" i="1"/>
  <c r="N14" i="1"/>
  <c r="N13" i="1"/>
  <c r="N12" i="1"/>
  <c r="N11" i="1"/>
  <c r="N10" i="1"/>
  <c r="O10" i="1" s="1"/>
  <c r="N9" i="1"/>
  <c r="O9" i="1" s="1"/>
  <c r="C9" i="1"/>
  <c r="N8" i="1"/>
  <c r="O8" i="1" s="1"/>
  <c r="C8" i="1"/>
  <c r="C10" i="1" s="1"/>
  <c r="N7" i="1"/>
  <c r="O7" i="1" s="1"/>
  <c r="N6" i="1"/>
  <c r="O6" i="1" s="1"/>
  <c r="N5" i="1"/>
  <c r="N4" i="1"/>
  <c r="O4" i="1" s="1"/>
  <c r="D42" i="2" l="1"/>
  <c r="D54" i="2"/>
  <c r="H73" i="2" s="1"/>
  <c r="I73" i="2" s="1"/>
  <c r="J73" i="2" s="1"/>
  <c r="D47" i="2"/>
  <c r="D55" i="2"/>
  <c r="D49" i="2"/>
  <c r="H69" i="2" s="1"/>
  <c r="I69" i="2" s="1"/>
  <c r="J69" i="2" s="1"/>
  <c r="D51" i="2"/>
  <c r="H71" i="2" s="1"/>
  <c r="I71" i="2" s="1"/>
  <c r="J71" i="2" s="1"/>
  <c r="D50" i="2"/>
  <c r="H70" i="2" s="1"/>
  <c r="I70" i="2" s="1"/>
  <c r="J70" i="2" s="1"/>
  <c r="E41" i="2"/>
  <c r="F41" i="2" s="1"/>
  <c r="G41" i="2" s="1"/>
  <c r="F46" i="3"/>
  <c r="G46" i="3" s="1"/>
  <c r="F47" i="3"/>
  <c r="G47" i="3" s="1"/>
  <c r="F49" i="3"/>
  <c r="G49" i="3" s="1"/>
  <c r="F50" i="3"/>
  <c r="G50" i="3" s="1"/>
  <c r="E40" i="2"/>
  <c r="F40" i="2" s="1"/>
  <c r="G40" i="2" s="1"/>
  <c r="E42" i="2"/>
  <c r="F45" i="3"/>
  <c r="G45" i="3" s="1"/>
  <c r="E40" i="3"/>
  <c r="F40" i="3" s="1"/>
  <c r="G40" i="3" s="1"/>
  <c r="F48" i="3"/>
  <c r="G48" i="3" s="1"/>
  <c r="F51" i="3"/>
  <c r="G51" i="3" s="1"/>
  <c r="F52" i="3"/>
  <c r="G52" i="3" s="1"/>
  <c r="G36" i="3"/>
  <c r="E37" i="3"/>
  <c r="F37" i="3" s="1"/>
  <c r="G37" i="3" s="1"/>
  <c r="E41" i="3"/>
  <c r="F41" i="3" s="1"/>
  <c r="G41" i="3" s="1"/>
  <c r="E42" i="3"/>
  <c r="F42" i="3" s="1"/>
  <c r="G42" i="3" s="1"/>
  <c r="E38" i="3"/>
  <c r="F38" i="3" s="1"/>
  <c r="G38" i="3" s="1"/>
  <c r="J74" i="2"/>
  <c r="F47" i="2"/>
  <c r="G47" i="2" s="1"/>
  <c r="D48" i="2"/>
  <c r="F52" i="2"/>
  <c r="G52" i="2" s="1"/>
  <c r="F53" i="2"/>
  <c r="G53" i="2" s="1"/>
  <c r="E34" i="2"/>
  <c r="F34" i="2" s="1"/>
  <c r="G34" i="2" s="1"/>
  <c r="E38" i="2"/>
  <c r="F38" i="2" s="1"/>
  <c r="G38" i="2" s="1"/>
  <c r="E35" i="2"/>
  <c r="F35" i="2" s="1"/>
  <c r="G35" i="2" s="1"/>
  <c r="E43" i="2"/>
  <c r="F43" i="2" s="1"/>
  <c r="G43" i="2" s="1"/>
  <c r="E44" i="2"/>
  <c r="E36" i="2"/>
  <c r="F36" i="2" s="1"/>
  <c r="G36" i="2" s="1"/>
  <c r="E33" i="2"/>
  <c r="F33" i="2" s="1"/>
  <c r="G33" i="2" s="1"/>
  <c r="E37" i="2"/>
  <c r="F37" i="2" s="1"/>
  <c r="G37" i="2" s="1"/>
  <c r="B62" i="1"/>
  <c r="B64" i="1"/>
  <c r="B68" i="1" s="1"/>
  <c r="F54" i="2" l="1"/>
  <c r="G54" i="2" s="1"/>
  <c r="F55" i="2"/>
  <c r="G55" i="2" s="1"/>
  <c r="H75" i="2"/>
  <c r="G69" i="3"/>
  <c r="D78" i="3" s="1"/>
  <c r="D82" i="3" s="1"/>
  <c r="D39" i="3" s="1"/>
  <c r="F39" i="3" s="1"/>
  <c r="G39" i="3" s="1"/>
  <c r="F44" i="2"/>
  <c r="G44" i="2" s="1"/>
  <c r="F49" i="2"/>
  <c r="G49" i="2" s="1"/>
  <c r="F50" i="2"/>
  <c r="G50" i="2" s="1"/>
  <c r="F51" i="2"/>
  <c r="G51" i="2" s="1"/>
  <c r="F42" i="2"/>
  <c r="G42" i="2" s="1"/>
  <c r="F53" i="3"/>
  <c r="F58" i="3" s="1"/>
  <c r="G58" i="3" s="1"/>
  <c r="G53" i="3"/>
  <c r="F48" i="2"/>
  <c r="G48" i="2" s="1"/>
  <c r="H72" i="2"/>
  <c r="I72" i="2" s="1"/>
  <c r="B70" i="1"/>
  <c r="B69" i="1"/>
  <c r="B71" i="1" s="1"/>
  <c r="G43" i="3" l="1"/>
  <c r="G54" i="3" s="1"/>
  <c r="F56" i="2"/>
  <c r="F61" i="2" s="1"/>
  <c r="G56" i="2"/>
  <c r="G61" i="2" s="1"/>
  <c r="F43" i="3"/>
  <c r="J72" i="2"/>
  <c r="J76" i="2" s="1"/>
  <c r="D75" i="2" s="1"/>
  <c r="D39" i="2" s="1"/>
  <c r="I76" i="2"/>
  <c r="F56" i="3" l="1"/>
  <c r="F57" i="3"/>
  <c r="G57" i="3" s="1"/>
  <c r="F54" i="3"/>
  <c r="F59" i="3" l="1"/>
  <c r="F60" i="3" s="1"/>
  <c r="G56" i="3"/>
  <c r="G59" i="3" l="1"/>
  <c r="G60" i="3" s="1"/>
  <c r="H9" i="4" s="1"/>
  <c r="G9" i="4" l="1"/>
  <c r="E39" i="2"/>
  <c r="F39" i="2" s="1"/>
  <c r="F45" i="2" l="1"/>
  <c r="F59" i="2" s="1"/>
  <c r="G39" i="2"/>
  <c r="G45" i="2" s="1"/>
  <c r="G57" i="2"/>
  <c r="G60" i="2"/>
  <c r="G59" i="2"/>
  <c r="F57" i="2" l="1"/>
  <c r="F60" i="2"/>
  <c r="F62" i="2" s="1"/>
  <c r="F63" i="2" s="1"/>
  <c r="G62" i="2"/>
  <c r="G63" i="2" s="1"/>
  <c r="H8" i="4" l="1"/>
  <c r="H10" i="4" s="1"/>
  <c r="G8" i="4"/>
</calcChain>
</file>

<file path=xl/comments1.xml><?xml version="1.0" encoding="utf-8"?>
<comments xmlns="http://schemas.openxmlformats.org/spreadsheetml/2006/main">
  <authors>
    <author>Autor</author>
  </authors>
  <commentList>
    <comment ref="E30" authorId="0" shapeId="0">
      <text>
        <r>
          <rPr>
            <sz val="8"/>
            <color indexed="81"/>
            <rFont val="Tahoma"/>
            <family val="2"/>
          </rPr>
          <t>Escriba el número de hectáreas totales a aislar (es la suma de las metas totales de todos los sistemas que contemplan aislamiento excepto "conservación de bosque natural" y "cercas vivas").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9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Predio localizados en promedio a 5-7 Km de la via tercieria mas proxima. Se contempla apoyar a la comunidad en el 70% aproximadamente del Vr Total del Transporte Menor de Insumos.
Vr. Total Transporte Menor / Km = $868000</t>
        </r>
      </text>
    </comment>
  </commentList>
</comments>
</file>

<file path=xl/sharedStrings.xml><?xml version="1.0" encoding="utf-8"?>
<sst xmlns="http://schemas.openxmlformats.org/spreadsheetml/2006/main" count="464" uniqueCount="339">
  <si>
    <t>COTIZACIONES HERRAMIENTAS E INSUMOS</t>
  </si>
  <si>
    <t>ELEMENTO</t>
  </si>
  <si>
    <t>DESCRIPCION</t>
  </si>
  <si>
    <t>UNIDAD</t>
  </si>
  <si>
    <t>DOTACIONES DEL TOLIMA</t>
  </si>
  <si>
    <t>DISTRIDOTACIONES</t>
  </si>
  <si>
    <t>DORA EXPRESS DEL TOLIMA</t>
  </si>
  <si>
    <t>FERREFLEJES</t>
  </si>
  <si>
    <t>CENTRAL PECUARIA</t>
  </si>
  <si>
    <t>ACEROS P&amp;G</t>
  </si>
  <si>
    <t>COLFRUTALES</t>
  </si>
  <si>
    <t>CEMPROFOREST</t>
  </si>
  <si>
    <t>SEV COLOMBIA</t>
  </si>
  <si>
    <t xml:space="preserve">ALVARO RODRIGUEZ S. </t>
  </si>
  <si>
    <t>PROMEDIOS</t>
  </si>
  <si>
    <t xml:space="preserve">KILO </t>
  </si>
  <si>
    <t>GRAMO</t>
  </si>
  <si>
    <t>INSUMOS AGRICOLAS</t>
  </si>
  <si>
    <t>Abono orgánico compostado -Lombriabono</t>
  </si>
  <si>
    <t>Lombroabono: polvo granular color café oscuro con olor caracteristico a tierra húmeda, obtenido por medio de la transformacion de la materia orgánica con lombriz roja californiana. Con Registro ICA y etiquetado cada bulto indicando las caracteristicas fisicoquimicas y biologicas del lombriabono.</t>
  </si>
  <si>
    <t>Bulto
50 Kg</t>
  </si>
  <si>
    <t>Insecticida granular (hormiga)</t>
  </si>
  <si>
    <t>Cebo toxico control hormiga cortadora de hoja (Ingrediente Activo: Abamectina: Avermectina B1a, mezcla de avermectinas)</t>
  </si>
  <si>
    <t>Libra 
500 gr</t>
  </si>
  <si>
    <t>Fertilizante Quimico Compuesto (Tripe 15)</t>
  </si>
  <si>
    <t>Fertilizante quimico compuesto N-P-K: Nitrógeno Total 15% (con mayor contenido de Nitrógeno Amoniacal)
Fósforo asimilable como (P2O5) ………… 15%
Potasio Soluble en Agua (K2O) 15%
Apariencia sólida granulado de color beige. Inoloro o débil olor. Ph (solución 5%) 5,5-6,0. 
Con REGISTRO ICA.</t>
  </si>
  <si>
    <t xml:space="preserve">Fertilizante Quimico Compuesto </t>
  </si>
  <si>
    <t>Agrimins (NPK. Em)</t>
  </si>
  <si>
    <t>Bulto
46 Kg</t>
  </si>
  <si>
    <t>Fertilizante Quimico Compuesto (Triple 18)</t>
  </si>
  <si>
    <t>Fertilizante quimico compuesto N-P-K: Nitrógeno Total 18,4% (con mayor contenido de Nitrógeno organico)
Fósforo asimilable como (P2O5) ………… 18%
Potasio Soluble en Agua (K2O) 18%
Totalmente soluble en agua, 100 % asimilable diseñado para preparar soluciones nutritivas para uso foliar y radicular en todo tipo de cultivos.
Con REGISTRO ICA.</t>
  </si>
  <si>
    <t xml:space="preserve">Fertilizante </t>
  </si>
  <si>
    <t>Fosfato Diamonico DAP</t>
  </si>
  <si>
    <t>Fertilizante Quimico Simple</t>
  </si>
  <si>
    <t>Urea</t>
  </si>
  <si>
    <t>Herbicida graminicida (Galón/Ha)</t>
  </si>
  <si>
    <t>SOCIO</t>
  </si>
  <si>
    <t>GRAMINICIDA Lt</t>
  </si>
  <si>
    <t>CAMPERO</t>
  </si>
  <si>
    <t>Litro</t>
  </si>
  <si>
    <t>Insecticida Liquido</t>
  </si>
  <si>
    <t xml:space="preserve">Cipermitrina </t>
  </si>
  <si>
    <t>Amulet</t>
  </si>
  <si>
    <t>Abonaza (Gr./Arb.)</t>
  </si>
  <si>
    <t>Gallinaza - Compost</t>
  </si>
  <si>
    <t>Bulto</t>
  </si>
  <si>
    <t>Correctivo</t>
  </si>
  <si>
    <t>Cal dolomita</t>
  </si>
  <si>
    <t>Hidroretenedor (Debe ser con copolimero de acrilamida y crilato de potasio.</t>
  </si>
  <si>
    <t>Kilo</t>
  </si>
  <si>
    <t>Pintura (Color Amarillo)</t>
  </si>
  <si>
    <t>Aceite</t>
  </si>
  <si>
    <t>Galon</t>
  </si>
  <si>
    <t>Disolvente</t>
  </si>
  <si>
    <t>Tiner</t>
  </si>
  <si>
    <t>HERRAMIENTAS AGRICOLAS</t>
  </si>
  <si>
    <t>Lima</t>
  </si>
  <si>
    <t>Triangular 6"</t>
  </si>
  <si>
    <t>Unidad</t>
  </si>
  <si>
    <t>Machete</t>
  </si>
  <si>
    <t>Tres Canales 20"</t>
  </si>
  <si>
    <t>Azadon</t>
  </si>
  <si>
    <t>Pachuno con Cabo</t>
  </si>
  <si>
    <t>Paladraga</t>
  </si>
  <si>
    <t>Con Mango</t>
  </si>
  <si>
    <t>Palin</t>
  </si>
  <si>
    <t>Ahoyador con Cabo</t>
  </si>
  <si>
    <t>Alambre</t>
  </si>
  <si>
    <t xml:space="preserve">Pua 12.5 x 350 Mts. </t>
  </si>
  <si>
    <t>Rollo</t>
  </si>
  <si>
    <t>Alambre dulce</t>
  </si>
  <si>
    <t>Galvanizado 12.5 x 25 Kilos</t>
  </si>
  <si>
    <t>Pivotes</t>
  </si>
  <si>
    <t>Aislador Pivote Amarillo x 100 unidades (con puntilla)</t>
  </si>
  <si>
    <t>Bolsa</t>
  </si>
  <si>
    <t>Grapa</t>
  </si>
  <si>
    <t>Galvanizada 1 1/4"</t>
  </si>
  <si>
    <t>Barra Acero</t>
  </si>
  <si>
    <t>16 Lbs.</t>
  </si>
  <si>
    <t>Martillo</t>
  </si>
  <si>
    <t>Acero 27"</t>
  </si>
  <si>
    <t xml:space="preserve">Alicate </t>
  </si>
  <si>
    <t xml:space="preserve">Tipo Diablo </t>
  </si>
  <si>
    <t xml:space="preserve">Brocha </t>
  </si>
  <si>
    <t>Punta Verde 3"</t>
  </si>
  <si>
    <t>Fumigadora</t>
  </si>
  <si>
    <t>Bomba espalda 20 Lts</t>
  </si>
  <si>
    <t>ELEMENTOS DE PROTECCION PERSONAL</t>
  </si>
  <si>
    <t>Bota</t>
  </si>
  <si>
    <t>Caucho Caña Alta</t>
  </si>
  <si>
    <t>Par</t>
  </si>
  <si>
    <t>Guantes</t>
  </si>
  <si>
    <t>Carnaza</t>
  </si>
  <si>
    <t>nitrilo</t>
  </si>
  <si>
    <t>par</t>
  </si>
  <si>
    <t>Tapabocas</t>
  </si>
  <si>
    <t>Desechable, De tres pliegues, Con cordón elástico, Empaque individual</t>
  </si>
  <si>
    <t>Gafas</t>
  </si>
  <si>
    <t>Seguridad</t>
  </si>
  <si>
    <t>Sombrero</t>
  </si>
  <si>
    <t>Tipo Pava</t>
  </si>
  <si>
    <t>Camiseta</t>
  </si>
  <si>
    <t>Camibuso tipo polo, manga Larga, 100% algodón, gramaje de 18 con logo institucional bordado.</t>
  </si>
  <si>
    <t>POSTERIA GENERAL</t>
  </si>
  <si>
    <t>Poste (Cualquier color)</t>
  </si>
  <si>
    <t>Postes Plásticos fabricados con Polietileno de Alta Densidad (HDPE), de 8x8 X 210 cm. (macizos, no huecos), punta piramidal</t>
  </si>
  <si>
    <t xml:space="preserve">Poste </t>
  </si>
  <si>
    <t>Madera 10*10 Escuadra X 2.20 Mts. Inmunizado</t>
  </si>
  <si>
    <t>MATERIAL VEGETAL</t>
  </si>
  <si>
    <t>UNNIDAD</t>
  </si>
  <si>
    <t>Plantula Forestal</t>
  </si>
  <si>
    <t xml:space="preserve">Bolsa de 10 x 18 Calibre 2;  de 40 a 60 cm de Altura despues de bolsa. </t>
  </si>
  <si>
    <t>VALLAS GENERAL</t>
  </si>
  <si>
    <t>Valla 1x2</t>
  </si>
  <si>
    <t xml:space="preserve">Conformada por dos columnas en madera rolliza de pino patula inmunizado de 5mt de alto con una base de 1mt, cubierta de impermeabilizante y dos travesaños de 4mt de ancho de la misma madera, las cuales llevaran talladas las estrías donde irán ancladas las tablas de las letras , estas tablas con un espesor de 2cm y con un ancho de 16.5 cm, serán en madera dura e inmunizada y a su vez machi-embradas para darle un mejor ajuste entre las mismas, las letras y logos irán tallados (vaciados) a una profundidad de 4 mm  y pintados con esmalte tipo 1, para darle mayor durabilidad, la madera se le aplicara 3 manos de barnex exterior para protegerlo del sol y la lluvia, estos avisos será anclados  a los dos huecos que tendrán un profundidad de 80 cm X 35 cm de ancho X 35 cm de largo, una vez parada la valla se le aplicara concreto de2500 psi, Para aislar la madera de la tierra y darle una mayor firmeza y durabilidad en su anclaje y buenas condiciones de la madera, en la parte inferior del hueco se instalara un piedra plana para evitar el hundimiento de la valla. </t>
  </si>
  <si>
    <t>COSTO MANO DE OBRA</t>
  </si>
  <si>
    <t>&gt; 10 SMMLV</t>
  </si>
  <si>
    <t>SMLVM</t>
  </si>
  <si>
    <t>Aux. trasnporte</t>
  </si>
  <si>
    <t>DEVENGADO MENSUAL</t>
  </si>
  <si>
    <t>Salud 8.5%</t>
  </si>
  <si>
    <t>PENSION 12%</t>
  </si>
  <si>
    <t>ARL 2.436%</t>
  </si>
  <si>
    <t>Parafiscales 9%</t>
  </si>
  <si>
    <t>PRESTACIONES SOCIALES</t>
  </si>
  <si>
    <t>Primas 8.33%</t>
  </si>
  <si>
    <t>Cesantías 8.33%</t>
  </si>
  <si>
    <t>Intes/cesantías 12%</t>
  </si>
  <si>
    <t>Vacaciones 4.17%</t>
  </si>
  <si>
    <t>TOTAL PRESTACIONES</t>
  </si>
  <si>
    <t>TOTAL COSTO POR MES</t>
  </si>
  <si>
    <t>JORNALES TRABAJADOR MES</t>
  </si>
  <si>
    <t>VR. JORNAL INCLUIDA CARGA PREST.</t>
  </si>
  <si>
    <t>COSTOS  ENRIQUECIMIENTO FORESTAL CORTOLIMA</t>
  </si>
  <si>
    <t xml:space="preserve">SISTEMA A IMPLEMENTAR: </t>
  </si>
  <si>
    <t xml:space="preserve">CORPORACIÓN / AAU: </t>
  </si>
  <si>
    <t>CORTOLIMA</t>
  </si>
  <si>
    <t>NOMBRE DEL PROYECTO :</t>
  </si>
  <si>
    <t>DISEÑO DE LA PLANTACIÓN</t>
  </si>
  <si>
    <t>ALEATORIO</t>
  </si>
  <si>
    <t>Costo Unitario ($)</t>
  </si>
  <si>
    <t>1. Numero de plantulas arboreas por Ha (RP)</t>
  </si>
  <si>
    <t>frio</t>
  </si>
  <si>
    <t>2. Número de Plántulas Arboreas por Ha (RP)</t>
  </si>
  <si>
    <t>Caliente</t>
  </si>
  <si>
    <t>3. Número de Plántulas Arboreas por Ha (EF)</t>
  </si>
  <si>
    <t>4. Porcentaje de reposición %</t>
  </si>
  <si>
    <t>6. Insumos Agricolas.</t>
  </si>
  <si>
    <t>Descripcion</t>
  </si>
  <si>
    <t>Cantidad Aplicación</t>
  </si>
  <si>
    <t>Costo $ / kg ó Lt</t>
  </si>
  <si>
    <t>Fertilizante Quimico Compuesto (Gr./Arb.)</t>
  </si>
  <si>
    <t>Agrimins (NPK.Em)</t>
  </si>
  <si>
    <t>Fertilizante Quimico Simple (Gr./Arb.)</t>
  </si>
  <si>
    <t>UREA</t>
  </si>
  <si>
    <t>Lombriabono (Gr./Arb.)</t>
  </si>
  <si>
    <t>Humus</t>
  </si>
  <si>
    <t>Triple 15</t>
  </si>
  <si>
    <t>Correctivo (Gr./Arb.)</t>
  </si>
  <si>
    <t>Hidroretenedor</t>
  </si>
  <si>
    <t>Correctivo (Kg./Ha.)</t>
  </si>
  <si>
    <t>Insecicida  líquido (Lts/Ha.)</t>
  </si>
  <si>
    <t>Cipermetryna</t>
  </si>
  <si>
    <t>7. Costo Jornal Promedio Region (seguridad social, aportes parafiscales, prestaciones sociales)</t>
  </si>
  <si>
    <t>Jornal</t>
  </si>
  <si>
    <t>Global</t>
  </si>
  <si>
    <t xml:space="preserve">10. Costo Flete Promedio Mula (Trans Interno) </t>
  </si>
  <si>
    <t>Flete</t>
  </si>
  <si>
    <t>CATEGORIA DE INVERSION</t>
  </si>
  <si>
    <t>Cantidad / Ha</t>
  </si>
  <si>
    <t>Valor  Unitario                          ($)</t>
  </si>
  <si>
    <t>Valor Total/Ha                               ($)</t>
  </si>
  <si>
    <t>Valor Total Proyecto                               ($)</t>
  </si>
  <si>
    <t>1, COSTOS DIRECTOS</t>
  </si>
  <si>
    <t>1.1. MANO DE OBRA</t>
  </si>
  <si>
    <t>Preparación del terreno</t>
  </si>
  <si>
    <t>Mts Cuadrados</t>
  </si>
  <si>
    <t>Trazado</t>
  </si>
  <si>
    <t>Arboles</t>
  </si>
  <si>
    <t>Plateo (2)</t>
  </si>
  <si>
    <t>Plateo</t>
  </si>
  <si>
    <t>Ahoyado y Repique</t>
  </si>
  <si>
    <t>Aplicación de Correctivos</t>
  </si>
  <si>
    <t>Aplicación  de Fertilizantes (2)</t>
  </si>
  <si>
    <t>Siembra</t>
  </si>
  <si>
    <t>Control fitosanitario (2)</t>
  </si>
  <si>
    <t xml:space="preserve">Reposición (Replante) </t>
  </si>
  <si>
    <t>Limpias (2)</t>
  </si>
  <si>
    <t>Adecuación de Barreras Cortafuego (2)</t>
  </si>
  <si>
    <t>Mts Lineales</t>
  </si>
  <si>
    <t>SUBTOTAL MANO DE OBRA</t>
  </si>
  <si>
    <t xml:space="preserve"> 1.2. INSUMOS </t>
  </si>
  <si>
    <t>Plantulas</t>
  </si>
  <si>
    <t>Elementos menores (NPK. Em)</t>
  </si>
  <si>
    <t>Kg.</t>
  </si>
  <si>
    <t>Cal Dolomita</t>
  </si>
  <si>
    <t>SUBTOTAL INSUMOS</t>
  </si>
  <si>
    <t>TOTAL COSTOS DIRECTOS (MAO+INSUMOS)</t>
  </si>
  <si>
    <t>2. COSTOS INDIRECTOS</t>
  </si>
  <si>
    <t>TOTAL  COSTOS INDIRECTOS</t>
  </si>
  <si>
    <t>TOTAL COSTOs DIRECTOS+ COSTOS INDIRECTOS</t>
  </si>
  <si>
    <t>RENDIMIENTO POR HECTAREA PARA DOS MANTENIMIENTOS</t>
  </si>
  <si>
    <t>DESCRIPCION ACTIVIDAD</t>
  </si>
  <si>
    <t>CANTIDAD</t>
  </si>
  <si>
    <t>Capacidad de carga Transporte mular (en bultos)</t>
  </si>
  <si>
    <t>1 bulto = 50 kg</t>
  </si>
  <si>
    <t>Capacidad de carga Transporte mular (No. Plantulas)</t>
  </si>
  <si>
    <t>RP</t>
  </si>
  <si>
    <t>PESO (Kg)</t>
  </si>
  <si>
    <t>No de Bultos</t>
  </si>
  <si>
    <t>Total Fletes</t>
  </si>
  <si>
    <t xml:space="preserve">Trazado </t>
  </si>
  <si>
    <t>Elementos menores</t>
  </si>
  <si>
    <t>Calo dolomita</t>
  </si>
  <si>
    <t>Aplicación de fertilizantes</t>
  </si>
  <si>
    <t>Transporte interno de insumos</t>
  </si>
  <si>
    <t xml:space="preserve">TOTAL </t>
  </si>
  <si>
    <t xml:space="preserve">Control fitosanitario </t>
  </si>
  <si>
    <t>Reposición (Replante)</t>
  </si>
  <si>
    <t>Limpia</t>
  </si>
  <si>
    <t>Adecuación de barreras cortafuego</t>
  </si>
  <si>
    <t>total</t>
  </si>
  <si>
    <t xml:space="preserve">Estructurador </t>
  </si>
  <si>
    <t xml:space="preserve">C.C. </t>
  </si>
  <si>
    <t>COSTOS AISLAMIENTO</t>
  </si>
  <si>
    <t>META RESTAURACIÓN PASIVA (Has)</t>
  </si>
  <si>
    <t>Metros/Has</t>
  </si>
  <si>
    <t>DISEÑO DE AISLAMIENTO</t>
  </si>
  <si>
    <t>Costo Unitario $</t>
  </si>
  <si>
    <t>ESPECIFICACIONES TECNICAS</t>
  </si>
  <si>
    <t xml:space="preserve"># Postes plasticos/KM </t>
  </si>
  <si>
    <t xml:space="preserve">Dimensión del poste </t>
  </si>
  <si>
    <t>(8x8x210cm)</t>
  </si>
  <si>
    <t># Postes Piedeamigo/KM</t>
  </si>
  <si>
    <t>Dimension poste madera (Inmunizado)</t>
  </si>
  <si>
    <t xml:space="preserve"> (10x10x220 cm)</t>
  </si>
  <si>
    <t># Postes de reemplazo/ KM (Mantenimiento) (5%)</t>
  </si>
  <si>
    <t>Peso poste plastico Aprox. (Kg)</t>
  </si>
  <si>
    <t>Alambre de pua/Rollos alambre/KM</t>
  </si>
  <si>
    <t>Peso poste madera Aprox. (Kg)</t>
  </si>
  <si>
    <t xml:space="preserve">Alambre galvanizado Kg/Km </t>
  </si>
  <si>
    <t>Distancia entre postes (m)</t>
  </si>
  <si>
    <t>Grapas/km en kg. (180 Grapas/Kg)</t>
  </si>
  <si>
    <t>Distancia entre pie de amigos (m)</t>
  </si>
  <si>
    <t>Aislador pivote x100 unidades(Bolsa) (con puntilla)</t>
  </si>
  <si>
    <t>Calibre alambre de púa</t>
  </si>
  <si>
    <t>Galon Pintura (Galon) (Señalizacion) / Km</t>
  </si>
  <si>
    <t>Calibre alambre dulce</t>
  </si>
  <si>
    <t>Disolvente THINER (Galon) (Señalizacion) / Km</t>
  </si>
  <si>
    <t>Metros de alambre dulce x kilo</t>
  </si>
  <si>
    <t>Costo Flete zona promedio</t>
  </si>
  <si>
    <t>Metros de alambre de pua/rolllo</t>
  </si>
  <si>
    <t xml:space="preserve">Costo por Jornal  </t>
  </si>
  <si>
    <t xml:space="preserve"> Hilos alambre pua</t>
  </si>
  <si>
    <t xml:space="preserve">Costo Transp. mayor (% de insumos) </t>
  </si>
  <si>
    <t xml:space="preserve">Hilos de alambre dulce </t>
  </si>
  <si>
    <t>Herramientas  (%M.O.)</t>
  </si>
  <si>
    <t>Distancia entre hilos (cm)</t>
  </si>
  <si>
    <t>25 cm</t>
  </si>
  <si>
    <t>Elementos de Proteccion Personal  (%M.O.)</t>
  </si>
  <si>
    <t>Dimensión del hoyo cms. (prof. x  lados)</t>
  </si>
  <si>
    <t>50x40x40</t>
  </si>
  <si>
    <t>Número de grapas por Poste</t>
  </si>
  <si>
    <t>Numero de pivotes por poste</t>
  </si>
  <si>
    <t>META AISLAMIENTO</t>
  </si>
  <si>
    <t>KM</t>
  </si>
  <si>
    <t>ITEM</t>
  </si>
  <si>
    <t>COSTOS / KM  (1000 ML)</t>
  </si>
  <si>
    <t>COSTO TOTAL AISLAMIENTO</t>
  </si>
  <si>
    <t>Cantidad</t>
  </si>
  <si>
    <t>Valor Unitario                $</t>
  </si>
  <si>
    <t>Valor total/Km</t>
  </si>
  <si>
    <t>1.COSTOS DIRECTOS</t>
  </si>
  <si>
    <t>1.1  Mano de obra</t>
  </si>
  <si>
    <t>ML</t>
  </si>
  <si>
    <t>Ahoyado</t>
  </si>
  <si>
    <t>Transporte menor</t>
  </si>
  <si>
    <t>Hincado</t>
  </si>
  <si>
    <t>Templado y grapado</t>
  </si>
  <si>
    <t>Pintado y Señalizado</t>
  </si>
  <si>
    <t>Subtotal mano de obra</t>
  </si>
  <si>
    <t>1.2 Insumos</t>
  </si>
  <si>
    <t>Alambre de pua (Rollo)</t>
  </si>
  <si>
    <t xml:space="preserve">Alambre dulce </t>
  </si>
  <si>
    <t>Kg</t>
  </si>
  <si>
    <t xml:space="preserve">Postes plasticos </t>
  </si>
  <si>
    <t>Poste</t>
  </si>
  <si>
    <t>Postes de madera</t>
  </si>
  <si>
    <t>Grapa (Kgr.)</t>
  </si>
  <si>
    <t>Aislador pivote (bolsa 100 Unid)</t>
  </si>
  <si>
    <t>Pintura Aceite (Gal)</t>
  </si>
  <si>
    <t>Thinner</t>
  </si>
  <si>
    <t>Subtotal Insumos</t>
  </si>
  <si>
    <t>TOTAL COSTOS DIRECTOS</t>
  </si>
  <si>
    <t>Herramientas (5% M.O)</t>
  </si>
  <si>
    <t>Elementos de Proteccion Personal (5% M.O)</t>
  </si>
  <si>
    <t>Transporte de Insumos (15% Insumos)</t>
  </si>
  <si>
    <t>TOTAL COSTOS INDIRECTOS</t>
  </si>
  <si>
    <t>TOTAL COSTOS DIRECTOS + COSTOS INDIRECTOS</t>
  </si>
  <si>
    <t>CALCULO No DE FLETES</t>
  </si>
  <si>
    <t>Capacidad de Carga Transporte Mular.(Und.) KG (distancias cortas)</t>
  </si>
  <si>
    <t>DESCRIPCIÓN</t>
  </si>
  <si>
    <t>Capacidad/Mular</t>
  </si>
  <si>
    <t>Total unidad/mula</t>
  </si>
  <si>
    <t>Peso Poste plastico (Kg)</t>
  </si>
  <si>
    <t>Postes plasticos</t>
  </si>
  <si>
    <t>Peso poste madera (Kg)</t>
  </si>
  <si>
    <t>Postes madera</t>
  </si>
  <si>
    <t>Peso rollo alambre de pua (Kg)</t>
  </si>
  <si>
    <t>Rollos de alambre de pua</t>
  </si>
  <si>
    <t>Peso alambre dulce (Kg)</t>
  </si>
  <si>
    <t>Kilos de alambre dulce</t>
  </si>
  <si>
    <t>Peso grapas (Kg)</t>
  </si>
  <si>
    <t>TOTAL</t>
  </si>
  <si>
    <t xml:space="preserve">Pintura/Galon </t>
  </si>
  <si>
    <t>Thinner/Galon</t>
  </si>
  <si>
    <t>RENDIMIENTO POR HECTAREA</t>
  </si>
  <si>
    <t>Ahoyado y repique</t>
  </si>
  <si>
    <t>Pintado</t>
  </si>
  <si>
    <t>AISLAMIENTO PROTECTOR TRADICIONAL</t>
  </si>
  <si>
    <t>Plántulas + 15% repos.</t>
  </si>
  <si>
    <t>8. Herramientas (5% de la MAO)</t>
  </si>
  <si>
    <t>9. Elementos de Proteccion Personal (5% de la MO)</t>
  </si>
  <si>
    <t>11. Transporte Mayor Insumos (15% de Insumos)</t>
  </si>
  <si>
    <t>Transp. Insumos (15% insumos)</t>
  </si>
  <si>
    <t>Herramientas  (5% MANO DE OBRA NO CALIFICADA)</t>
  </si>
  <si>
    <t>Elementos de Proteccion Personal (5% MANO DE OBRA NO CALIFICADA)</t>
  </si>
  <si>
    <t>AISLAMIENTO</t>
  </si>
  <si>
    <t>ACTIVIDAD</t>
  </si>
  <si>
    <t>VALOR UNITARIO</t>
  </si>
  <si>
    <t>arbol</t>
  </si>
  <si>
    <t>km</t>
  </si>
  <si>
    <t>COSTO TOTAL/ACTIVIDAD</t>
  </si>
  <si>
    <t xml:space="preserve">CANTTIDAD </t>
  </si>
  <si>
    <t>PRESUPUESTO OFICIAL</t>
  </si>
  <si>
    <t>RESTAURACION ECOLOGICA PAI GUARINO- AMOYA  2026</t>
  </si>
  <si>
    <t>CERCA VIVA-Y/O ENRIQUECIMIENTO FORESTAL</t>
  </si>
  <si>
    <t xml:space="preserve">A. ESTABLECIMIENTO CERCO VIVO Y/O ENRIQUECIMIENTO FORESTAL </t>
  </si>
  <si>
    <t xml:space="preserve">CERVA VIVA/ ENR. FORESTAL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</si>
</sst>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&quot;$&quot;\ #,##0.00"/>
    <numFmt numFmtId="166" formatCode="_-&quot;$&quot;* #,##0.00_-;\-&quot;$&quot;* #,##0.00_-;_-&quot;$&quot;* &quot;-&quot;??_-;_-@_-"/>
    <numFmt numFmtId="167" formatCode="[$$-240A]\ #,##0.00"/>
    <numFmt numFmtId="168" formatCode="_-&quot;$&quot;* #,##0.00_-;\-&quot;$&quot;* #,##0.00_-;_-&quot;$&quot;* &quot;-&quot;_-;_-@_-"/>
    <numFmt numFmtId="169" formatCode="_-* #,##0.00_-;\-* #,##0.00_-;_-* &quot;-&quot;_-;_-@_-"/>
    <numFmt numFmtId="170" formatCode="_(* #,##0.00_);_(* \(#,##0.00\);_(* &quot;-&quot;??_);_(@_)"/>
    <numFmt numFmtId="171" formatCode="0.0%"/>
    <numFmt numFmtId="172" formatCode="#,##0.0"/>
    <numFmt numFmtId="173" formatCode="_-&quot;$&quot;* #,##0_-;\-&quot;$&quot;* #,##0_-;_-&quot;$&quot;* &quot;-&quot;_-;_-@_-"/>
    <numFmt numFmtId="174" formatCode="0.0"/>
    <numFmt numFmtId="175" formatCode="_-* #,##0.0_-;\-* #,##0.0_-;_-* &quot;-&quot;??_-;_-@_-"/>
    <numFmt numFmtId="176" formatCode="&quot;$&quot;#,##0;[Red]\-&quot;$&quot;#,##0"/>
    <numFmt numFmtId="177" formatCode="_-[$$-240A]\ * #,##0.00_-;\-[$$-240A]\ * #,##0.00_-;_-[$$-240A]\ * &quot;-&quot;??_-;_-@_-"/>
    <numFmt numFmtId="178" formatCode="_-* #,##0\ _€_-;\-* #,##0\ _€_-;_-* &quot;-&quot;??\ _€_-;_-@_-"/>
    <numFmt numFmtId="179" formatCode="_-* #,##0.00\ _€_-;\-* #,##0.00\ _€_-;_-* &quot;-&quot;??\ _€_-;_-@_-"/>
    <numFmt numFmtId="180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i/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sz val="10"/>
      <color indexed="10"/>
      <name val="Arial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  <xf numFmtId="166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4" fillId="0" borderId="0"/>
  </cellStyleXfs>
  <cellXfs count="445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44" fontId="3" fillId="3" borderId="4" xfId="3" applyFont="1" applyFill="1" applyBorder="1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44" fontId="2" fillId="2" borderId="6" xfId="3" applyFont="1" applyFill="1" applyBorder="1" applyAlignment="1">
      <alignment horizontal="center" vertical="center" wrapText="1"/>
    </xf>
    <xf numFmtId="44" fontId="2" fillId="2" borderId="7" xfId="3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4" fontId="2" fillId="3" borderId="7" xfId="3" applyFont="1" applyFill="1" applyBorder="1" applyAlignment="1">
      <alignment horizontal="center" vertical="center"/>
    </xf>
    <xf numFmtId="0" fontId="3" fillId="0" borderId="6" xfId="0" applyFont="1" applyBorder="1"/>
    <xf numFmtId="0" fontId="2" fillId="2" borderId="9" xfId="0" applyFont="1" applyFill="1" applyBorder="1" applyAlignment="1">
      <alignment horizontal="center" vertical="center"/>
    </xf>
    <xf numFmtId="44" fontId="3" fillId="3" borderId="7" xfId="3" applyFont="1" applyFill="1" applyBorder="1"/>
    <xf numFmtId="0" fontId="2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justify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3" applyNumberFormat="1" applyFont="1" applyBorder="1" applyAlignment="1">
      <alignment horizontal="center" vertical="center" wrapText="1"/>
    </xf>
    <xf numFmtId="164" fontId="3" fillId="4" borderId="6" xfId="3" applyNumberFormat="1" applyFont="1" applyFill="1" applyBorder="1" applyAlignment="1">
      <alignment horizontal="center" vertical="center" wrapText="1"/>
    </xf>
    <xf numFmtId="164" fontId="3" fillId="0" borderId="7" xfId="3" applyNumberFormat="1" applyFont="1" applyBorder="1" applyAlignment="1">
      <alignment horizontal="center" vertical="center" wrapText="1"/>
    </xf>
    <xf numFmtId="164" fontId="3" fillId="5" borderId="7" xfId="0" applyNumberFormat="1" applyFont="1" applyFill="1" applyBorder="1" applyAlignment="1">
      <alignment horizontal="center" vertical="center" wrapText="1"/>
    </xf>
    <xf numFmtId="164" fontId="3" fillId="6" borderId="7" xfId="3" applyNumberFormat="1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164" fontId="3" fillId="4" borderId="7" xfId="3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justify" vertical="justify" wrapText="1"/>
    </xf>
    <xf numFmtId="0" fontId="4" fillId="4" borderId="6" xfId="5" applyFill="1" applyBorder="1" applyAlignment="1">
      <alignment horizontal="justify" vertical="justify" wrapText="1"/>
    </xf>
    <xf numFmtId="0" fontId="3" fillId="0" borderId="6" xfId="0" applyFont="1" applyBorder="1" applyAlignment="1">
      <alignment horizontal="justify" vertical="justify"/>
    </xf>
    <xf numFmtId="0" fontId="3" fillId="0" borderId="6" xfId="0" applyFont="1" applyBorder="1" applyAlignment="1">
      <alignment horizontal="center" vertical="center"/>
    </xf>
    <xf numFmtId="164" fontId="3" fillId="5" borderId="6" xfId="0" applyNumberFormat="1" applyFont="1" applyFill="1" applyBorder="1" applyAlignment="1">
      <alignment horizontal="center" vertical="center" wrapText="1"/>
    </xf>
    <xf numFmtId="164" fontId="3" fillId="0" borderId="0" xfId="3" applyNumberFormat="1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164" fontId="3" fillId="7" borderId="10" xfId="0" applyNumberFormat="1" applyFont="1" applyFill="1" applyBorder="1" applyAlignment="1">
      <alignment horizontal="center" vertical="center" wrapText="1"/>
    </xf>
    <xf numFmtId="164" fontId="3" fillId="4" borderId="6" xfId="6" applyNumberFormat="1" applyFont="1" applyFill="1" applyBorder="1" applyAlignment="1">
      <alignment horizontal="center" vertical="center" wrapText="1"/>
    </xf>
    <xf numFmtId="164" fontId="3" fillId="4" borderId="6" xfId="0" applyNumberFormat="1" applyFont="1" applyFill="1" applyBorder="1" applyAlignment="1">
      <alignment horizontal="center" vertical="center" wrapText="1"/>
    </xf>
    <xf numFmtId="164" fontId="3" fillId="4" borderId="7" xfId="0" applyNumberFormat="1" applyFont="1" applyFill="1" applyBorder="1" applyAlignment="1">
      <alignment horizontal="center" vertical="center" wrapText="1"/>
    </xf>
    <xf numFmtId="164" fontId="3" fillId="7" borderId="7" xfId="0" applyNumberFormat="1" applyFont="1" applyFill="1" applyBorder="1" applyAlignment="1">
      <alignment horizontal="center" vertical="center" wrapText="1"/>
    </xf>
    <xf numFmtId="44" fontId="3" fillId="6" borderId="7" xfId="3" applyFont="1" applyFill="1" applyBorder="1"/>
    <xf numFmtId="44" fontId="2" fillId="2" borderId="6" xfId="3" applyFont="1" applyFill="1" applyBorder="1" applyAlignment="1">
      <alignment horizontal="center" vertical="center"/>
    </xf>
    <xf numFmtId="44" fontId="2" fillId="2" borderId="7" xfId="3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4" fillId="4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164" fontId="3" fillId="0" borderId="6" xfId="3" applyNumberFormat="1" applyFont="1" applyFill="1" applyBorder="1" applyAlignment="1">
      <alignment horizontal="center" vertical="center" wrapText="1"/>
    </xf>
    <xf numFmtId="164" fontId="3" fillId="0" borderId="7" xfId="3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justify"/>
    </xf>
    <xf numFmtId="0" fontId="2" fillId="0" borderId="5" xfId="0" applyFont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7" fontId="3" fillId="0" borderId="6" xfId="3" applyNumberFormat="1" applyFont="1" applyBorder="1" applyAlignment="1">
      <alignment horizontal="center" vertical="center"/>
    </xf>
    <xf numFmtId="167" fontId="3" fillId="0" borderId="6" xfId="3" applyNumberFormat="1" applyFont="1" applyFill="1" applyBorder="1" applyAlignment="1">
      <alignment horizontal="center" vertical="center"/>
    </xf>
    <xf numFmtId="167" fontId="3" fillId="0" borderId="7" xfId="3" applyNumberFormat="1" applyFont="1" applyFill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166" fontId="2" fillId="4" borderId="5" xfId="0" applyNumberFormat="1" applyFont="1" applyFill="1" applyBorder="1" applyAlignment="1">
      <alignment horizontal="left" vertical="center"/>
    </xf>
    <xf numFmtId="166" fontId="3" fillId="4" borderId="6" xfId="0" applyNumberFormat="1" applyFont="1" applyFill="1" applyBorder="1" applyAlignment="1">
      <alignment horizontal="center" vertical="center"/>
    </xf>
    <xf numFmtId="167" fontId="3" fillId="4" borderId="6" xfId="3" applyNumberFormat="1" applyFont="1" applyFill="1" applyBorder="1" applyAlignment="1">
      <alignment horizontal="center" vertical="center" wrapText="1"/>
    </xf>
    <xf numFmtId="167" fontId="3" fillId="4" borderId="6" xfId="0" applyNumberFormat="1" applyFont="1" applyFill="1" applyBorder="1" applyAlignment="1">
      <alignment horizontal="center" vertical="center" wrapText="1"/>
    </xf>
    <xf numFmtId="167" fontId="3" fillId="0" borderId="6" xfId="3" applyNumberFormat="1" applyFont="1" applyBorder="1" applyAlignment="1">
      <alignment horizontal="center" vertical="center" wrapText="1"/>
    </xf>
    <xf numFmtId="167" fontId="3" fillId="0" borderId="7" xfId="3" applyNumberFormat="1" applyFont="1" applyBorder="1" applyAlignment="1">
      <alignment horizontal="center" vertical="center" wrapText="1"/>
    </xf>
    <xf numFmtId="167" fontId="3" fillId="0" borderId="7" xfId="0" applyNumberFormat="1" applyFont="1" applyBorder="1" applyAlignment="1">
      <alignment horizontal="center" vertical="center" wrapText="1"/>
    </xf>
    <xf numFmtId="167" fontId="3" fillId="6" borderId="7" xfId="3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5" fillId="0" borderId="13" xfId="0" applyFont="1" applyBorder="1" applyAlignment="1">
      <alignment horizontal="justify" vertical="justify" wrapText="1"/>
    </xf>
    <xf numFmtId="0" fontId="3" fillId="0" borderId="13" xfId="0" applyFont="1" applyBorder="1" applyAlignment="1">
      <alignment horizontal="center" vertical="center"/>
    </xf>
    <xf numFmtId="44" fontId="3" fillId="0" borderId="13" xfId="3" applyFont="1" applyBorder="1" applyAlignment="1">
      <alignment horizontal="center" vertical="center"/>
    </xf>
    <xf numFmtId="44" fontId="3" fillId="0" borderId="14" xfId="3" applyFont="1" applyBorder="1" applyAlignment="1">
      <alignment horizontal="center" vertical="center"/>
    </xf>
    <xf numFmtId="168" fontId="3" fillId="0" borderId="14" xfId="4" applyNumberFormat="1" applyFont="1" applyBorder="1"/>
    <xf numFmtId="168" fontId="3" fillId="0" borderId="14" xfId="4" applyNumberFormat="1" applyFont="1" applyBorder="1" applyAlignment="1">
      <alignment vertical="center"/>
    </xf>
    <xf numFmtId="167" fontId="3" fillId="6" borderId="14" xfId="3" applyNumberFormat="1" applyFont="1" applyFill="1" applyBorder="1" applyAlignment="1">
      <alignment horizontal="center" vertical="center" wrapText="1"/>
    </xf>
    <xf numFmtId="44" fontId="3" fillId="0" borderId="0" xfId="3" applyFont="1"/>
    <xf numFmtId="0" fontId="6" fillId="0" borderId="15" xfId="0" applyFont="1" applyBorder="1" applyAlignment="1">
      <alignment horizontal="center"/>
    </xf>
    <xf numFmtId="0" fontId="3" fillId="0" borderId="16" xfId="0" applyFont="1" applyBorder="1"/>
    <xf numFmtId="169" fontId="4" fillId="0" borderId="15" xfId="2" applyNumberFormat="1" applyFont="1" applyFill="1" applyBorder="1" applyAlignment="1">
      <alignment horizontal="center"/>
    </xf>
    <xf numFmtId="0" fontId="3" fillId="0" borderId="17" xfId="0" applyFont="1" applyBorder="1"/>
    <xf numFmtId="169" fontId="4" fillId="0" borderId="16" xfId="2" applyNumberFormat="1" applyFont="1" applyFill="1" applyBorder="1" applyAlignment="1">
      <alignment horizontal="center"/>
    </xf>
    <xf numFmtId="168" fontId="3" fillId="8" borderId="15" xfId="1" applyNumberFormat="1" applyFont="1" applyFill="1" applyBorder="1"/>
    <xf numFmtId="168" fontId="3" fillId="8" borderId="0" xfId="1" applyNumberFormat="1" applyFont="1" applyFill="1" applyBorder="1"/>
    <xf numFmtId="168" fontId="3" fillId="0" borderId="16" xfId="1" applyNumberFormat="1" applyFont="1" applyBorder="1"/>
    <xf numFmtId="168" fontId="3" fillId="0" borderId="17" xfId="1" applyNumberFormat="1" applyFont="1" applyBorder="1"/>
    <xf numFmtId="168" fontId="3" fillId="0" borderId="18" xfId="1" applyNumberFormat="1" applyFont="1" applyBorder="1"/>
    <xf numFmtId="0" fontId="3" fillId="9" borderId="17" xfId="0" applyFont="1" applyFill="1" applyBorder="1"/>
    <xf numFmtId="168" fontId="2" fillId="0" borderId="15" xfId="1" applyNumberFormat="1" applyFont="1" applyBorder="1"/>
    <xf numFmtId="168" fontId="2" fillId="0" borderId="0" xfId="1" applyNumberFormat="1" applyFont="1" applyBorder="1"/>
    <xf numFmtId="168" fontId="3" fillId="4" borderId="17" xfId="1" applyNumberFormat="1" applyFont="1" applyFill="1" applyBorder="1"/>
    <xf numFmtId="0" fontId="3" fillId="4" borderId="0" xfId="0" applyFont="1" applyFill="1"/>
    <xf numFmtId="168" fontId="3" fillId="4" borderId="18" xfId="1" applyNumberFormat="1" applyFont="1" applyFill="1" applyBorder="1"/>
    <xf numFmtId="168" fontId="2" fillId="4" borderId="15" xfId="1" applyNumberFormat="1" applyFont="1" applyFill="1" applyBorder="1"/>
    <xf numFmtId="166" fontId="3" fillId="0" borderId="0" xfId="0" applyNumberFormat="1" applyFont="1"/>
    <xf numFmtId="168" fontId="3" fillId="4" borderId="16" xfId="1" applyNumberFormat="1" applyFont="1" applyFill="1" applyBorder="1"/>
    <xf numFmtId="0" fontId="3" fillId="0" borderId="19" xfId="0" applyFont="1" applyBorder="1"/>
    <xf numFmtId="168" fontId="3" fillId="4" borderId="19" xfId="1" applyNumberFormat="1" applyFont="1" applyFill="1" applyBorder="1"/>
    <xf numFmtId="0" fontId="2" fillId="9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9" borderId="6" xfId="0" applyFont="1" applyFill="1" applyBorder="1" applyAlignment="1">
      <alignment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vertical="center"/>
    </xf>
    <xf numFmtId="0" fontId="8" fillId="3" borderId="7" xfId="5" applyFont="1" applyFill="1" applyBorder="1" applyAlignment="1">
      <alignment vertical="center" wrapText="1"/>
    </xf>
    <xf numFmtId="0" fontId="8" fillId="3" borderId="6" xfId="5" applyFont="1" applyFill="1" applyBorder="1" applyAlignment="1">
      <alignment vertical="center" wrapText="1"/>
    </xf>
    <xf numFmtId="3" fontId="9" fillId="0" borderId="6" xfId="5" applyNumberFormat="1" applyFont="1" applyBorder="1" applyAlignment="1" applyProtection="1">
      <alignment horizontal="center" vertical="center" wrapText="1"/>
      <protection locked="0"/>
    </xf>
    <xf numFmtId="166" fontId="9" fillId="0" borderId="11" xfId="5" applyNumberFormat="1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>
      <alignment wrapText="1"/>
    </xf>
    <xf numFmtId="0" fontId="10" fillId="0" borderId="0" xfId="0" applyFont="1" applyAlignment="1">
      <alignment wrapText="1"/>
    </xf>
    <xf numFmtId="0" fontId="8" fillId="6" borderId="7" xfId="5" applyFont="1" applyFill="1" applyBorder="1" applyAlignment="1">
      <alignment vertical="center" wrapText="1"/>
    </xf>
    <xf numFmtId="0" fontId="8" fillId="6" borderId="6" xfId="5" applyFont="1" applyFill="1" applyBorder="1" applyAlignment="1">
      <alignment vertical="center" wrapText="1"/>
    </xf>
    <xf numFmtId="0" fontId="8" fillId="3" borderId="7" xfId="5" applyFont="1" applyFill="1" applyBorder="1" applyAlignment="1">
      <alignment horizontal="left" vertical="center" wrapText="1"/>
    </xf>
    <xf numFmtId="9" fontId="8" fillId="3" borderId="6" xfId="5" applyNumberFormat="1" applyFont="1" applyFill="1" applyBorder="1" applyAlignment="1">
      <alignment horizontal="left" vertical="center" wrapText="1"/>
    </xf>
    <xf numFmtId="1" fontId="9" fillId="0" borderId="6" xfId="7" applyNumberFormat="1" applyFont="1" applyFill="1" applyBorder="1" applyAlignment="1" applyProtection="1">
      <alignment horizontal="center" vertical="center" wrapText="1"/>
    </xf>
    <xf numFmtId="0" fontId="8" fillId="3" borderId="6" xfId="5" applyFont="1" applyFill="1" applyBorder="1" applyAlignment="1">
      <alignment horizontal="center" vertical="center" wrapText="1"/>
    </xf>
    <xf numFmtId="9" fontId="8" fillId="3" borderId="6" xfId="7" applyFont="1" applyFill="1" applyBorder="1" applyAlignment="1" applyProtection="1">
      <alignment horizontal="center" vertical="center" wrapText="1"/>
    </xf>
    <xf numFmtId="3" fontId="8" fillId="3" borderId="11" xfId="5" applyNumberFormat="1" applyFont="1" applyFill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4" fontId="9" fillId="0" borderId="6" xfId="5" applyNumberFormat="1" applyFont="1" applyBorder="1" applyAlignment="1" applyProtection="1">
      <alignment horizontal="center" vertical="center" wrapText="1"/>
      <protection locked="0"/>
    </xf>
    <xf numFmtId="166" fontId="9" fillId="0" borderId="11" xfId="8" applyNumberFormat="1" applyFont="1" applyBorder="1" applyAlignment="1" applyProtection="1">
      <alignment horizontal="center" vertical="center" wrapText="1"/>
      <protection locked="0"/>
    </xf>
    <xf numFmtId="3" fontId="3" fillId="0" borderId="0" xfId="0" applyNumberFormat="1" applyFont="1"/>
    <xf numFmtId="0" fontId="9" fillId="4" borderId="6" xfId="5" applyFont="1" applyFill="1" applyBorder="1" applyAlignment="1">
      <alignment horizontal="center" vertical="center" wrapText="1"/>
    </xf>
    <xf numFmtId="171" fontId="9" fillId="0" borderId="6" xfId="7" applyNumberFormat="1" applyFont="1" applyFill="1" applyBorder="1" applyAlignment="1" applyProtection="1">
      <alignment horizontal="center" vertical="center" wrapText="1"/>
    </xf>
    <xf numFmtId="3" fontId="9" fillId="0" borderId="0" xfId="5" applyNumberFormat="1" applyFont="1" applyAlignment="1">
      <alignment vertical="center" wrapText="1"/>
    </xf>
    <xf numFmtId="166" fontId="9" fillId="4" borderId="6" xfId="8" applyNumberFormat="1" applyFont="1" applyFill="1" applyBorder="1" applyAlignment="1" applyProtection="1">
      <alignment horizontal="center" vertical="center" wrapText="1"/>
      <protection locked="0"/>
    </xf>
    <xf numFmtId="9" fontId="9" fillId="0" borderId="6" xfId="7" applyFont="1" applyFill="1" applyBorder="1" applyAlignment="1" applyProtection="1">
      <alignment horizontal="center" vertical="center" wrapText="1"/>
      <protection locked="0"/>
    </xf>
    <xf numFmtId="0" fontId="8" fillId="0" borderId="0" xfId="5" applyFont="1" applyAlignment="1">
      <alignment vertical="center" wrapText="1"/>
    </xf>
    <xf numFmtId="9" fontId="3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11" borderId="23" xfId="0" applyFont="1" applyFill="1" applyBorder="1" applyAlignment="1">
      <alignment vertical="center" wrapText="1"/>
    </xf>
    <xf numFmtId="0" fontId="13" fillId="11" borderId="2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vertical="center"/>
    </xf>
    <xf numFmtId="0" fontId="8" fillId="9" borderId="6" xfId="5" applyFont="1" applyFill="1" applyBorder="1" applyAlignment="1">
      <alignment horizontal="center" vertical="center" wrapText="1"/>
    </xf>
    <xf numFmtId="3" fontId="8" fillId="9" borderId="6" xfId="5" applyNumberFormat="1" applyFont="1" applyFill="1" applyBorder="1" applyAlignment="1">
      <alignment horizontal="center" vertical="center" wrapText="1"/>
    </xf>
    <xf numFmtId="3" fontId="8" fillId="9" borderId="26" xfId="5" applyNumberFormat="1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vertical="center"/>
    </xf>
    <xf numFmtId="0" fontId="8" fillId="10" borderId="6" xfId="5" applyFont="1" applyFill="1" applyBorder="1" applyAlignment="1">
      <alignment horizontal="center" vertical="center" wrapText="1"/>
    </xf>
    <xf numFmtId="3" fontId="8" fillId="10" borderId="6" xfId="5" applyNumberFormat="1" applyFont="1" applyFill="1" applyBorder="1" applyAlignment="1">
      <alignment horizontal="center" vertical="center" wrapText="1"/>
    </xf>
    <xf numFmtId="3" fontId="8" fillId="10" borderId="26" xfId="5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/>
    </xf>
    <xf numFmtId="3" fontId="9" fillId="4" borderId="6" xfId="5" applyNumberFormat="1" applyFont="1" applyFill="1" applyBorder="1" applyAlignment="1">
      <alignment horizontal="center" vertical="center" wrapText="1"/>
    </xf>
    <xf numFmtId="166" fontId="9" fillId="0" borderId="6" xfId="8" applyNumberFormat="1" applyFont="1" applyFill="1" applyBorder="1" applyAlignment="1" applyProtection="1">
      <alignment vertical="center" wrapText="1"/>
    </xf>
    <xf numFmtId="166" fontId="9" fillId="0" borderId="6" xfId="8" applyNumberFormat="1" applyFont="1" applyBorder="1" applyAlignment="1" applyProtection="1">
      <alignment vertical="center" wrapText="1"/>
    </xf>
    <xf numFmtId="166" fontId="9" fillId="0" borderId="26" xfId="8" applyNumberFormat="1" applyFont="1" applyBorder="1" applyAlignment="1" applyProtection="1">
      <alignment vertical="center" wrapText="1"/>
    </xf>
    <xf numFmtId="3" fontId="9" fillId="0" borderId="6" xfId="5" applyNumberFormat="1" applyFont="1" applyBorder="1" applyAlignment="1">
      <alignment horizontal="center" vertical="center" wrapText="1"/>
    </xf>
    <xf numFmtId="0" fontId="9" fillId="0" borderId="5" xfId="5" applyFont="1" applyBorder="1" applyAlignment="1">
      <alignment vertical="center" wrapText="1"/>
    </xf>
    <xf numFmtId="166" fontId="9" fillId="4" borderId="6" xfId="8" applyNumberFormat="1" applyFont="1" applyFill="1" applyBorder="1" applyAlignment="1" applyProtection="1">
      <alignment vertical="center" wrapText="1"/>
    </xf>
    <xf numFmtId="0" fontId="9" fillId="4" borderId="5" xfId="5" applyFont="1" applyFill="1" applyBorder="1" applyAlignment="1">
      <alignment vertical="center" wrapText="1"/>
    </xf>
    <xf numFmtId="0" fontId="9" fillId="0" borderId="5" xfId="5" applyFont="1" applyBorder="1" applyAlignment="1">
      <alignment horizontal="left" vertical="center" wrapText="1"/>
    </xf>
    <xf numFmtId="0" fontId="8" fillId="12" borderId="5" xfId="0" applyFont="1" applyFill="1" applyBorder="1" applyAlignment="1">
      <alignment vertical="center"/>
    </xf>
    <xf numFmtId="1" fontId="8" fillId="12" borderId="6" xfId="0" applyNumberFormat="1" applyFont="1" applyFill="1" applyBorder="1" applyAlignment="1">
      <alignment horizontal="center" vertical="center"/>
    </xf>
    <xf numFmtId="3" fontId="8" fillId="12" borderId="6" xfId="0" applyNumberFormat="1" applyFont="1" applyFill="1" applyBorder="1" applyAlignment="1">
      <alignment horizontal="center" vertical="center"/>
    </xf>
    <xf numFmtId="170" fontId="8" fillId="12" borderId="6" xfId="8" applyFont="1" applyFill="1" applyBorder="1" applyAlignment="1" applyProtection="1">
      <alignment horizontal="center" vertical="center"/>
    </xf>
    <xf numFmtId="166" fontId="8" fillId="12" borderId="6" xfId="8" applyNumberFormat="1" applyFont="1" applyFill="1" applyBorder="1" applyAlignment="1" applyProtection="1">
      <alignment horizontal="center" vertical="center"/>
    </xf>
    <xf numFmtId="166" fontId="8" fillId="12" borderId="26" xfId="8" applyNumberFormat="1" applyFont="1" applyFill="1" applyBorder="1" applyAlignment="1" applyProtection="1">
      <alignment vertical="center"/>
    </xf>
    <xf numFmtId="3" fontId="9" fillId="12" borderId="26" xfId="5" applyNumberFormat="1" applyFont="1" applyFill="1" applyBorder="1" applyAlignment="1">
      <alignment vertical="center" wrapText="1"/>
    </xf>
    <xf numFmtId="172" fontId="9" fillId="0" borderId="6" xfId="5" applyNumberFormat="1" applyFont="1" applyBorder="1" applyAlignment="1">
      <alignment horizontal="center" vertical="center" wrapText="1"/>
    </xf>
    <xf numFmtId="166" fontId="8" fillId="12" borderId="6" xfId="8" applyNumberFormat="1" applyFont="1" applyFill="1" applyBorder="1" applyAlignment="1" applyProtection="1">
      <alignment vertical="center" wrapText="1"/>
    </xf>
    <xf numFmtId="166" fontId="8" fillId="12" borderId="26" xfId="8" applyNumberFormat="1" applyFont="1" applyFill="1" applyBorder="1" applyAlignment="1" applyProtection="1">
      <alignment vertical="center" wrapText="1"/>
    </xf>
    <xf numFmtId="170" fontId="8" fillId="12" borderId="6" xfId="8" applyFont="1" applyFill="1" applyBorder="1" applyAlignment="1" applyProtection="1">
      <alignment vertical="center" wrapText="1"/>
    </xf>
    <xf numFmtId="170" fontId="8" fillId="12" borderId="26" xfId="8" applyFont="1" applyFill="1" applyBorder="1" applyAlignment="1" applyProtection="1">
      <alignment vertical="center" wrapText="1"/>
    </xf>
    <xf numFmtId="0" fontId="8" fillId="13" borderId="5" xfId="5" applyFont="1" applyFill="1" applyBorder="1" applyAlignment="1">
      <alignment horizontal="left" vertical="center" wrapText="1"/>
    </xf>
    <xf numFmtId="0" fontId="8" fillId="13" borderId="6" xfId="5" applyFont="1" applyFill="1" applyBorder="1" applyAlignment="1">
      <alignment horizontal="left" vertical="center" wrapText="1"/>
    </xf>
    <xf numFmtId="3" fontId="8" fillId="13" borderId="6" xfId="5" applyNumberFormat="1" applyFont="1" applyFill="1" applyBorder="1" applyAlignment="1">
      <alignment horizontal="center" vertical="center" wrapText="1"/>
    </xf>
    <xf numFmtId="3" fontId="9" fillId="13" borderId="26" xfId="5" applyNumberFormat="1" applyFont="1" applyFill="1" applyBorder="1" applyAlignment="1">
      <alignment vertical="center" wrapText="1"/>
    </xf>
    <xf numFmtId="170" fontId="9" fillId="0" borderId="6" xfId="8" quotePrefix="1" applyFont="1" applyFill="1" applyBorder="1" applyAlignment="1" applyProtection="1">
      <alignment vertical="center" wrapText="1"/>
    </xf>
    <xf numFmtId="173" fontId="0" fillId="0" borderId="0" xfId="0" applyNumberFormat="1"/>
    <xf numFmtId="170" fontId="9" fillId="0" borderId="6" xfId="8" applyFont="1" applyFill="1" applyBorder="1" applyAlignment="1" applyProtection="1">
      <alignment vertical="center" wrapText="1"/>
    </xf>
    <xf numFmtId="170" fontId="8" fillId="14" borderId="6" xfId="8" applyFont="1" applyFill="1" applyBorder="1" applyAlignment="1" applyProtection="1">
      <alignment vertical="center" wrapText="1"/>
    </xf>
    <xf numFmtId="170" fontId="8" fillId="14" borderId="26" xfId="8" applyFont="1" applyFill="1" applyBorder="1" applyAlignment="1" applyProtection="1">
      <alignment vertical="center" wrapText="1"/>
    </xf>
    <xf numFmtId="0" fontId="8" fillId="14" borderId="9" xfId="5" applyFont="1" applyFill="1" applyBorder="1" applyAlignment="1">
      <alignment horizontal="left" vertical="center" wrapText="1"/>
    </xf>
    <xf numFmtId="0" fontId="8" fillId="14" borderId="11" xfId="5" applyFont="1" applyFill="1" applyBorder="1" applyAlignment="1">
      <alignment horizontal="left" vertical="center" wrapText="1"/>
    </xf>
    <xf numFmtId="0" fontId="0" fillId="6" borderId="15" xfId="0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0" fontId="8" fillId="6" borderId="4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left" vertical="center" wrapText="1"/>
    </xf>
    <xf numFmtId="1" fontId="8" fillId="15" borderId="3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>
      <alignment vertical="center" wrapText="1"/>
    </xf>
    <xf numFmtId="0" fontId="8" fillId="0" borderId="41" xfId="0" applyFont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left" vertical="center"/>
    </xf>
    <xf numFmtId="0" fontId="10" fillId="4" borderId="2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174" fontId="9" fillId="4" borderId="7" xfId="0" applyNumberFormat="1" applyFont="1" applyFill="1" applyBorder="1" applyAlignment="1">
      <alignment horizontal="center" vertical="center" wrapText="1"/>
    </xf>
    <xf numFmtId="174" fontId="9" fillId="0" borderId="28" xfId="0" applyNumberFormat="1" applyFont="1" applyBorder="1" applyAlignment="1">
      <alignment horizontal="center" vertical="center" wrapText="1"/>
    </xf>
    <xf numFmtId="175" fontId="9" fillId="0" borderId="26" xfId="1" applyNumberFormat="1" applyFont="1" applyBorder="1" applyAlignment="1" applyProtection="1">
      <alignment horizontal="center"/>
      <protection locked="0"/>
    </xf>
    <xf numFmtId="0" fontId="9" fillId="4" borderId="42" xfId="0" applyFont="1" applyFill="1" applyBorder="1" applyAlignment="1">
      <alignment vertical="center" wrapText="1"/>
    </xf>
    <xf numFmtId="174" fontId="9" fillId="4" borderId="20" xfId="0" applyNumberFormat="1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vertical="center" wrapText="1"/>
    </xf>
    <xf numFmtId="174" fontId="9" fillId="4" borderId="52" xfId="0" applyNumberFormat="1" applyFont="1" applyFill="1" applyBorder="1" applyAlignment="1">
      <alignment horizontal="center" vertical="center" wrapText="1"/>
    </xf>
    <xf numFmtId="1" fontId="9" fillId="0" borderId="47" xfId="0" applyNumberFormat="1" applyFont="1" applyBorder="1" applyAlignment="1">
      <alignment horizontal="center" vertical="center" wrapText="1"/>
    </xf>
    <xf numFmtId="0" fontId="8" fillId="6" borderId="32" xfId="0" applyFont="1" applyFill="1" applyBorder="1" applyAlignment="1">
      <alignment vertical="center" wrapText="1"/>
    </xf>
    <xf numFmtId="174" fontId="8" fillId="6" borderId="33" xfId="0" applyNumberFormat="1" applyFont="1" applyFill="1" applyBorder="1" applyAlignment="1">
      <alignment horizontal="center" vertical="center" wrapText="1"/>
    </xf>
    <xf numFmtId="1" fontId="8" fillId="6" borderId="36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9" fillId="0" borderId="29" xfId="5" applyFont="1" applyBorder="1" applyAlignment="1">
      <alignment vertical="center" wrapText="1"/>
    </xf>
    <xf numFmtId="0" fontId="9" fillId="0" borderId="31" xfId="5" applyFont="1" applyBorder="1" applyAlignment="1">
      <alignment horizontal="center" vertical="center" wrapText="1"/>
    </xf>
    <xf numFmtId="0" fontId="8" fillId="0" borderId="12" xfId="5" applyFont="1" applyBorder="1" applyAlignment="1">
      <alignment vertical="center" wrapText="1"/>
    </xf>
    <xf numFmtId="0" fontId="8" fillId="0" borderId="13" xfId="5" applyFont="1" applyBorder="1" applyAlignment="1">
      <alignment horizontal="center" vertical="center" wrapText="1"/>
    </xf>
    <xf numFmtId="0" fontId="10" fillId="0" borderId="0" xfId="0" applyFont="1"/>
    <xf numFmtId="0" fontId="4" fillId="17" borderId="55" xfId="5" applyFill="1" applyBorder="1"/>
    <xf numFmtId="0" fontId="4" fillId="17" borderId="0" xfId="5" applyFill="1"/>
    <xf numFmtId="0" fontId="4" fillId="17" borderId="56" xfId="5" applyFill="1" applyBorder="1"/>
    <xf numFmtId="0" fontId="4" fillId="17" borderId="57" xfId="5" applyFill="1" applyBorder="1"/>
    <xf numFmtId="0" fontId="4" fillId="17" borderId="58" xfId="5" applyFill="1" applyBorder="1"/>
    <xf numFmtId="0" fontId="4" fillId="17" borderId="59" xfId="5" applyFill="1" applyBorder="1"/>
    <xf numFmtId="0" fontId="11" fillId="18" borderId="6" xfId="0" applyFont="1" applyFill="1" applyBorder="1" applyAlignment="1">
      <alignment horizontal="center" vertical="center" wrapText="1"/>
    </xf>
    <xf numFmtId="3" fontId="14" fillId="0" borderId="6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18" borderId="40" xfId="0" applyFont="1" applyFill="1" applyBorder="1" applyAlignment="1">
      <alignment horizontal="left" vertical="center" wrapText="1"/>
    </xf>
    <xf numFmtId="0" fontId="11" fillId="18" borderId="34" xfId="0" applyFont="1" applyFill="1" applyBorder="1" applyAlignment="1">
      <alignment horizontal="left" vertical="center" wrapText="1"/>
    </xf>
    <xf numFmtId="0" fontId="8" fillId="18" borderId="37" xfId="0" applyFont="1" applyFill="1" applyBorder="1" applyAlignment="1">
      <alignment horizontal="center" vertical="center" wrapText="1"/>
    </xf>
    <xf numFmtId="0" fontId="8" fillId="18" borderId="60" xfId="0" applyFont="1" applyFill="1" applyBorder="1" applyAlignment="1">
      <alignment horizontal="left" vertical="center"/>
    </xf>
    <xf numFmtId="172" fontId="9" fillId="17" borderId="28" xfId="0" applyNumberFormat="1" applyFont="1" applyFill="1" applyBorder="1" applyAlignment="1">
      <alignment vertical="center" wrapText="1"/>
    </xf>
    <xf numFmtId="3" fontId="9" fillId="0" borderId="44" xfId="0" applyNumberFormat="1" applyFont="1" applyBorder="1" applyAlignment="1" applyProtection="1">
      <alignment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0" fontId="8" fillId="18" borderId="8" xfId="0" applyFont="1" applyFill="1" applyBorder="1" applyAlignment="1">
      <alignment horizontal="left" vertical="center"/>
    </xf>
    <xf numFmtId="172" fontId="9" fillId="4" borderId="6" xfId="0" applyNumberFormat="1" applyFont="1" applyFill="1" applyBorder="1" applyAlignment="1">
      <alignment vertical="center" wrapText="1"/>
    </xf>
    <xf numFmtId="3" fontId="9" fillId="0" borderId="7" xfId="0" applyNumberFormat="1" applyFont="1" applyBorder="1" applyAlignment="1" applyProtection="1">
      <alignment vertical="center" wrapText="1"/>
      <protection locked="0"/>
    </xf>
    <xf numFmtId="1" fontId="9" fillId="0" borderId="26" xfId="0" applyNumberFormat="1" applyFont="1" applyBorder="1" applyAlignment="1" applyProtection="1">
      <alignment horizontal="center" vertical="center" wrapText="1"/>
      <protection locked="0"/>
    </xf>
    <xf numFmtId="3" fontId="9" fillId="4" borderId="6" xfId="0" applyNumberFormat="1" applyFont="1" applyFill="1" applyBorder="1" applyAlignment="1">
      <alignment vertical="center" wrapText="1"/>
    </xf>
    <xf numFmtId="174" fontId="9" fillId="0" borderId="26" xfId="0" applyNumberFormat="1" applyFont="1" applyBorder="1" applyAlignment="1">
      <alignment horizontal="center" vertical="center" wrapText="1"/>
    </xf>
    <xf numFmtId="174" fontId="9" fillId="0" borderId="6" xfId="0" applyNumberFormat="1" applyFont="1" applyBorder="1" applyAlignment="1">
      <alignment vertical="center"/>
    </xf>
    <xf numFmtId="3" fontId="9" fillId="4" borderId="7" xfId="0" applyNumberFormat="1" applyFont="1" applyFill="1" applyBorder="1" applyAlignment="1" applyProtection="1">
      <alignment vertical="center" wrapText="1"/>
      <protection locked="0"/>
    </xf>
    <xf numFmtId="174" fontId="9" fillId="0" borderId="26" xfId="0" applyNumberFormat="1" applyFont="1" applyBorder="1" applyAlignment="1" applyProtection="1">
      <alignment horizontal="center" vertical="center" wrapText="1"/>
      <protection locked="0"/>
    </xf>
    <xf numFmtId="174" fontId="9" fillId="4" borderId="6" xfId="0" applyNumberFormat="1" applyFont="1" applyFill="1" applyBorder="1" applyAlignment="1">
      <alignment vertical="center"/>
    </xf>
    <xf numFmtId="0" fontId="8" fillId="18" borderId="8" xfId="0" applyFont="1" applyFill="1" applyBorder="1" applyAlignment="1">
      <alignment horizontal="left" vertical="center" wrapText="1"/>
    </xf>
    <xf numFmtId="2" fontId="9" fillId="0" borderId="6" xfId="0" applyNumberFormat="1" applyFont="1" applyBorder="1" applyAlignment="1">
      <alignment vertical="center"/>
    </xf>
    <xf numFmtId="4" fontId="9" fillId="0" borderId="7" xfId="0" applyNumberFormat="1" applyFont="1" applyBorder="1" applyAlignment="1" applyProtection="1">
      <alignment vertical="center" wrapText="1"/>
      <protection locked="0"/>
    </xf>
    <xf numFmtId="9" fontId="9" fillId="0" borderId="6" xfId="0" applyNumberFormat="1" applyFont="1" applyBorder="1" applyAlignment="1" applyProtection="1">
      <alignment vertical="center"/>
      <protection locked="0"/>
    </xf>
    <xf numFmtId="9" fontId="9" fillId="0" borderId="6" xfId="0" applyNumberFormat="1" applyFont="1" applyBorder="1" applyAlignment="1">
      <alignment vertical="center"/>
    </xf>
    <xf numFmtId="9" fontId="9" fillId="0" borderId="13" xfId="0" applyNumberFormat="1" applyFont="1" applyBorder="1" applyAlignment="1">
      <alignment vertical="center"/>
    </xf>
    <xf numFmtId="0" fontId="0" fillId="0" borderId="58" xfId="0" applyBorder="1"/>
    <xf numFmtId="9" fontId="9" fillId="0" borderId="0" xfId="0" applyNumberFormat="1" applyFont="1" applyAlignment="1">
      <alignment vertical="center"/>
    </xf>
    <xf numFmtId="174" fontId="9" fillId="4" borderId="61" xfId="0" applyNumberFormat="1" applyFont="1" applyFill="1" applyBorder="1" applyAlignment="1" applyProtection="1">
      <alignment horizontal="center" vertical="center" wrapText="1"/>
      <protection locked="0"/>
    </xf>
    <xf numFmtId="174" fontId="9" fillId="4" borderId="6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1" fontId="9" fillId="0" borderId="0" xfId="0" applyNumberFormat="1" applyFont="1" applyAlignment="1" applyProtection="1">
      <alignment horizontal="center" vertical="center" wrapText="1"/>
      <protection locked="0"/>
    </xf>
    <xf numFmtId="3" fontId="15" fillId="0" borderId="0" xfId="0" applyNumberFormat="1" applyFont="1" applyAlignment="1" applyProtection="1">
      <alignment horizontal="center" vertical="center" wrapText="1"/>
      <protection locked="0"/>
    </xf>
    <xf numFmtId="0" fontId="11" fillId="18" borderId="66" xfId="0" applyFont="1" applyFill="1" applyBorder="1" applyAlignment="1">
      <alignment horizontal="center" vertical="center" wrapText="1"/>
    </xf>
    <xf numFmtId="1" fontId="8" fillId="18" borderId="6" xfId="0" applyNumberFormat="1" applyFont="1" applyFill="1" applyBorder="1" applyAlignment="1">
      <alignment horizontal="center" vertical="center" wrapText="1"/>
    </xf>
    <xf numFmtId="1" fontId="8" fillId="18" borderId="6" xfId="0" applyNumberFormat="1" applyFont="1" applyFill="1" applyBorder="1" applyAlignment="1">
      <alignment horizontal="centerContinuous" vertical="center" wrapText="1"/>
    </xf>
    <xf numFmtId="0" fontId="8" fillId="18" borderId="6" xfId="0" applyFont="1" applyFill="1" applyBorder="1" applyAlignment="1">
      <alignment horizontal="centerContinuous" vertical="center" wrapText="1"/>
    </xf>
    <xf numFmtId="0" fontId="8" fillId="18" borderId="6" xfId="0" applyFont="1" applyFill="1" applyBorder="1" applyAlignment="1">
      <alignment horizontal="center" vertical="center" wrapText="1"/>
    </xf>
    <xf numFmtId="0" fontId="8" fillId="19" borderId="6" xfId="0" applyFont="1" applyFill="1" applyBorder="1" applyAlignment="1">
      <alignment vertical="center"/>
    </xf>
    <xf numFmtId="1" fontId="8" fillId="19" borderId="6" xfId="0" applyNumberFormat="1" applyFont="1" applyFill="1" applyBorder="1" applyAlignment="1">
      <alignment horizontal="center" vertical="center"/>
    </xf>
    <xf numFmtId="3" fontId="8" fillId="19" borderId="6" xfId="0" applyNumberFormat="1" applyFont="1" applyFill="1" applyBorder="1" applyAlignment="1">
      <alignment horizontal="center" vertical="center"/>
    </xf>
    <xf numFmtId="4" fontId="8" fillId="19" borderId="6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vertical="center"/>
    </xf>
    <xf numFmtId="1" fontId="9" fillId="4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 wrapText="1"/>
    </xf>
    <xf numFmtId="166" fontId="9" fillId="0" borderId="6" xfId="1" applyNumberFormat="1" applyFont="1" applyBorder="1" applyAlignment="1" applyProtection="1">
      <alignment vertical="center" wrapText="1"/>
    </xf>
    <xf numFmtId="166" fontId="9" fillId="0" borderId="26" xfId="1" applyNumberFormat="1" applyFont="1" applyBorder="1" applyAlignment="1" applyProtection="1">
      <alignment vertical="center" wrapText="1"/>
    </xf>
    <xf numFmtId="0" fontId="9" fillId="0" borderId="6" xfId="0" applyFont="1" applyBorder="1" applyAlignment="1">
      <alignment vertical="center"/>
    </xf>
    <xf numFmtId="174" fontId="9" fillId="0" borderId="6" xfId="0" applyNumberFormat="1" applyFont="1" applyBorder="1" applyAlignment="1">
      <alignment horizontal="center" vertical="center"/>
    </xf>
    <xf numFmtId="43" fontId="9" fillId="0" borderId="6" xfId="1" applyFont="1" applyBorder="1" applyAlignment="1" applyProtection="1">
      <alignment horizontal="right" vertical="center"/>
    </xf>
    <xf numFmtId="176" fontId="9" fillId="0" borderId="6" xfId="1" applyNumberFormat="1" applyFont="1" applyBorder="1" applyAlignment="1" applyProtection="1">
      <alignment vertical="center" wrapText="1"/>
    </xf>
    <xf numFmtId="0" fontId="8" fillId="10" borderId="6" xfId="0" applyFont="1" applyFill="1" applyBorder="1" applyAlignment="1">
      <alignment vertical="center"/>
    </xf>
    <xf numFmtId="174" fontId="8" fillId="10" borderId="6" xfId="0" applyNumberFormat="1" applyFont="1" applyFill="1" applyBorder="1" applyAlignment="1">
      <alignment horizontal="center" vertical="center"/>
    </xf>
    <xf numFmtId="3" fontId="8" fillId="10" borderId="6" xfId="0" applyNumberFormat="1" applyFont="1" applyFill="1" applyBorder="1" applyAlignment="1">
      <alignment horizontal="center" vertical="center" wrapText="1"/>
    </xf>
    <xf numFmtId="43" fontId="8" fillId="10" borderId="6" xfId="1" applyFont="1" applyFill="1" applyBorder="1" applyAlignment="1" applyProtection="1">
      <alignment horizontal="right" vertical="center"/>
    </xf>
    <xf numFmtId="166" fontId="8" fillId="10" borderId="6" xfId="1" applyNumberFormat="1" applyFont="1" applyFill="1" applyBorder="1" applyAlignment="1" applyProtection="1">
      <alignment horizontal="center" vertical="center"/>
    </xf>
    <xf numFmtId="1" fontId="9" fillId="19" borderId="6" xfId="0" applyNumberFormat="1" applyFont="1" applyFill="1" applyBorder="1" applyAlignment="1">
      <alignment horizontal="center" vertical="center"/>
    </xf>
    <xf numFmtId="3" fontId="9" fillId="19" borderId="6" xfId="0" applyNumberFormat="1" applyFont="1" applyFill="1" applyBorder="1" applyAlignment="1">
      <alignment horizontal="center" vertical="center" wrapText="1"/>
    </xf>
    <xf numFmtId="43" fontId="9" fillId="19" borderId="6" xfId="1" applyFont="1" applyFill="1" applyBorder="1" applyAlignment="1" applyProtection="1">
      <alignment horizontal="right" vertical="center"/>
    </xf>
    <xf numFmtId="43" fontId="8" fillId="19" borderId="6" xfId="1" applyFont="1" applyFill="1" applyBorder="1" applyAlignment="1" applyProtection="1">
      <alignment horizontal="right" vertical="center"/>
    </xf>
    <xf numFmtId="0" fontId="9" fillId="0" borderId="6" xfId="0" quotePrefix="1" applyFont="1" applyBorder="1" applyAlignment="1">
      <alignment horizontal="left" vertical="center"/>
    </xf>
    <xf numFmtId="3" fontId="9" fillId="0" borderId="6" xfId="0" applyNumberFormat="1" applyFont="1" applyBorder="1" applyAlignment="1">
      <alignment horizontal="center" vertical="center"/>
    </xf>
    <xf numFmtId="172" fontId="9" fillId="0" borderId="6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right" vertical="center" wrapText="1"/>
    </xf>
    <xf numFmtId="3" fontId="9" fillId="17" borderId="6" xfId="0" applyNumberFormat="1" applyFont="1" applyFill="1" applyBorder="1" applyAlignment="1">
      <alignment horizontal="center" vertical="center" wrapText="1"/>
    </xf>
    <xf numFmtId="172" fontId="9" fillId="17" borderId="6" xfId="0" applyNumberFormat="1" applyFont="1" applyFill="1" applyBorder="1" applyAlignment="1">
      <alignment horizontal="center" vertical="center" wrapText="1"/>
    </xf>
    <xf numFmtId="3" fontId="9" fillId="4" borderId="6" xfId="0" applyNumberFormat="1" applyFont="1" applyFill="1" applyBorder="1" applyAlignment="1">
      <alignment horizontal="right" vertical="center" wrapText="1"/>
    </xf>
    <xf numFmtId="0" fontId="9" fillId="0" borderId="6" xfId="0" applyFont="1" applyBorder="1" applyAlignment="1">
      <alignment horizontal="left" vertical="center"/>
    </xf>
    <xf numFmtId="172" fontId="8" fillId="10" borderId="6" xfId="0" applyNumberFormat="1" applyFont="1" applyFill="1" applyBorder="1" applyAlignment="1">
      <alignment horizontal="center" vertical="center"/>
    </xf>
    <xf numFmtId="43" fontId="8" fillId="10" borderId="6" xfId="1" applyFont="1" applyFill="1" applyBorder="1" applyAlignment="1" applyProtection="1">
      <alignment horizontal="right" vertical="center" wrapText="1"/>
    </xf>
    <xf numFmtId="166" fontId="8" fillId="10" borderId="6" xfId="1" applyNumberFormat="1" applyFont="1" applyFill="1" applyBorder="1" applyAlignment="1" applyProtection="1">
      <alignment vertical="center" wrapText="1"/>
    </xf>
    <xf numFmtId="172" fontId="8" fillId="19" borderId="6" xfId="0" applyNumberFormat="1" applyFont="1" applyFill="1" applyBorder="1" applyAlignment="1">
      <alignment horizontal="center" vertical="center"/>
    </xf>
    <xf numFmtId="3" fontId="8" fillId="19" borderId="6" xfId="0" applyNumberFormat="1" applyFont="1" applyFill="1" applyBorder="1" applyAlignment="1">
      <alignment horizontal="center" vertical="center" wrapText="1"/>
    </xf>
    <xf numFmtId="43" fontId="8" fillId="19" borderId="6" xfId="1" applyFont="1" applyFill="1" applyBorder="1" applyAlignment="1" applyProtection="1">
      <alignment horizontal="right" vertical="center" wrapText="1"/>
    </xf>
    <xf numFmtId="0" fontId="8" fillId="4" borderId="6" xfId="0" quotePrefix="1" applyFont="1" applyFill="1" applyBorder="1" applyAlignment="1">
      <alignment horizontal="left" vertical="center"/>
    </xf>
    <xf numFmtId="172" fontId="9" fillId="4" borderId="6" xfId="0" applyNumberFormat="1" applyFont="1" applyFill="1" applyBorder="1" applyAlignment="1">
      <alignment horizontal="center" vertical="center"/>
    </xf>
    <xf numFmtId="3" fontId="9" fillId="4" borderId="6" xfId="0" applyNumberFormat="1" applyFont="1" applyFill="1" applyBorder="1" applyAlignment="1">
      <alignment horizontal="center" vertical="center" wrapText="1"/>
    </xf>
    <xf numFmtId="43" fontId="9" fillId="4" borderId="6" xfId="1" applyFont="1" applyFill="1" applyBorder="1" applyAlignment="1" applyProtection="1">
      <alignment horizontal="right" vertical="center"/>
    </xf>
    <xf numFmtId="43" fontId="9" fillId="0" borderId="6" xfId="1" quotePrefix="1" applyFont="1" applyFill="1" applyBorder="1" applyAlignment="1" applyProtection="1">
      <alignment vertical="center" wrapText="1"/>
    </xf>
    <xf numFmtId="0" fontId="8" fillId="0" borderId="6" xfId="0" quotePrefix="1" applyFont="1" applyBorder="1" applyAlignment="1">
      <alignment horizontal="left" vertical="center"/>
    </xf>
    <xf numFmtId="0" fontId="8" fillId="10" borderId="6" xfId="0" quotePrefix="1" applyFont="1" applyFill="1" applyBorder="1" applyAlignment="1">
      <alignment horizontal="left" vertical="center"/>
    </xf>
    <xf numFmtId="172" fontId="9" fillId="10" borderId="6" xfId="0" applyNumberFormat="1" applyFont="1" applyFill="1" applyBorder="1" applyAlignment="1">
      <alignment horizontal="center" vertical="center"/>
    </xf>
    <xf numFmtId="3" fontId="9" fillId="10" borderId="6" xfId="0" applyNumberFormat="1" applyFont="1" applyFill="1" applyBorder="1" applyAlignment="1">
      <alignment horizontal="right" vertical="center" wrapText="1"/>
    </xf>
    <xf numFmtId="43" fontId="8" fillId="10" borderId="6" xfId="1" applyFont="1" applyFill="1" applyBorder="1" applyAlignment="1" applyProtection="1">
      <alignment vertical="center" wrapText="1"/>
    </xf>
    <xf numFmtId="43" fontId="8" fillId="10" borderId="26" xfId="1" applyFont="1" applyFill="1" applyBorder="1" applyAlignment="1" applyProtection="1">
      <alignment vertical="center" wrapText="1"/>
    </xf>
    <xf numFmtId="0" fontId="11" fillId="0" borderId="0" xfId="0" applyFont="1" applyAlignment="1">
      <alignment vertical="center"/>
    </xf>
    <xf numFmtId="1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6" borderId="32" xfId="0" applyFont="1" applyFill="1" applyBorder="1" applyAlignment="1">
      <alignment horizontal="center" vertical="center"/>
    </xf>
    <xf numFmtId="1" fontId="8" fillId="6" borderId="37" xfId="0" applyNumberFormat="1" applyFont="1" applyFill="1" applyBorder="1" applyAlignment="1" applyProtection="1">
      <alignment horizontal="center" vertical="center" wrapText="1"/>
      <protection locked="0"/>
    </xf>
    <xf numFmtId="1" fontId="8" fillId="4" borderId="3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5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37" xfId="0" applyFont="1" applyBorder="1" applyAlignment="1" applyProtection="1">
      <alignment horizontal="center" vertical="center"/>
      <protection locked="0"/>
    </xf>
    <xf numFmtId="174" fontId="9" fillId="4" borderId="67" xfId="0" applyNumberFormat="1" applyFont="1" applyFill="1" applyBorder="1" applyAlignment="1">
      <alignment horizontal="center" vertical="center" wrapText="1"/>
    </xf>
    <xf numFmtId="0" fontId="9" fillId="0" borderId="68" xfId="0" applyFont="1" applyBorder="1" applyAlignment="1">
      <alignment vertical="center" wrapText="1"/>
    </xf>
    <xf numFmtId="1" fontId="9" fillId="0" borderId="28" xfId="0" applyNumberFormat="1" applyFont="1" applyBorder="1" applyAlignment="1">
      <alignment horizontal="center" vertical="center" wrapText="1"/>
    </xf>
    <xf numFmtId="1" fontId="9" fillId="0" borderId="44" xfId="0" applyNumberFormat="1" applyFont="1" applyBorder="1" applyAlignment="1" applyProtection="1">
      <alignment horizontal="center" vertical="center"/>
      <protection locked="0"/>
    </xf>
    <xf numFmtId="1" fontId="9" fillId="0" borderId="69" xfId="0" applyNumberFormat="1" applyFont="1" applyBorder="1" applyAlignment="1" applyProtection="1">
      <alignment horizontal="center" vertical="center"/>
      <protection locked="0"/>
    </xf>
    <xf numFmtId="174" fontId="9" fillId="4" borderId="26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1" fontId="9" fillId="0" borderId="6" xfId="0" applyNumberFormat="1" applyFont="1" applyBorder="1" applyAlignment="1">
      <alignment horizontal="center" vertical="center" wrapText="1"/>
    </xf>
    <xf numFmtId="1" fontId="9" fillId="0" borderId="7" xfId="0" applyNumberFormat="1" applyFont="1" applyBorder="1" applyAlignment="1" applyProtection="1">
      <alignment horizontal="center" vertical="center"/>
      <protection locked="0"/>
    </xf>
    <xf numFmtId="0" fontId="9" fillId="0" borderId="70" xfId="0" applyFont="1" applyBorder="1" applyAlignment="1">
      <alignment vertical="center" wrapText="1"/>
    </xf>
    <xf numFmtId="1" fontId="9" fillId="0" borderId="31" xfId="0" applyNumberFormat="1" applyFont="1" applyBorder="1" applyAlignment="1">
      <alignment horizontal="center" vertical="center" wrapText="1"/>
    </xf>
    <xf numFmtId="1" fontId="9" fillId="0" borderId="53" xfId="0" applyNumberFormat="1" applyFont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>
      <alignment vertical="center" wrapText="1"/>
    </xf>
    <xf numFmtId="174" fontId="9" fillId="4" borderId="61" xfId="0" applyNumberFormat="1" applyFont="1" applyFill="1" applyBorder="1" applyAlignment="1">
      <alignment horizontal="center" vertical="center" wrapText="1"/>
    </xf>
    <xf numFmtId="1" fontId="8" fillId="0" borderId="36" xfId="0" applyNumberFormat="1" applyFont="1" applyBorder="1" applyAlignment="1" applyProtection="1">
      <alignment horizontal="center" vertical="center"/>
      <protection locked="0"/>
    </xf>
    <xf numFmtId="1" fontId="8" fillId="0" borderId="37" xfId="0" applyNumberFormat="1" applyFont="1" applyBorder="1" applyAlignment="1" applyProtection="1">
      <alignment horizontal="center" vertical="center"/>
      <protection locked="0"/>
    </xf>
    <xf numFmtId="0" fontId="9" fillId="4" borderId="12" xfId="0" applyFont="1" applyFill="1" applyBorder="1" applyAlignment="1">
      <alignment vertical="center" wrapText="1"/>
    </xf>
    <xf numFmtId="174" fontId="9" fillId="4" borderId="64" xfId="0" applyNumberFormat="1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/>
    </xf>
    <xf numFmtId="0" fontId="12" fillId="6" borderId="36" xfId="0" applyFont="1" applyFill="1" applyBorder="1" applyAlignment="1">
      <alignment horizontal="center" vertical="center"/>
    </xf>
    <xf numFmtId="0" fontId="12" fillId="6" borderId="37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left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3" fontId="9" fillId="0" borderId="26" xfId="5" applyNumberFormat="1" applyFont="1" applyBorder="1" applyAlignment="1">
      <alignment horizontal="center" vertical="center" wrapText="1"/>
    </xf>
    <xf numFmtId="3" fontId="9" fillId="0" borderId="61" xfId="5" applyNumberFormat="1" applyFont="1" applyBorder="1" applyAlignment="1">
      <alignment horizontal="center" vertical="center" wrapText="1"/>
    </xf>
    <xf numFmtId="0" fontId="2" fillId="6" borderId="32" xfId="0" applyFont="1" applyFill="1" applyBorder="1"/>
    <xf numFmtId="0" fontId="2" fillId="6" borderId="36" xfId="0" applyFont="1" applyFill="1" applyBorder="1"/>
    <xf numFmtId="1" fontId="2" fillId="6" borderId="37" xfId="0" applyNumberFormat="1" applyFont="1" applyFill="1" applyBorder="1" applyAlignment="1">
      <alignment horizontal="center"/>
    </xf>
    <xf numFmtId="177" fontId="0" fillId="0" borderId="0" xfId="0" applyNumberFormat="1"/>
    <xf numFmtId="178" fontId="0" fillId="0" borderId="0" xfId="0" applyNumberFormat="1"/>
    <xf numFmtId="0" fontId="8" fillId="18" borderId="6" xfId="0" applyFont="1" applyFill="1" applyBorder="1" applyAlignment="1">
      <alignment horizontal="left" vertical="center"/>
    </xf>
    <xf numFmtId="167" fontId="0" fillId="0" borderId="0" xfId="0" applyNumberFormat="1"/>
    <xf numFmtId="3" fontId="11" fillId="0" borderId="65" xfId="0" applyNumberFormat="1" applyFont="1" applyBorder="1" applyAlignment="1" applyProtection="1">
      <alignment horizontal="center" vertical="center" wrapText="1"/>
      <protection locked="0"/>
    </xf>
    <xf numFmtId="0" fontId="4" fillId="17" borderId="40" xfId="5" applyFill="1" applyBorder="1" applyAlignment="1">
      <alignment horizontal="center"/>
    </xf>
    <xf numFmtId="0" fontId="4" fillId="17" borderId="34" xfId="5" applyFill="1" applyBorder="1" applyAlignment="1">
      <alignment horizontal="center"/>
    </xf>
    <xf numFmtId="0" fontId="4" fillId="17" borderId="41" xfId="5" applyFill="1" applyBorder="1" applyAlignment="1">
      <alignment horizontal="center"/>
    </xf>
    <xf numFmtId="0" fontId="4" fillId="16" borderId="40" xfId="5" applyFill="1" applyBorder="1" applyAlignment="1">
      <alignment horizontal="center"/>
    </xf>
    <xf numFmtId="0" fontId="4" fillId="16" borderId="34" xfId="5" applyFill="1" applyBorder="1" applyAlignment="1">
      <alignment horizontal="center"/>
    </xf>
    <xf numFmtId="0" fontId="4" fillId="16" borderId="41" xfId="5" applyFill="1" applyBorder="1" applyAlignment="1">
      <alignment horizontal="center"/>
    </xf>
    <xf numFmtId="179" fontId="0" fillId="0" borderId="0" xfId="0" applyNumberFormat="1"/>
    <xf numFmtId="180" fontId="8" fillId="6" borderId="37" xfId="0" applyNumberFormat="1" applyFont="1" applyFill="1" applyBorder="1" applyAlignment="1" applyProtection="1">
      <alignment horizontal="center" vertical="center"/>
      <protection locked="0"/>
    </xf>
    <xf numFmtId="175" fontId="9" fillId="0" borderId="67" xfId="1" applyNumberFormat="1" applyFont="1" applyBorder="1" applyAlignment="1" applyProtection="1">
      <alignment horizontal="center"/>
      <protection locked="0"/>
    </xf>
    <xf numFmtId="3" fontId="8" fillId="0" borderId="6" xfId="5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6" xfId="3" applyNumberFormat="1" applyFont="1" applyBorder="1" applyAlignment="1">
      <alignment horizontal="center" vertical="center"/>
    </xf>
    <xf numFmtId="43" fontId="0" fillId="0" borderId="6" xfId="0" applyNumberForma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43" fontId="8" fillId="10" borderId="6" xfId="1" applyNumberFormat="1" applyFont="1" applyFill="1" applyBorder="1" applyAlignment="1" applyProtection="1">
      <alignment vertical="center" wrapText="1"/>
    </xf>
    <xf numFmtId="44" fontId="8" fillId="10" borderId="6" xfId="3" applyFont="1" applyFill="1" applyBorder="1" applyAlignment="1" applyProtection="1">
      <alignment vertical="center" wrapText="1"/>
    </xf>
    <xf numFmtId="44" fontId="0" fillId="0" borderId="0" xfId="3" applyFont="1"/>
    <xf numFmtId="44" fontId="0" fillId="0" borderId="0" xfId="0" applyNumberFormat="1"/>
    <xf numFmtId="4" fontId="9" fillId="4" borderId="26" xfId="5" applyNumberFormat="1" applyFont="1" applyFill="1" applyBorder="1" applyAlignment="1">
      <alignment horizontal="center" vertical="center" wrapText="1"/>
    </xf>
    <xf numFmtId="177" fontId="19" fillId="0" borderId="6" xfId="0" applyNumberFormat="1" applyFont="1" applyBorder="1"/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8" fillId="0" borderId="8" xfId="5" quotePrefix="1" applyFont="1" applyBorder="1" applyAlignment="1">
      <alignment horizontal="left" vertical="center" wrapText="1"/>
    </xf>
    <xf numFmtId="0" fontId="8" fillId="0" borderId="9" xfId="5" quotePrefix="1" applyFont="1" applyBorder="1" applyAlignment="1">
      <alignment horizontal="left" vertical="center" wrapText="1"/>
    </xf>
    <xf numFmtId="0" fontId="8" fillId="0" borderId="11" xfId="5" quotePrefix="1" applyFont="1" applyBorder="1" applyAlignment="1">
      <alignment horizontal="left" vertical="center" wrapText="1"/>
    </xf>
    <xf numFmtId="0" fontId="2" fillId="1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left" vertical="center" wrapText="1"/>
    </xf>
    <xf numFmtId="0" fontId="12" fillId="11" borderId="3" xfId="0" applyFont="1" applyFill="1" applyBorder="1" applyAlignment="1">
      <alignment horizontal="left" vertical="center" wrapText="1"/>
    </xf>
    <xf numFmtId="0" fontId="12" fillId="11" borderId="22" xfId="0" applyFont="1" applyFill="1" applyBorder="1" applyAlignment="1">
      <alignment horizontal="left" vertical="center" wrapText="1"/>
    </xf>
    <xf numFmtId="0" fontId="8" fillId="12" borderId="8" xfId="5" applyFont="1" applyFill="1" applyBorder="1" applyAlignment="1">
      <alignment horizontal="left" vertical="center" wrapText="1"/>
    </xf>
    <xf numFmtId="0" fontId="8" fillId="12" borderId="9" xfId="5" applyFont="1" applyFill="1" applyBorder="1" applyAlignment="1">
      <alignment horizontal="left" vertical="center" wrapText="1"/>
    </xf>
    <xf numFmtId="0" fontId="8" fillId="12" borderId="27" xfId="5" applyFont="1" applyFill="1" applyBorder="1" applyAlignment="1">
      <alignment horizontal="left" vertical="center" wrapText="1"/>
    </xf>
    <xf numFmtId="0" fontId="8" fillId="12" borderId="11" xfId="5" applyFont="1" applyFill="1" applyBorder="1" applyAlignment="1">
      <alignment horizontal="left" vertical="center" wrapText="1"/>
    </xf>
    <xf numFmtId="0" fontId="8" fillId="12" borderId="8" xfId="0" applyFont="1" applyFill="1" applyBorder="1" applyAlignment="1">
      <alignment horizontal="left" vertical="center"/>
    </xf>
    <xf numFmtId="0" fontId="8" fillId="12" borderId="9" xfId="0" applyFont="1" applyFill="1" applyBorder="1" applyAlignment="1">
      <alignment horizontal="left" vertical="center"/>
    </xf>
    <xf numFmtId="0" fontId="8" fillId="12" borderId="11" xfId="0" applyFont="1" applyFill="1" applyBorder="1" applyAlignment="1">
      <alignment horizontal="left" vertical="center"/>
    </xf>
    <xf numFmtId="0" fontId="8" fillId="14" borderId="5" xfId="5" applyFont="1" applyFill="1" applyBorder="1" applyAlignment="1">
      <alignment horizontal="left" vertical="center" wrapText="1"/>
    </xf>
    <xf numFmtId="0" fontId="8" fillId="14" borderId="6" xfId="5" applyFont="1" applyFill="1" applyBorder="1" applyAlignment="1">
      <alignment horizontal="left" vertical="center" wrapText="1"/>
    </xf>
    <xf numFmtId="0" fontId="8" fillId="14" borderId="8" xfId="5" applyFont="1" applyFill="1" applyBorder="1" applyAlignment="1">
      <alignment horizontal="left" vertical="center" wrapText="1"/>
    </xf>
    <xf numFmtId="0" fontId="8" fillId="14" borderId="9" xfId="5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2" fillId="3" borderId="38" xfId="0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0" fontId="12" fillId="3" borderId="46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3" fontId="9" fillId="0" borderId="7" xfId="5" applyNumberFormat="1" applyFont="1" applyBorder="1" applyAlignment="1">
      <alignment horizontal="center" vertical="center" wrapText="1"/>
    </xf>
    <xf numFmtId="3" fontId="9" fillId="0" borderId="51" xfId="5" applyNumberFormat="1" applyFont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left" vertical="center" wrapText="1"/>
    </xf>
    <xf numFmtId="0" fontId="8" fillId="6" borderId="41" xfId="0" applyFont="1" applyFill="1" applyBorder="1" applyAlignment="1">
      <alignment horizontal="left" vertical="center" wrapText="1"/>
    </xf>
    <xf numFmtId="0" fontId="12" fillId="3" borderId="14" xfId="0" applyFont="1" applyFill="1" applyBorder="1" applyAlignment="1">
      <alignment horizontal="center" vertical="center"/>
    </xf>
    <xf numFmtId="0" fontId="12" fillId="3" borderId="48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3" fontId="9" fillId="4" borderId="7" xfId="5" applyNumberFormat="1" applyFont="1" applyFill="1" applyBorder="1" applyAlignment="1">
      <alignment horizontal="center" vertical="center" wrapText="1"/>
    </xf>
    <xf numFmtId="3" fontId="9" fillId="4" borderId="51" xfId="5" applyNumberFormat="1" applyFont="1" applyFill="1" applyBorder="1" applyAlignment="1">
      <alignment horizontal="center" vertical="center" wrapText="1"/>
    </xf>
    <xf numFmtId="3" fontId="9" fillId="0" borderId="53" xfId="5" applyNumberFormat="1" applyFont="1" applyBorder="1" applyAlignment="1">
      <alignment horizontal="center" vertical="center" wrapText="1"/>
    </xf>
    <xf numFmtId="3" fontId="9" fillId="0" borderId="54" xfId="5" applyNumberFormat="1" applyFont="1" applyBorder="1" applyAlignment="1">
      <alignment horizontal="center" vertical="center" wrapText="1"/>
    </xf>
    <xf numFmtId="3" fontId="8" fillId="0" borderId="14" xfId="5" applyNumberFormat="1" applyFont="1" applyBorder="1" applyAlignment="1">
      <alignment horizontal="center" vertical="center" wrapText="1"/>
    </xf>
    <xf numFmtId="3" fontId="8" fillId="0" borderId="48" xfId="5" applyNumberFormat="1" applyFont="1" applyBorder="1" applyAlignment="1">
      <alignment horizontal="center" vertical="center" wrapText="1"/>
    </xf>
    <xf numFmtId="3" fontId="10" fillId="0" borderId="0" xfId="0" applyNumberFormat="1" applyFont="1" applyAlignment="1">
      <alignment horizontal="center"/>
    </xf>
    <xf numFmtId="0" fontId="8" fillId="18" borderId="40" xfId="0" applyFont="1" applyFill="1" applyBorder="1" applyAlignment="1">
      <alignment horizontal="center" vertical="center" wrapText="1"/>
    </xf>
    <xf numFmtId="0" fontId="8" fillId="18" borderId="34" xfId="0" applyFont="1" applyFill="1" applyBorder="1" applyAlignment="1">
      <alignment horizontal="center" vertical="center" wrapText="1"/>
    </xf>
    <xf numFmtId="0" fontId="8" fillId="18" borderId="4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11" fillId="9" borderId="35" xfId="0" applyFont="1" applyFill="1" applyBorder="1" applyAlignment="1">
      <alignment horizontal="center" vertical="center" wrapText="1"/>
    </xf>
    <xf numFmtId="0" fontId="11" fillId="9" borderId="36" xfId="0" applyFont="1" applyFill="1" applyBorder="1" applyAlignment="1">
      <alignment horizontal="center" vertical="center" wrapText="1"/>
    </xf>
    <xf numFmtId="0" fontId="11" fillId="9" borderId="37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3" fontId="9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8" fillId="10" borderId="7" xfId="0" quotePrefix="1" applyFont="1" applyFill="1" applyBorder="1" applyAlignment="1">
      <alignment vertical="center"/>
    </xf>
    <xf numFmtId="0" fontId="8" fillId="10" borderId="9" xfId="0" quotePrefix="1" applyFont="1" applyFill="1" applyBorder="1" applyAlignment="1">
      <alignment vertical="center"/>
    </xf>
    <xf numFmtId="0" fontId="8" fillId="10" borderId="11" xfId="0" quotePrefix="1" applyFont="1" applyFill="1" applyBorder="1" applyAlignment="1">
      <alignment vertical="center"/>
    </xf>
    <xf numFmtId="0" fontId="8" fillId="6" borderId="34" xfId="0" applyFont="1" applyFill="1" applyBorder="1" applyAlignment="1">
      <alignment horizontal="center" vertical="center" wrapText="1"/>
    </xf>
    <xf numFmtId="0" fontId="8" fillId="6" borderId="41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/>
    </xf>
    <xf numFmtId="0" fontId="8" fillId="18" borderId="6" xfId="0" applyFont="1" applyFill="1" applyBorder="1" applyAlignment="1">
      <alignment horizontal="center" vertical="center" wrapText="1"/>
    </xf>
    <xf numFmtId="1" fontId="8" fillId="18" borderId="6" xfId="0" applyNumberFormat="1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 wrapText="1"/>
    </xf>
  </cellXfs>
  <cellStyles count="10">
    <cellStyle name="Millares" xfId="1" builtinId="3"/>
    <cellStyle name="Millares [0]" xfId="2" builtinId="6"/>
    <cellStyle name="Millares 11 3" xfId="8"/>
    <cellStyle name="Moneda" xfId="3" builtinId="4"/>
    <cellStyle name="Moneda [0]" xfId="4" builtinId="7"/>
    <cellStyle name="Moneda 2" xfId="6"/>
    <cellStyle name="Normal" xfId="0" builtinId="0"/>
    <cellStyle name="Normal 10" xfId="9"/>
    <cellStyle name="Normal 2" xfId="5"/>
    <cellStyle name="Porcentaje 2" xfId="7"/>
  </cellStyles>
  <dxfs count="8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nus\Downloads\COSTOS%20ESTABLECIMIENTO-MANT-AISL-2024-predios%20publicos%20y%20priv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udio de Mercado"/>
      <sheetName val="Establec predio publico"/>
      <sheetName val="Mant (2) predios publi y priv"/>
      <sheetName val="Aisl predio publico licitacion"/>
      <sheetName val="Establec predio privado"/>
      <sheetName val="Aisl predios privados"/>
      <sheetName val="Mante predios privados nuevos"/>
      <sheetName val="Esta acueductos veredales"/>
      <sheetName val="Ais acueductos veredales"/>
      <sheetName val="Mante acueductos veredales"/>
      <sheetName val="Mant predios publicos-RP-EF"/>
      <sheetName val="Aisl predios cortolima-asototar"/>
      <sheetName val="Esta EF-Cortoli-asototare"/>
      <sheetName val="Mant publi y priva-2025."/>
      <sheetName val="Mant publicos-2026."/>
      <sheetName val="Mant publicos-2027"/>
      <sheetName val="CONSOLIDADO TOTAL"/>
      <sheetName val="Mtto  RP Yopo"/>
      <sheetName val="Mtto  RP Aliso"/>
      <sheetName val="Mtto  RP Cajeto"/>
      <sheetName val="Hoja1"/>
      <sheetName val="Establec RP predio privado"/>
    </sheetNames>
    <sheetDataSet>
      <sheetData sheetId="0">
        <row r="18">
          <cell r="N18">
            <v>49050</v>
          </cell>
        </row>
        <row r="19">
          <cell r="N19">
            <v>39050</v>
          </cell>
        </row>
        <row r="28">
          <cell r="O28">
            <v>10391.08</v>
          </cell>
        </row>
        <row r="29">
          <cell r="H29">
            <v>31535</v>
          </cell>
        </row>
        <row r="30">
          <cell r="N30">
            <v>8283.3333333333339</v>
          </cell>
        </row>
        <row r="47">
          <cell r="N47">
            <v>29333.333333333332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topLeftCell="A49" zoomScale="85" zoomScaleNormal="85" workbookViewId="0">
      <selection activeCell="O28" sqref="O28"/>
    </sheetView>
  </sheetViews>
  <sheetFormatPr baseColWidth="10" defaultColWidth="11.42578125" defaultRowHeight="12.75" x14ac:dyDescent="0.2"/>
  <cols>
    <col min="1" max="1" width="30.28515625" style="3" customWidth="1"/>
    <col min="2" max="2" width="46.42578125" style="3" customWidth="1"/>
    <col min="3" max="3" width="9.28515625" style="3" bestFit="1" customWidth="1"/>
    <col min="4" max="4" width="13.7109375" style="74" bestFit="1" customWidth="1"/>
    <col min="5" max="5" width="19.85546875" style="74" customWidth="1"/>
    <col min="6" max="6" width="13.85546875" style="74" bestFit="1" customWidth="1"/>
    <col min="7" max="7" width="14.5703125" style="74" bestFit="1" customWidth="1"/>
    <col min="8" max="8" width="11" style="74" customWidth="1"/>
    <col min="9" max="9" width="15.5703125" style="74" customWidth="1"/>
    <col min="10" max="10" width="15.140625" style="74" bestFit="1" customWidth="1"/>
    <col min="11" max="11" width="11.28515625" style="74" customWidth="1"/>
    <col min="12" max="12" width="12" style="3" customWidth="1"/>
    <col min="13" max="13" width="15.85546875" style="3" customWidth="1"/>
    <col min="14" max="14" width="15" style="74" customWidth="1"/>
    <col min="15" max="16384" width="11.42578125" style="3"/>
  </cols>
  <sheetData>
    <row r="1" spans="1:16" x14ac:dyDescent="0.2">
      <c r="A1" s="364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1"/>
      <c r="N1" s="2"/>
    </row>
    <row r="2" spans="1:16" ht="38.25" x14ac:dyDescent="0.2">
      <c r="A2" s="4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8" t="s">
        <v>11</v>
      </c>
      <c r="L2" s="9" t="s">
        <v>12</v>
      </c>
      <c r="M2" s="9" t="s">
        <v>13</v>
      </c>
      <c r="N2" s="10" t="s">
        <v>14</v>
      </c>
      <c r="O2" s="11" t="s">
        <v>15</v>
      </c>
      <c r="P2" s="3" t="s">
        <v>16</v>
      </c>
    </row>
    <row r="3" spans="1:16" x14ac:dyDescent="0.2">
      <c r="A3" s="361" t="s">
        <v>17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12"/>
      <c r="N3" s="13"/>
      <c r="O3" s="11"/>
    </row>
    <row r="4" spans="1:16" ht="76.5" x14ac:dyDescent="0.2">
      <c r="A4" s="14" t="s">
        <v>18</v>
      </c>
      <c r="B4" s="15" t="s">
        <v>19</v>
      </c>
      <c r="C4" s="16" t="s">
        <v>20</v>
      </c>
      <c r="D4" s="17"/>
      <c r="E4" s="17"/>
      <c r="F4" s="17"/>
      <c r="G4" s="17">
        <v>72100</v>
      </c>
      <c r="H4" s="18"/>
      <c r="I4" s="17">
        <v>69300</v>
      </c>
      <c r="J4" s="19">
        <v>52500</v>
      </c>
      <c r="K4" s="19">
        <v>71334</v>
      </c>
      <c r="L4" s="20">
        <v>74550</v>
      </c>
      <c r="M4" s="20"/>
      <c r="N4" s="21">
        <f>+(J4+K4+L4+G4+I4)/5</f>
        <v>67956.800000000003</v>
      </c>
      <c r="O4" s="22">
        <f>+N4/50</f>
        <v>1359.136</v>
      </c>
    </row>
    <row r="5" spans="1:16" ht="38.25" x14ac:dyDescent="0.2">
      <c r="A5" s="14" t="s">
        <v>21</v>
      </c>
      <c r="B5" s="15" t="s">
        <v>22</v>
      </c>
      <c r="C5" s="16" t="s">
        <v>23</v>
      </c>
      <c r="D5" s="17"/>
      <c r="E5" s="17"/>
      <c r="F5" s="17"/>
      <c r="G5" s="17">
        <v>39500</v>
      </c>
      <c r="H5" s="18">
        <v>25450</v>
      </c>
      <c r="I5" s="17">
        <v>42500</v>
      </c>
      <c r="J5" s="19"/>
      <c r="K5" s="19"/>
      <c r="L5" s="20"/>
      <c r="M5" s="20"/>
      <c r="N5" s="21">
        <f t="shared" ref="N5:N13" si="0">+(G5+H5+I5)/3</f>
        <v>35816.666666666664</v>
      </c>
      <c r="O5" s="22"/>
    </row>
    <row r="6" spans="1:16" ht="102" x14ac:dyDescent="0.2">
      <c r="A6" s="23" t="s">
        <v>24</v>
      </c>
      <c r="B6" s="15" t="s">
        <v>25</v>
      </c>
      <c r="C6" s="16" t="s">
        <v>20</v>
      </c>
      <c r="D6" s="17"/>
      <c r="E6" s="17"/>
      <c r="F6" s="17"/>
      <c r="G6" s="17">
        <v>210000</v>
      </c>
      <c r="H6" s="18">
        <v>128700</v>
      </c>
      <c r="I6" s="17">
        <v>205480</v>
      </c>
      <c r="J6" s="19"/>
      <c r="K6" s="19"/>
      <c r="L6" s="20"/>
      <c r="M6" s="20"/>
      <c r="N6" s="21">
        <f t="shared" si="0"/>
        <v>181393.33333333334</v>
      </c>
      <c r="O6" s="22">
        <f t="shared" ref="O6:O8" si="1">+N6/50</f>
        <v>3627.8666666666668</v>
      </c>
    </row>
    <row r="7" spans="1:16" ht="25.5" x14ac:dyDescent="0.2">
      <c r="A7" s="23" t="s">
        <v>26</v>
      </c>
      <c r="B7" s="24" t="s">
        <v>27</v>
      </c>
      <c r="C7" s="16" t="s">
        <v>28</v>
      </c>
      <c r="D7" s="17"/>
      <c r="E7" s="17"/>
      <c r="F7" s="17"/>
      <c r="G7" s="17">
        <v>185000</v>
      </c>
      <c r="H7" s="18">
        <v>133800</v>
      </c>
      <c r="I7" s="18">
        <v>190000</v>
      </c>
      <c r="J7" s="25"/>
      <c r="K7" s="25"/>
      <c r="L7" s="20"/>
      <c r="M7" s="20"/>
      <c r="N7" s="21">
        <f t="shared" si="0"/>
        <v>169600</v>
      </c>
      <c r="O7" s="22">
        <f>+N7/46</f>
        <v>3686.9565217391305</v>
      </c>
    </row>
    <row r="8" spans="1:16" ht="114.75" x14ac:dyDescent="0.2">
      <c r="A8" s="23" t="s">
        <v>29</v>
      </c>
      <c r="B8" s="26" t="s">
        <v>30</v>
      </c>
      <c r="C8" s="16" t="str">
        <f>+C6</f>
        <v>Bulto
50 Kg</v>
      </c>
      <c r="D8" s="17"/>
      <c r="E8" s="17"/>
      <c r="F8" s="17"/>
      <c r="G8" s="17">
        <v>180000</v>
      </c>
      <c r="H8" s="18">
        <v>141800</v>
      </c>
      <c r="I8" s="18">
        <v>182300</v>
      </c>
      <c r="J8" s="25"/>
      <c r="K8" s="25"/>
      <c r="L8" s="20"/>
      <c r="M8" s="20"/>
      <c r="N8" s="21">
        <f t="shared" si="0"/>
        <v>168033.33333333334</v>
      </c>
      <c r="O8" s="22">
        <f t="shared" si="1"/>
        <v>3360.666666666667</v>
      </c>
    </row>
    <row r="9" spans="1:16" ht="25.5" x14ac:dyDescent="0.2">
      <c r="A9" s="14" t="s">
        <v>31</v>
      </c>
      <c r="B9" s="24" t="s">
        <v>32</v>
      </c>
      <c r="C9" s="16" t="str">
        <f>+C7</f>
        <v>Bulto
46 Kg</v>
      </c>
      <c r="D9" s="17"/>
      <c r="E9" s="17"/>
      <c r="F9" s="17"/>
      <c r="G9" s="17">
        <v>190200</v>
      </c>
      <c r="H9" s="18">
        <v>177400</v>
      </c>
      <c r="I9" s="18">
        <v>193450</v>
      </c>
      <c r="J9" s="25"/>
      <c r="K9" s="25"/>
      <c r="L9" s="20"/>
      <c r="M9" s="20"/>
      <c r="N9" s="21">
        <f t="shared" si="0"/>
        <v>187016.66666666666</v>
      </c>
      <c r="O9" s="22">
        <f>+N9/46</f>
        <v>4065.5797101449275</v>
      </c>
    </row>
    <row r="10" spans="1:16" ht="25.5" x14ac:dyDescent="0.2">
      <c r="A10" s="14" t="s">
        <v>33</v>
      </c>
      <c r="B10" s="24" t="s">
        <v>34</v>
      </c>
      <c r="C10" s="16" t="str">
        <f>+C8</f>
        <v>Bulto
50 Kg</v>
      </c>
      <c r="D10" s="17"/>
      <c r="E10" s="17"/>
      <c r="F10" s="17"/>
      <c r="G10" s="17">
        <v>180000</v>
      </c>
      <c r="H10" s="18">
        <v>116400</v>
      </c>
      <c r="I10" s="18">
        <v>182300</v>
      </c>
      <c r="J10" s="25"/>
      <c r="K10" s="25"/>
      <c r="L10" s="20"/>
      <c r="M10" s="20"/>
      <c r="N10" s="21">
        <f t="shared" si="0"/>
        <v>159566.66666666666</v>
      </c>
      <c r="O10" s="22">
        <f>+N10/50</f>
        <v>3191.333333333333</v>
      </c>
    </row>
    <row r="11" spans="1:16" ht="25.5" x14ac:dyDescent="0.2">
      <c r="A11" s="23" t="s">
        <v>35</v>
      </c>
      <c r="B11" s="24" t="s">
        <v>36</v>
      </c>
      <c r="C11" s="16"/>
      <c r="D11" s="17"/>
      <c r="E11" s="17"/>
      <c r="F11" s="17"/>
      <c r="G11" s="17">
        <v>49200</v>
      </c>
      <c r="H11" s="18">
        <v>25150</v>
      </c>
      <c r="I11" s="18">
        <v>49750</v>
      </c>
      <c r="J11" s="25"/>
      <c r="K11" s="25"/>
      <c r="L11" s="20"/>
      <c r="M11" s="20"/>
      <c r="N11" s="21">
        <f t="shared" si="0"/>
        <v>41366.666666666664</v>
      </c>
      <c r="O11" s="22"/>
    </row>
    <row r="12" spans="1:16" x14ac:dyDescent="0.2">
      <c r="A12" s="14" t="s">
        <v>37</v>
      </c>
      <c r="B12" s="15" t="s">
        <v>38</v>
      </c>
      <c r="C12" s="16" t="s">
        <v>39</v>
      </c>
      <c r="D12" s="17"/>
      <c r="E12" s="17"/>
      <c r="F12" s="17"/>
      <c r="G12" s="17">
        <v>49200</v>
      </c>
      <c r="H12" s="17">
        <v>33450</v>
      </c>
      <c r="I12" s="18">
        <v>48600</v>
      </c>
      <c r="J12" s="25"/>
      <c r="K12" s="25"/>
      <c r="L12" s="20"/>
      <c r="M12" s="20"/>
      <c r="N12" s="21">
        <f t="shared" si="0"/>
        <v>43750</v>
      </c>
      <c r="O12" s="22"/>
    </row>
    <row r="13" spans="1:16" x14ac:dyDescent="0.2">
      <c r="A13" s="14" t="s">
        <v>40</v>
      </c>
      <c r="B13" s="27" t="s">
        <v>41</v>
      </c>
      <c r="C13" s="16" t="s">
        <v>39</v>
      </c>
      <c r="D13" s="17"/>
      <c r="E13" s="17"/>
      <c r="F13" s="17"/>
      <c r="G13" s="17">
        <v>38650</v>
      </c>
      <c r="H13" s="17">
        <v>31250</v>
      </c>
      <c r="I13" s="18">
        <v>39650</v>
      </c>
      <c r="J13" s="25"/>
      <c r="K13" s="25"/>
      <c r="L13" s="20"/>
      <c r="M13" s="20"/>
      <c r="N13" s="21">
        <f t="shared" si="0"/>
        <v>36516.666666666664</v>
      </c>
      <c r="O13" s="22"/>
    </row>
    <row r="14" spans="1:16" x14ac:dyDescent="0.2">
      <c r="A14" s="14" t="s">
        <v>40</v>
      </c>
      <c r="B14" s="27" t="s">
        <v>42</v>
      </c>
      <c r="C14" s="16" t="s">
        <v>39</v>
      </c>
      <c r="D14" s="17"/>
      <c r="E14" s="17"/>
      <c r="F14" s="17"/>
      <c r="G14" s="17">
        <v>71000</v>
      </c>
      <c r="H14" s="17"/>
      <c r="I14" s="18">
        <v>69780</v>
      </c>
      <c r="J14" s="25"/>
      <c r="K14" s="25"/>
      <c r="L14" s="20"/>
      <c r="M14" s="20"/>
      <c r="N14" s="21">
        <f>+(G14+H14+I14)/2</f>
        <v>70390</v>
      </c>
      <c r="O14" s="22"/>
    </row>
    <row r="15" spans="1:16" x14ac:dyDescent="0.2">
      <c r="A15" s="14" t="s">
        <v>43</v>
      </c>
      <c r="B15" s="28" t="s">
        <v>44</v>
      </c>
      <c r="C15" s="29" t="s">
        <v>45</v>
      </c>
      <c r="D15" s="17"/>
      <c r="E15" s="17"/>
      <c r="F15" s="17"/>
      <c r="G15" s="30">
        <v>41500</v>
      </c>
      <c r="H15" s="30">
        <v>27500</v>
      </c>
      <c r="I15" s="30">
        <v>42500</v>
      </c>
      <c r="J15" s="20"/>
      <c r="K15" s="20"/>
      <c r="L15" s="20"/>
      <c r="M15" s="20"/>
      <c r="N15" s="21">
        <f>+(G15+H15+I15)/3</f>
        <v>37166.666666666664</v>
      </c>
      <c r="O15" s="22"/>
    </row>
    <row r="16" spans="1:16" ht="25.5" x14ac:dyDescent="0.2">
      <c r="A16" s="14" t="s">
        <v>46</v>
      </c>
      <c r="B16" s="24" t="s">
        <v>47</v>
      </c>
      <c r="C16" s="16" t="s">
        <v>20</v>
      </c>
      <c r="D16" s="31"/>
      <c r="E16" s="17"/>
      <c r="F16" s="17"/>
      <c r="G16" s="30">
        <v>36700</v>
      </c>
      <c r="H16" s="20">
        <v>21500</v>
      </c>
      <c r="I16" s="20">
        <v>37100</v>
      </c>
      <c r="J16" s="20"/>
      <c r="K16" s="20"/>
      <c r="L16" s="20"/>
      <c r="M16" s="20"/>
      <c r="N16" s="21">
        <f>+(G16+H16+I16)/3</f>
        <v>31766.666666666668</v>
      </c>
      <c r="O16" s="22">
        <f>+N16/50</f>
        <v>635.33333333333337</v>
      </c>
    </row>
    <row r="17" spans="1:15" ht="25.5" x14ac:dyDescent="0.2">
      <c r="A17" s="14" t="s">
        <v>46</v>
      </c>
      <c r="B17" s="26" t="s">
        <v>48</v>
      </c>
      <c r="C17" s="32" t="s">
        <v>49</v>
      </c>
      <c r="D17" s="33"/>
      <c r="E17" s="34"/>
      <c r="F17" s="35"/>
      <c r="G17" s="35">
        <v>65000</v>
      </c>
      <c r="H17" s="36">
        <v>70000</v>
      </c>
      <c r="I17" s="36">
        <v>68550</v>
      </c>
      <c r="J17" s="36"/>
      <c r="K17" s="36"/>
      <c r="L17" s="37"/>
      <c r="M17" s="37"/>
      <c r="N17" s="21">
        <f>+(G17+H17+I17)/3</f>
        <v>67850</v>
      </c>
      <c r="O17" s="22"/>
    </row>
    <row r="18" spans="1:15" x14ac:dyDescent="0.2">
      <c r="A18" s="14" t="s">
        <v>50</v>
      </c>
      <c r="B18" s="28" t="s">
        <v>51</v>
      </c>
      <c r="C18" s="29" t="s">
        <v>52</v>
      </c>
      <c r="D18" s="17"/>
      <c r="E18" s="17"/>
      <c r="F18" s="17"/>
      <c r="G18" s="30">
        <v>48500</v>
      </c>
      <c r="H18" s="30"/>
      <c r="I18" s="30">
        <v>49600</v>
      </c>
      <c r="J18" s="20"/>
      <c r="K18" s="20"/>
      <c r="L18" s="20"/>
      <c r="M18" s="20"/>
      <c r="N18" s="21">
        <f>+(G18+H18+I18)/2</f>
        <v>49050</v>
      </c>
      <c r="O18" s="22"/>
    </row>
    <row r="19" spans="1:15" x14ac:dyDescent="0.2">
      <c r="A19" s="14" t="s">
        <v>53</v>
      </c>
      <c r="B19" s="28" t="s">
        <v>54</v>
      </c>
      <c r="C19" s="29" t="s">
        <v>52</v>
      </c>
      <c r="D19" s="17"/>
      <c r="E19" s="17"/>
      <c r="F19" s="17"/>
      <c r="G19" s="30">
        <v>38600</v>
      </c>
      <c r="H19" s="30"/>
      <c r="I19" s="30">
        <v>39500</v>
      </c>
      <c r="J19" s="20"/>
      <c r="K19" s="20"/>
      <c r="L19" s="20"/>
      <c r="M19" s="20"/>
      <c r="N19" s="21">
        <f>+(G19+H19+I19)/2</f>
        <v>39050</v>
      </c>
      <c r="O19" s="22"/>
    </row>
    <row r="20" spans="1:15" x14ac:dyDescent="0.2">
      <c r="A20" s="361" t="s">
        <v>55</v>
      </c>
      <c r="B20" s="363"/>
      <c r="C20" s="363"/>
      <c r="D20" s="363"/>
      <c r="E20" s="363"/>
      <c r="F20" s="363"/>
      <c r="G20" s="363"/>
      <c r="H20" s="363"/>
      <c r="I20" s="363"/>
      <c r="J20" s="363"/>
      <c r="K20" s="363"/>
      <c r="L20" s="362"/>
      <c r="M20" s="12"/>
      <c r="N20" s="38"/>
      <c r="O20" s="22"/>
    </row>
    <row r="21" spans="1:15" x14ac:dyDescent="0.2">
      <c r="A21" s="4"/>
      <c r="B21" s="5"/>
      <c r="C21" s="5"/>
      <c r="D21" s="39"/>
      <c r="E21" s="39"/>
      <c r="F21" s="39"/>
      <c r="G21" s="39"/>
      <c r="H21" s="39"/>
      <c r="I21" s="39"/>
      <c r="J21" s="40"/>
      <c r="K21" s="40"/>
      <c r="L21" s="41"/>
      <c r="M21" s="41"/>
      <c r="N21" s="38"/>
      <c r="O21" s="22"/>
    </row>
    <row r="22" spans="1:15" x14ac:dyDescent="0.2">
      <c r="A22" s="42" t="s">
        <v>56</v>
      </c>
      <c r="B22" s="28" t="s">
        <v>57</v>
      </c>
      <c r="C22" s="29" t="s">
        <v>58</v>
      </c>
      <c r="D22" s="17"/>
      <c r="E22" s="17"/>
      <c r="F22" s="17"/>
      <c r="G22" s="17">
        <v>5900</v>
      </c>
      <c r="H22" s="17">
        <v>4150</v>
      </c>
      <c r="I22" s="17">
        <v>7500</v>
      </c>
      <c r="J22" s="19"/>
      <c r="K22" s="19"/>
      <c r="L22" s="20"/>
      <c r="M22" s="20"/>
      <c r="N22" s="21">
        <f>+(G22+H22+I22)/3</f>
        <v>5850</v>
      </c>
      <c r="O22" s="22"/>
    </row>
    <row r="23" spans="1:15" x14ac:dyDescent="0.2">
      <c r="A23" s="42" t="s">
        <v>59</v>
      </c>
      <c r="B23" s="28" t="s">
        <v>60</v>
      </c>
      <c r="C23" s="29" t="s">
        <v>58</v>
      </c>
      <c r="D23" s="17"/>
      <c r="E23" s="17"/>
      <c r="F23" s="17"/>
      <c r="G23" s="17">
        <v>29500</v>
      </c>
      <c r="H23" s="17">
        <v>25400</v>
      </c>
      <c r="I23" s="17">
        <v>29900</v>
      </c>
      <c r="J23" s="19"/>
      <c r="K23" s="19"/>
      <c r="L23" s="20"/>
      <c r="M23" s="20"/>
      <c r="N23" s="21">
        <f t="shared" ref="N23:N33" si="2">+(G23+H23+I23)/3</f>
        <v>28266.666666666668</v>
      </c>
      <c r="O23" s="22"/>
    </row>
    <row r="24" spans="1:15" x14ac:dyDescent="0.2">
      <c r="A24" s="42" t="s">
        <v>61</v>
      </c>
      <c r="B24" s="28" t="s">
        <v>62</v>
      </c>
      <c r="C24" s="29" t="s">
        <v>58</v>
      </c>
      <c r="D24" s="17"/>
      <c r="E24" s="17"/>
      <c r="F24" s="17"/>
      <c r="G24" s="17">
        <v>48600</v>
      </c>
      <c r="H24" s="17">
        <v>42100</v>
      </c>
      <c r="I24" s="17">
        <v>45300</v>
      </c>
      <c r="J24" s="19"/>
      <c r="K24" s="19"/>
      <c r="L24" s="20"/>
      <c r="M24" s="20"/>
      <c r="N24" s="21">
        <f t="shared" si="2"/>
        <v>45333.333333333336</v>
      </c>
      <c r="O24" s="22"/>
    </row>
    <row r="25" spans="1:15" x14ac:dyDescent="0.2">
      <c r="A25" s="42" t="s">
        <v>63</v>
      </c>
      <c r="B25" s="28" t="s">
        <v>64</v>
      </c>
      <c r="C25" s="29" t="s">
        <v>58</v>
      </c>
      <c r="D25" s="17"/>
      <c r="E25" s="17"/>
      <c r="F25" s="17"/>
      <c r="G25" s="17">
        <v>73500</v>
      </c>
      <c r="H25" s="17">
        <v>59200</v>
      </c>
      <c r="I25" s="17">
        <v>75000</v>
      </c>
      <c r="J25" s="19"/>
      <c r="K25" s="19"/>
      <c r="L25" s="20"/>
      <c r="M25" s="20"/>
      <c r="N25" s="21">
        <f t="shared" si="2"/>
        <v>69233.333333333328</v>
      </c>
      <c r="O25" s="22"/>
    </row>
    <row r="26" spans="1:15" x14ac:dyDescent="0.2">
      <c r="A26" s="42" t="s">
        <v>65</v>
      </c>
      <c r="B26" s="28" t="s">
        <v>66</v>
      </c>
      <c r="C26" s="29" t="s">
        <v>58</v>
      </c>
      <c r="D26" s="17"/>
      <c r="E26" s="17"/>
      <c r="F26" s="17"/>
      <c r="G26" s="17">
        <v>38500</v>
      </c>
      <c r="H26" s="17">
        <f>19000+8613</f>
        <v>27613</v>
      </c>
      <c r="I26" s="17">
        <v>39500</v>
      </c>
      <c r="J26" s="19"/>
      <c r="K26" s="19"/>
      <c r="L26" s="20"/>
      <c r="M26" s="20"/>
      <c r="N26" s="21">
        <f t="shared" si="2"/>
        <v>35204.333333333336</v>
      </c>
      <c r="O26" s="22"/>
    </row>
    <row r="27" spans="1:15" x14ac:dyDescent="0.2">
      <c r="A27" s="42" t="s">
        <v>67</v>
      </c>
      <c r="B27" s="28" t="s">
        <v>68</v>
      </c>
      <c r="C27" s="29" t="s">
        <v>69</v>
      </c>
      <c r="D27" s="17"/>
      <c r="E27" s="17"/>
      <c r="F27" s="17"/>
      <c r="G27" s="17">
        <v>298500</v>
      </c>
      <c r="H27" s="17">
        <v>268000</v>
      </c>
      <c r="I27" s="17">
        <v>272180</v>
      </c>
      <c r="J27" s="19"/>
      <c r="K27" s="19"/>
      <c r="L27" s="20"/>
      <c r="M27" s="20"/>
      <c r="N27" s="21">
        <f t="shared" si="2"/>
        <v>279560</v>
      </c>
      <c r="O27" s="22"/>
    </row>
    <row r="28" spans="1:15" x14ac:dyDescent="0.2">
      <c r="A28" s="42" t="s">
        <v>70</v>
      </c>
      <c r="B28" s="28" t="s">
        <v>71</v>
      </c>
      <c r="C28" s="43" t="s">
        <v>69</v>
      </c>
      <c r="D28" s="17"/>
      <c r="E28" s="17"/>
      <c r="F28" s="17"/>
      <c r="G28" s="17"/>
      <c r="H28" s="18">
        <v>259777</v>
      </c>
      <c r="I28" s="18">
        <v>220000</v>
      </c>
      <c r="J28" s="25"/>
      <c r="K28" s="19"/>
      <c r="L28" s="20"/>
      <c r="M28" s="20"/>
      <c r="N28" s="21">
        <f>(H28+I28)/2</f>
        <v>239888.5</v>
      </c>
      <c r="O28" s="22">
        <f>+N28/25</f>
        <v>9595.5400000000009</v>
      </c>
    </row>
    <row r="29" spans="1:15" x14ac:dyDescent="0.2">
      <c r="A29" s="42" t="s">
        <v>72</v>
      </c>
      <c r="B29" s="28" t="s">
        <v>73</v>
      </c>
      <c r="C29" s="43" t="s">
        <v>74</v>
      </c>
      <c r="D29" s="17"/>
      <c r="E29" s="17"/>
      <c r="F29" s="17"/>
      <c r="G29" s="17"/>
      <c r="H29" s="18">
        <v>31535</v>
      </c>
      <c r="I29" s="18"/>
      <c r="J29" s="25"/>
      <c r="K29" s="19"/>
      <c r="L29" s="20"/>
      <c r="M29" s="20"/>
      <c r="N29" s="21">
        <f>+H29</f>
        <v>31535</v>
      </c>
      <c r="O29" s="22"/>
    </row>
    <row r="30" spans="1:15" x14ac:dyDescent="0.2">
      <c r="A30" s="42" t="s">
        <v>75</v>
      </c>
      <c r="B30" s="28" t="s">
        <v>76</v>
      </c>
      <c r="C30" s="29" t="s">
        <v>49</v>
      </c>
      <c r="D30" s="17"/>
      <c r="E30" s="17"/>
      <c r="F30" s="17"/>
      <c r="G30" s="17">
        <v>8900</v>
      </c>
      <c r="H30" s="17">
        <v>7400</v>
      </c>
      <c r="I30" s="17">
        <v>8550</v>
      </c>
      <c r="J30" s="19"/>
      <c r="K30" s="19"/>
      <c r="L30" s="20"/>
      <c r="M30" s="20"/>
      <c r="N30" s="21">
        <f t="shared" si="2"/>
        <v>8283.3333333333339</v>
      </c>
      <c r="O30" s="22"/>
    </row>
    <row r="31" spans="1:15" x14ac:dyDescent="0.2">
      <c r="A31" s="42" t="s">
        <v>77</v>
      </c>
      <c r="B31" s="28" t="s">
        <v>78</v>
      </c>
      <c r="C31" s="29" t="s">
        <v>58</v>
      </c>
      <c r="D31" s="17"/>
      <c r="E31" s="17"/>
      <c r="F31" s="17"/>
      <c r="G31" s="17">
        <v>98500</v>
      </c>
      <c r="H31" s="17">
        <v>90800</v>
      </c>
      <c r="I31" s="17">
        <v>99500</v>
      </c>
      <c r="J31" s="19"/>
      <c r="K31" s="19"/>
      <c r="L31" s="20"/>
      <c r="M31" s="20"/>
      <c r="N31" s="21">
        <f t="shared" si="2"/>
        <v>96266.666666666672</v>
      </c>
      <c r="O31" s="22"/>
    </row>
    <row r="32" spans="1:15" x14ac:dyDescent="0.2">
      <c r="A32" s="42" t="s">
        <v>79</v>
      </c>
      <c r="B32" s="28" t="s">
        <v>80</v>
      </c>
      <c r="C32" s="29" t="s">
        <v>58</v>
      </c>
      <c r="D32" s="17"/>
      <c r="E32" s="17"/>
      <c r="F32" s="17"/>
      <c r="G32" s="17">
        <v>28500</v>
      </c>
      <c r="H32" s="17">
        <v>17500</v>
      </c>
      <c r="I32" s="17">
        <v>27900</v>
      </c>
      <c r="J32" s="19"/>
      <c r="K32" s="19"/>
      <c r="L32" s="20"/>
      <c r="M32" s="20"/>
      <c r="N32" s="21">
        <f t="shared" si="2"/>
        <v>24633.333333333332</v>
      </c>
      <c r="O32" s="22"/>
    </row>
    <row r="33" spans="1:15" x14ac:dyDescent="0.2">
      <c r="A33" s="42" t="s">
        <v>81</v>
      </c>
      <c r="B33" s="28" t="s">
        <v>82</v>
      </c>
      <c r="C33" s="29" t="s">
        <v>58</v>
      </c>
      <c r="D33" s="17"/>
      <c r="E33" s="17"/>
      <c r="F33" s="17"/>
      <c r="G33" s="17">
        <v>47600</v>
      </c>
      <c r="H33" s="17">
        <v>39100</v>
      </c>
      <c r="I33" s="17">
        <v>49200</v>
      </c>
      <c r="J33" s="19"/>
      <c r="K33" s="19"/>
      <c r="L33" s="20"/>
      <c r="M33" s="20"/>
      <c r="N33" s="21">
        <f t="shared" si="2"/>
        <v>45300</v>
      </c>
      <c r="O33" s="22"/>
    </row>
    <row r="34" spans="1:15" x14ac:dyDescent="0.2">
      <c r="A34" s="42" t="s">
        <v>83</v>
      </c>
      <c r="B34" s="28" t="s">
        <v>84</v>
      </c>
      <c r="C34" s="29" t="s">
        <v>58</v>
      </c>
      <c r="D34" s="17"/>
      <c r="E34" s="17"/>
      <c r="F34" s="17"/>
      <c r="G34" s="17">
        <v>14800</v>
      </c>
      <c r="H34" s="17"/>
      <c r="I34" s="17">
        <v>15500</v>
      </c>
      <c r="J34" s="19"/>
      <c r="K34" s="19"/>
      <c r="L34" s="20"/>
      <c r="M34" s="20"/>
      <c r="N34" s="21">
        <f>+(G34+H34+I34)/2</f>
        <v>15150</v>
      </c>
      <c r="O34" s="22"/>
    </row>
    <row r="35" spans="1:15" x14ac:dyDescent="0.2">
      <c r="A35" s="42" t="s">
        <v>85</v>
      </c>
      <c r="B35" s="28" t="s">
        <v>86</v>
      </c>
      <c r="C35" s="29" t="s">
        <v>58</v>
      </c>
      <c r="D35" s="17"/>
      <c r="E35" s="17"/>
      <c r="F35" s="17"/>
      <c r="G35" s="17">
        <v>430600</v>
      </c>
      <c r="H35" s="17">
        <v>378550</v>
      </c>
      <c r="I35" s="17">
        <v>445000</v>
      </c>
      <c r="J35" s="19"/>
      <c r="K35" s="19"/>
      <c r="L35" s="20"/>
      <c r="M35" s="20"/>
      <c r="N35" s="21">
        <f>+(G35+H35+I35)/3</f>
        <v>418050</v>
      </c>
      <c r="O35" s="22"/>
    </row>
    <row r="36" spans="1:15" x14ac:dyDescent="0.2">
      <c r="A36" s="361" t="s">
        <v>87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2"/>
      <c r="M36" s="12"/>
      <c r="N36" s="38"/>
      <c r="O36" s="22"/>
    </row>
    <row r="37" spans="1:15" x14ac:dyDescent="0.2">
      <c r="A37" s="44" t="s">
        <v>88</v>
      </c>
      <c r="B37" s="28" t="s">
        <v>89</v>
      </c>
      <c r="C37" s="29" t="s">
        <v>90</v>
      </c>
      <c r="D37" s="45">
        <v>60000</v>
      </c>
      <c r="E37" s="45">
        <v>75000</v>
      </c>
      <c r="F37" s="45">
        <v>68000</v>
      </c>
      <c r="G37" s="45"/>
      <c r="H37" s="45"/>
      <c r="I37" s="45"/>
      <c r="J37" s="46"/>
      <c r="K37" s="46"/>
      <c r="L37" s="20"/>
      <c r="M37" s="20"/>
      <c r="N37" s="21">
        <f t="shared" ref="N37:N43" si="3">+(D37+E37+F37)/3</f>
        <v>67666.666666666672</v>
      </c>
      <c r="O37" s="22"/>
    </row>
    <row r="38" spans="1:15" x14ac:dyDescent="0.2">
      <c r="A38" s="44" t="s">
        <v>91</v>
      </c>
      <c r="B38" s="28" t="s">
        <v>92</v>
      </c>
      <c r="C38" s="29" t="s">
        <v>90</v>
      </c>
      <c r="D38" s="45">
        <v>18000</v>
      </c>
      <c r="E38" s="45">
        <v>25000</v>
      </c>
      <c r="F38" s="45">
        <v>22000</v>
      </c>
      <c r="G38" s="45"/>
      <c r="H38" s="45"/>
      <c r="I38" s="45"/>
      <c r="J38" s="46"/>
      <c r="K38" s="46"/>
      <c r="L38" s="20"/>
      <c r="M38" s="20"/>
      <c r="N38" s="21">
        <f t="shared" si="3"/>
        <v>21666.666666666668</v>
      </c>
      <c r="O38" s="22"/>
    </row>
    <row r="39" spans="1:15" x14ac:dyDescent="0.2">
      <c r="A39" s="44" t="s">
        <v>91</v>
      </c>
      <c r="B39" s="28" t="s">
        <v>93</v>
      </c>
      <c r="C39" s="29" t="s">
        <v>94</v>
      </c>
      <c r="D39" s="45">
        <v>9000</v>
      </c>
      <c r="E39" s="45">
        <v>13000</v>
      </c>
      <c r="F39" s="45">
        <v>11000</v>
      </c>
      <c r="G39" s="45"/>
      <c r="H39" s="45"/>
      <c r="I39" s="45"/>
      <c r="J39" s="46"/>
      <c r="K39" s="46"/>
      <c r="L39" s="20"/>
      <c r="M39" s="20"/>
      <c r="N39" s="21">
        <f t="shared" si="3"/>
        <v>11000</v>
      </c>
      <c r="O39" s="22"/>
    </row>
    <row r="40" spans="1:15" ht="25.5" x14ac:dyDescent="0.2">
      <c r="A40" s="44" t="s">
        <v>95</v>
      </c>
      <c r="B40" s="47" t="s">
        <v>96</v>
      </c>
      <c r="C40" s="29" t="s">
        <v>58</v>
      </c>
      <c r="D40" s="45">
        <v>300</v>
      </c>
      <c r="E40" s="45">
        <v>1000</v>
      </c>
      <c r="F40" s="45">
        <v>360</v>
      </c>
      <c r="G40" s="45"/>
      <c r="H40" s="45"/>
      <c r="I40" s="45"/>
      <c r="J40" s="46"/>
      <c r="K40" s="46"/>
      <c r="L40" s="20"/>
      <c r="M40" s="20"/>
      <c r="N40" s="21">
        <f t="shared" si="3"/>
        <v>553.33333333333337</v>
      </c>
      <c r="O40" s="22"/>
    </row>
    <row r="41" spans="1:15" x14ac:dyDescent="0.2">
      <c r="A41" s="44" t="s">
        <v>97</v>
      </c>
      <c r="B41" s="28" t="s">
        <v>98</v>
      </c>
      <c r="C41" s="29" t="s">
        <v>58</v>
      </c>
      <c r="D41" s="45">
        <v>15000</v>
      </c>
      <c r="E41" s="45">
        <v>19000</v>
      </c>
      <c r="F41" s="45">
        <v>17000</v>
      </c>
      <c r="G41" s="45"/>
      <c r="H41" s="45"/>
      <c r="I41" s="45"/>
      <c r="J41" s="46"/>
      <c r="K41" s="46"/>
      <c r="L41" s="20"/>
      <c r="M41" s="20"/>
      <c r="N41" s="21">
        <f t="shared" si="3"/>
        <v>17000</v>
      </c>
      <c r="O41" s="22"/>
    </row>
    <row r="42" spans="1:15" x14ac:dyDescent="0.2">
      <c r="A42" s="44" t="s">
        <v>99</v>
      </c>
      <c r="B42" s="28" t="s">
        <v>100</v>
      </c>
      <c r="C42" s="29" t="s">
        <v>58</v>
      </c>
      <c r="D42" s="45">
        <v>30000</v>
      </c>
      <c r="E42" s="45">
        <v>48000</v>
      </c>
      <c r="F42" s="45">
        <v>43000</v>
      </c>
      <c r="G42" s="45"/>
      <c r="H42" s="45"/>
      <c r="I42" s="45"/>
      <c r="J42" s="46"/>
      <c r="K42" s="46"/>
      <c r="L42" s="20"/>
      <c r="M42" s="20"/>
      <c r="N42" s="21">
        <f t="shared" si="3"/>
        <v>40333.333333333336</v>
      </c>
      <c r="O42" s="22"/>
    </row>
    <row r="43" spans="1:15" ht="25.5" x14ac:dyDescent="0.2">
      <c r="A43" s="48" t="s">
        <v>101</v>
      </c>
      <c r="B43" s="15" t="s">
        <v>102</v>
      </c>
      <c r="C43" s="29" t="s">
        <v>58</v>
      </c>
      <c r="D43" s="45">
        <v>60000</v>
      </c>
      <c r="E43" s="45">
        <v>75000</v>
      </c>
      <c r="F43" s="45">
        <v>68000</v>
      </c>
      <c r="G43" s="45"/>
      <c r="H43" s="45"/>
      <c r="I43" s="45"/>
      <c r="J43" s="46"/>
      <c r="K43" s="46"/>
      <c r="L43" s="20"/>
      <c r="M43" s="20"/>
      <c r="N43" s="21">
        <f t="shared" si="3"/>
        <v>67666.666666666672</v>
      </c>
      <c r="O43" s="22"/>
    </row>
    <row r="44" spans="1:15" x14ac:dyDescent="0.2">
      <c r="A44" s="361" t="s">
        <v>103</v>
      </c>
      <c r="B44" s="363"/>
      <c r="C44" s="363"/>
      <c r="D44" s="363"/>
      <c r="E44" s="363"/>
      <c r="F44" s="363"/>
      <c r="G44" s="363"/>
      <c r="H44" s="363"/>
      <c r="I44" s="363"/>
      <c r="J44" s="363"/>
      <c r="K44" s="363"/>
      <c r="L44" s="362"/>
      <c r="M44" s="12"/>
      <c r="N44" s="38"/>
      <c r="O44" s="22"/>
    </row>
    <row r="45" spans="1:15" x14ac:dyDescent="0.2">
      <c r="A45" s="4"/>
      <c r="B45" s="5"/>
      <c r="C45" s="5"/>
      <c r="D45" s="39"/>
      <c r="E45" s="39"/>
      <c r="F45" s="39"/>
      <c r="G45" s="39"/>
      <c r="H45" s="39"/>
      <c r="I45" s="39"/>
      <c r="J45" s="40"/>
      <c r="K45" s="40"/>
      <c r="L45" s="49"/>
      <c r="M45" s="49"/>
      <c r="N45" s="38"/>
      <c r="O45" s="22"/>
    </row>
    <row r="46" spans="1:15" ht="38.25" x14ac:dyDescent="0.2">
      <c r="A46" s="50" t="s">
        <v>104</v>
      </c>
      <c r="B46" s="15" t="s">
        <v>105</v>
      </c>
      <c r="C46" s="29" t="s">
        <v>58</v>
      </c>
      <c r="D46" s="51"/>
      <c r="E46" s="52"/>
      <c r="F46" s="52"/>
      <c r="G46" s="52"/>
      <c r="H46" s="52"/>
      <c r="I46" s="52"/>
      <c r="J46" s="53">
        <v>45000</v>
      </c>
      <c r="K46" s="53">
        <v>44500</v>
      </c>
      <c r="L46" s="54">
        <v>46000</v>
      </c>
      <c r="M46" s="54"/>
      <c r="N46" s="21">
        <f>+(J46+K46+L46)/3</f>
        <v>45166.666666666664</v>
      </c>
      <c r="O46" s="22"/>
    </row>
    <row r="47" spans="1:15" x14ac:dyDescent="0.2">
      <c r="A47" s="50" t="s">
        <v>106</v>
      </c>
      <c r="B47" s="55" t="s">
        <v>107</v>
      </c>
      <c r="C47" s="29" t="s">
        <v>58</v>
      </c>
      <c r="D47" s="51"/>
      <c r="E47" s="52"/>
      <c r="F47" s="52"/>
      <c r="G47" s="52"/>
      <c r="H47" s="52"/>
      <c r="I47" s="52"/>
      <c r="J47" s="53">
        <v>30000</v>
      </c>
      <c r="K47" s="53">
        <v>29000</v>
      </c>
      <c r="L47" s="54">
        <v>29650</v>
      </c>
      <c r="M47" s="54"/>
      <c r="N47" s="21">
        <f>+(J47+K47+L47)/3</f>
        <v>29550</v>
      </c>
      <c r="O47" s="22"/>
    </row>
    <row r="48" spans="1:15" x14ac:dyDescent="0.2">
      <c r="A48" s="361" t="s">
        <v>108</v>
      </c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2"/>
      <c r="M48" s="12"/>
      <c r="N48" s="38"/>
      <c r="O48" s="22"/>
    </row>
    <row r="49" spans="1:15" x14ac:dyDescent="0.2">
      <c r="A49" s="361" t="s">
        <v>1</v>
      </c>
      <c r="B49" s="362"/>
      <c r="C49" s="6" t="s">
        <v>109</v>
      </c>
      <c r="D49" s="7"/>
      <c r="E49" s="56"/>
      <c r="F49" s="7"/>
      <c r="G49" s="7"/>
      <c r="H49" s="7"/>
      <c r="I49" s="7"/>
      <c r="J49" s="8"/>
      <c r="K49" s="8"/>
      <c r="L49" s="57"/>
      <c r="M49" s="57"/>
      <c r="N49" s="38"/>
      <c r="O49" s="22"/>
    </row>
    <row r="50" spans="1:15" ht="21.75" customHeight="1" x14ac:dyDescent="0.2">
      <c r="A50" s="58" t="s">
        <v>110</v>
      </c>
      <c r="B50" s="26" t="s">
        <v>111</v>
      </c>
      <c r="C50" s="59" t="s">
        <v>58</v>
      </c>
      <c r="D50" s="60"/>
      <c r="E50" s="61"/>
      <c r="F50" s="60"/>
      <c r="G50" s="62"/>
      <c r="H50" s="62"/>
      <c r="I50" s="62"/>
      <c r="J50" s="63">
        <v>5800</v>
      </c>
      <c r="K50" s="63">
        <v>5100</v>
      </c>
      <c r="L50" s="64">
        <v>5450</v>
      </c>
      <c r="M50" s="64"/>
      <c r="N50" s="65">
        <f>+(J50+K50+L50)/3</f>
        <v>5450</v>
      </c>
      <c r="O50" s="22"/>
    </row>
    <row r="51" spans="1:15" x14ac:dyDescent="0.2">
      <c r="A51" s="361" t="s">
        <v>112</v>
      </c>
      <c r="B51" s="363"/>
      <c r="C51" s="363"/>
      <c r="D51" s="363"/>
      <c r="E51" s="363"/>
      <c r="F51" s="363"/>
      <c r="G51" s="363"/>
      <c r="H51" s="363"/>
      <c r="I51" s="363"/>
      <c r="J51" s="363"/>
      <c r="K51" s="363"/>
      <c r="L51" s="362"/>
      <c r="M51" s="12"/>
      <c r="N51" s="38"/>
      <c r="O51" s="22"/>
    </row>
    <row r="52" spans="1:15" ht="268.5" thickBot="1" x14ac:dyDescent="0.25">
      <c r="A52" s="66" t="s">
        <v>113</v>
      </c>
      <c r="B52" s="67" t="s">
        <v>114</v>
      </c>
      <c r="C52" s="68" t="s">
        <v>58</v>
      </c>
      <c r="D52" s="69"/>
      <c r="E52" s="69"/>
      <c r="F52" s="69"/>
      <c r="G52" s="69">
        <v>6300000</v>
      </c>
      <c r="H52" s="69"/>
      <c r="I52" s="69">
        <v>6500000</v>
      </c>
      <c r="J52" s="70"/>
      <c r="K52" s="70"/>
      <c r="L52" s="71"/>
      <c r="M52" s="72">
        <v>10600000</v>
      </c>
      <c r="N52" s="73">
        <f>+(G52+I52+M52)/3</f>
        <v>7800000</v>
      </c>
      <c r="O52" s="22"/>
    </row>
    <row r="53" spans="1:15" ht="13.5" thickBot="1" x14ac:dyDescent="0.25"/>
    <row r="54" spans="1:15" ht="13.5" thickBot="1" x14ac:dyDescent="0.25">
      <c r="A54" s="75" t="s">
        <v>115</v>
      </c>
      <c r="B54" s="75" t="s">
        <v>116</v>
      </c>
      <c r="D54" s="3"/>
      <c r="E54" s="3"/>
    </row>
    <row r="55" spans="1:15" ht="13.5" thickBot="1" x14ac:dyDescent="0.25">
      <c r="A55" s="76" t="s">
        <v>117</v>
      </c>
      <c r="B55" s="77">
        <v>1423500</v>
      </c>
      <c r="D55" s="3"/>
      <c r="E55" s="3"/>
    </row>
    <row r="56" spans="1:15" ht="13.5" thickBot="1" x14ac:dyDescent="0.25">
      <c r="A56" s="78" t="s">
        <v>118</v>
      </c>
      <c r="B56" s="79">
        <v>162000</v>
      </c>
      <c r="D56" s="3"/>
      <c r="E56" s="3"/>
    </row>
    <row r="57" spans="1:15" ht="13.5" thickBot="1" x14ac:dyDescent="0.25">
      <c r="A57" s="78" t="s">
        <v>119</v>
      </c>
      <c r="B57" s="80">
        <f>+B55+B56</f>
        <v>1585500</v>
      </c>
      <c r="C57" s="81"/>
      <c r="D57" s="3"/>
      <c r="E57" s="3"/>
    </row>
    <row r="58" spans="1:15" x14ac:dyDescent="0.2">
      <c r="A58" s="78" t="s">
        <v>120</v>
      </c>
      <c r="B58" s="82">
        <f>+B55*8.5%</f>
        <v>120997.50000000001</v>
      </c>
      <c r="D58" s="3"/>
      <c r="E58" s="3"/>
    </row>
    <row r="59" spans="1:15" x14ac:dyDescent="0.2">
      <c r="A59" s="78" t="s">
        <v>121</v>
      </c>
      <c r="B59" s="83">
        <f>+B55*8%</f>
        <v>113880</v>
      </c>
      <c r="D59" s="3"/>
      <c r="E59" s="3"/>
    </row>
    <row r="60" spans="1:15" x14ac:dyDescent="0.2">
      <c r="A60" s="78" t="s">
        <v>122</v>
      </c>
      <c r="B60" s="83">
        <f>+B55*2.436%</f>
        <v>34676.46</v>
      </c>
      <c r="D60" s="3"/>
      <c r="E60" s="3"/>
    </row>
    <row r="61" spans="1:15" ht="13.5" thickBot="1" x14ac:dyDescent="0.25">
      <c r="A61" s="78" t="s">
        <v>123</v>
      </c>
      <c r="B61" s="84">
        <f>+B55*9%</f>
        <v>128115</v>
      </c>
      <c r="D61" s="3"/>
      <c r="E61" s="3"/>
    </row>
    <row r="62" spans="1:15" ht="13.5" thickBot="1" x14ac:dyDescent="0.25">
      <c r="A62" s="85"/>
      <c r="B62" s="86">
        <f>SUM(B57:B61)</f>
        <v>1983168.96</v>
      </c>
      <c r="C62" s="87"/>
      <c r="D62" s="3"/>
      <c r="E62" s="3"/>
    </row>
    <row r="63" spans="1:15" x14ac:dyDescent="0.2">
      <c r="A63" s="78" t="s">
        <v>124</v>
      </c>
      <c r="B63" s="82"/>
      <c r="D63" s="3"/>
      <c r="E63" s="3"/>
    </row>
    <row r="64" spans="1:15" x14ac:dyDescent="0.2">
      <c r="A64" s="78" t="s">
        <v>125</v>
      </c>
      <c r="B64" s="83">
        <f>+B57*8.3333%</f>
        <v>132124.47149999999</v>
      </c>
      <c r="D64" s="3"/>
      <c r="E64" s="3"/>
    </row>
    <row r="65" spans="1:5" x14ac:dyDescent="0.2">
      <c r="A65" s="78" t="s">
        <v>126</v>
      </c>
      <c r="B65" s="83">
        <f>+B57*8.3333%</f>
        <v>132124.47149999999</v>
      </c>
      <c r="D65" s="3"/>
      <c r="E65" s="3"/>
    </row>
    <row r="66" spans="1:5" x14ac:dyDescent="0.2">
      <c r="A66" s="78" t="s">
        <v>127</v>
      </c>
      <c r="B66" s="88">
        <f>+((B65*30)*0.12/360)*12</f>
        <v>15854.936579999998</v>
      </c>
      <c r="C66" s="89"/>
      <c r="D66" s="3"/>
      <c r="E66" s="3"/>
    </row>
    <row r="67" spans="1:5" ht="13.5" thickBot="1" x14ac:dyDescent="0.25">
      <c r="A67" s="78" t="s">
        <v>128</v>
      </c>
      <c r="B67" s="90">
        <f>+B55*4.17%</f>
        <v>59359.950000000004</v>
      </c>
      <c r="D67" s="3"/>
      <c r="E67" s="3"/>
    </row>
    <row r="68" spans="1:5" ht="13.5" thickBot="1" x14ac:dyDescent="0.25">
      <c r="A68" s="78" t="s">
        <v>129</v>
      </c>
      <c r="B68" s="91">
        <f>SUM(B64:B67)</f>
        <v>339463.82957999996</v>
      </c>
      <c r="D68" s="3"/>
      <c r="E68" s="92"/>
    </row>
    <row r="69" spans="1:5" ht="13.5" thickBot="1" x14ac:dyDescent="0.25">
      <c r="A69" s="78" t="s">
        <v>130</v>
      </c>
      <c r="B69" s="91">
        <f>+B62+B68</f>
        <v>2322632.7895800001</v>
      </c>
      <c r="C69" s="87"/>
      <c r="D69" s="3"/>
      <c r="E69" s="3"/>
    </row>
    <row r="70" spans="1:5" x14ac:dyDescent="0.2">
      <c r="A70" s="78" t="s">
        <v>131</v>
      </c>
      <c r="B70" s="93">
        <f>+B62/30</f>
        <v>66105.631999999998</v>
      </c>
      <c r="D70" s="3"/>
      <c r="E70" s="3"/>
    </row>
    <row r="71" spans="1:5" ht="13.5" thickBot="1" x14ac:dyDescent="0.25">
      <c r="A71" s="94" t="s">
        <v>132</v>
      </c>
      <c r="B71" s="95">
        <f>ROUND(B69/30,0)</f>
        <v>77421</v>
      </c>
      <c r="D71" s="3"/>
      <c r="E71" s="92"/>
    </row>
    <row r="72" spans="1:5" x14ac:dyDescent="0.2">
      <c r="D72" s="3"/>
      <c r="E72" s="3"/>
    </row>
  </sheetData>
  <mergeCells count="8">
    <mergeCell ref="A49:B49"/>
    <mergeCell ref="A51:L51"/>
    <mergeCell ref="A1:L1"/>
    <mergeCell ref="A3:L3"/>
    <mergeCell ref="A20:L20"/>
    <mergeCell ref="A36:L36"/>
    <mergeCell ref="A44:L44"/>
    <mergeCell ref="A48:L48"/>
  </mergeCells>
  <pageMargins left="0" right="0.31496062992125984" top="0.6692913385826772" bottom="0.6692913385826772" header="0.31496062992125984" footer="0.31496062992125984"/>
  <pageSetup scale="57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96"/>
  <sheetViews>
    <sheetView topLeftCell="A31" workbookViewId="0">
      <selection activeCell="B29" sqref="B29:G63"/>
    </sheetView>
  </sheetViews>
  <sheetFormatPr baseColWidth="10" defaultRowHeight="15" x14ac:dyDescent="0.25"/>
  <cols>
    <col min="2" max="2" width="38.5703125" customWidth="1"/>
    <col min="6" max="6" width="13" customWidth="1"/>
    <col min="7" max="7" width="13.5703125" customWidth="1"/>
    <col min="8" max="8" width="15.5703125" bestFit="1" customWidth="1"/>
    <col min="9" max="9" width="16.7109375" bestFit="1" customWidth="1"/>
    <col min="11" max="11" width="15.5703125" bestFit="1" customWidth="1"/>
  </cols>
  <sheetData>
    <row r="3" spans="2:7" x14ac:dyDescent="0.25">
      <c r="B3" s="369" t="s">
        <v>133</v>
      </c>
      <c r="C3" s="369"/>
      <c r="D3" s="369"/>
      <c r="E3" s="369"/>
      <c r="F3" s="369"/>
      <c r="G3" s="369"/>
    </row>
    <row r="4" spans="2:7" x14ac:dyDescent="0.25">
      <c r="B4" s="96" t="s">
        <v>134</v>
      </c>
      <c r="C4" s="370" t="s">
        <v>336</v>
      </c>
      <c r="D4" s="370"/>
      <c r="E4" s="370"/>
      <c r="F4" s="370"/>
      <c r="G4" s="370"/>
    </row>
    <row r="5" spans="2:7" x14ac:dyDescent="0.25">
      <c r="B5" s="96" t="s">
        <v>135</v>
      </c>
      <c r="C5" s="371" t="s">
        <v>136</v>
      </c>
      <c r="D5" s="371"/>
      <c r="E5" s="371"/>
      <c r="F5" s="371"/>
      <c r="G5" s="371"/>
    </row>
    <row r="6" spans="2:7" ht="25.5" customHeight="1" x14ac:dyDescent="0.25">
      <c r="B6" s="96" t="s">
        <v>137</v>
      </c>
      <c r="C6" s="372" t="s">
        <v>335</v>
      </c>
      <c r="D6" s="372"/>
      <c r="E6" s="372"/>
      <c r="F6" s="372"/>
      <c r="G6" s="372"/>
    </row>
    <row r="7" spans="2:7" x14ac:dyDescent="0.25">
      <c r="B7" s="97"/>
      <c r="C7" s="97"/>
      <c r="D7" s="97"/>
      <c r="E7" s="97"/>
      <c r="F7" s="97"/>
      <c r="G7" s="97"/>
    </row>
    <row r="8" spans="2:7" x14ac:dyDescent="0.25">
      <c r="B8" s="98" t="s">
        <v>138</v>
      </c>
      <c r="C8" s="99" t="s">
        <v>139</v>
      </c>
      <c r="D8" s="97"/>
      <c r="E8" s="100" t="s">
        <v>140</v>
      </c>
      <c r="F8" s="97"/>
      <c r="G8" s="97"/>
    </row>
    <row r="9" spans="2:7" x14ac:dyDescent="0.25">
      <c r="B9" s="3"/>
      <c r="C9" s="3"/>
      <c r="D9" s="3"/>
      <c r="E9" s="3"/>
      <c r="F9" s="3"/>
      <c r="G9" s="3"/>
    </row>
    <row r="10" spans="2:7" ht="16.5" customHeight="1" x14ac:dyDescent="0.25">
      <c r="B10" s="101" t="s">
        <v>141</v>
      </c>
      <c r="C10" s="102" t="s">
        <v>142</v>
      </c>
      <c r="D10" s="103"/>
      <c r="E10" s="104">
        <v>0</v>
      </c>
      <c r="F10" s="105"/>
      <c r="G10" s="106"/>
    </row>
    <row r="11" spans="2:7" ht="14.25" customHeight="1" x14ac:dyDescent="0.25">
      <c r="B11" s="107" t="s">
        <v>143</v>
      </c>
      <c r="C11" s="108" t="s">
        <v>144</v>
      </c>
      <c r="D11" s="103"/>
      <c r="E11" s="104">
        <v>0</v>
      </c>
      <c r="F11" s="105"/>
      <c r="G11" s="106"/>
    </row>
    <row r="12" spans="2:7" x14ac:dyDescent="0.25">
      <c r="B12" s="101" t="s">
        <v>145</v>
      </c>
      <c r="C12" s="102"/>
      <c r="D12" s="347">
        <v>11126</v>
      </c>
      <c r="E12" s="104">
        <f>'Estudio de Mercado'!N50</f>
        <v>5450</v>
      </c>
      <c r="F12" s="105"/>
      <c r="G12" s="106"/>
    </row>
    <row r="13" spans="2:7" ht="13.5" customHeight="1" x14ac:dyDescent="0.25">
      <c r="B13" s="109" t="s">
        <v>146</v>
      </c>
      <c r="C13" s="110">
        <v>0.15</v>
      </c>
      <c r="D13" s="111">
        <f>+D12*C13</f>
        <v>1668.8999999999999</v>
      </c>
      <c r="E13" s="104"/>
      <c r="F13" s="106"/>
      <c r="G13" s="106"/>
    </row>
    <row r="14" spans="2:7" ht="22.5" x14ac:dyDescent="0.25">
      <c r="B14" s="101" t="s">
        <v>147</v>
      </c>
      <c r="C14" s="112" t="s">
        <v>148</v>
      </c>
      <c r="D14" s="113" t="s">
        <v>149</v>
      </c>
      <c r="E14" s="114" t="s">
        <v>150</v>
      </c>
      <c r="F14" s="3"/>
      <c r="G14" s="3"/>
    </row>
    <row r="15" spans="2:7" ht="22.5" customHeight="1" x14ac:dyDescent="0.25">
      <c r="B15" s="101" t="s">
        <v>151</v>
      </c>
      <c r="C15" s="115" t="s">
        <v>152</v>
      </c>
      <c r="D15" s="116">
        <v>70</v>
      </c>
      <c r="E15" s="117">
        <f>'Estudio de Mercado'!O7</f>
        <v>3686.9565217391305</v>
      </c>
      <c r="F15" s="3"/>
      <c r="G15" s="3"/>
    </row>
    <row r="16" spans="2:7" ht="14.25" customHeight="1" x14ac:dyDescent="0.25">
      <c r="B16" s="101" t="s">
        <v>153</v>
      </c>
      <c r="C16" s="115" t="s">
        <v>154</v>
      </c>
      <c r="D16" s="116">
        <v>75</v>
      </c>
      <c r="E16" s="117">
        <f>'Estudio de Mercado'!O10</f>
        <v>3191.333333333333</v>
      </c>
      <c r="F16" s="3"/>
      <c r="G16" s="118"/>
    </row>
    <row r="17" spans="2:7" ht="15.75" customHeight="1" x14ac:dyDescent="0.25">
      <c r="B17" s="101" t="s">
        <v>155</v>
      </c>
      <c r="C17" s="119" t="s">
        <v>156</v>
      </c>
      <c r="D17" s="116">
        <v>400</v>
      </c>
      <c r="E17" s="117">
        <f>'Estudio de Mercado'!O4</f>
        <v>1359.136</v>
      </c>
      <c r="F17" s="3"/>
      <c r="G17" s="3"/>
    </row>
    <row r="18" spans="2:7" ht="15.75" customHeight="1" x14ac:dyDescent="0.25">
      <c r="B18" s="101" t="s">
        <v>151</v>
      </c>
      <c r="C18" s="119" t="s">
        <v>157</v>
      </c>
      <c r="D18" s="116">
        <v>75</v>
      </c>
      <c r="E18" s="117">
        <f>'Estudio de Mercado'!O6</f>
        <v>3627.8666666666668</v>
      </c>
      <c r="F18" s="3"/>
      <c r="G18" s="3"/>
    </row>
    <row r="19" spans="2:7" ht="15" customHeight="1" x14ac:dyDescent="0.25">
      <c r="B19" s="101" t="s">
        <v>158</v>
      </c>
      <c r="C19" s="119" t="s">
        <v>159</v>
      </c>
      <c r="D19" s="116">
        <v>4.5</v>
      </c>
      <c r="E19" s="117">
        <f>'Estudio de Mercado'!N17</f>
        <v>67850</v>
      </c>
      <c r="F19" s="3"/>
      <c r="G19" s="3"/>
    </row>
    <row r="20" spans="2:7" ht="15.75" customHeight="1" x14ac:dyDescent="0.25">
      <c r="B20" s="101" t="s">
        <v>160</v>
      </c>
      <c r="C20" s="119" t="s">
        <v>47</v>
      </c>
      <c r="D20" s="116">
        <v>60</v>
      </c>
      <c r="E20" s="117">
        <f>'Estudio de Mercado'!O16</f>
        <v>635.33333333333337</v>
      </c>
      <c r="F20" s="3"/>
      <c r="G20" s="3"/>
    </row>
    <row r="21" spans="2:7" ht="12.75" customHeight="1" x14ac:dyDescent="0.25">
      <c r="B21" s="107" t="s">
        <v>161</v>
      </c>
      <c r="C21" s="119" t="s">
        <v>42</v>
      </c>
      <c r="D21" s="116">
        <v>1</v>
      </c>
      <c r="E21" s="117">
        <f>'Estudio de Mercado'!N14</f>
        <v>70390</v>
      </c>
      <c r="F21" s="3"/>
      <c r="G21" s="3"/>
    </row>
    <row r="22" spans="2:7" ht="14.25" customHeight="1" x14ac:dyDescent="0.25">
      <c r="B22" s="107" t="s">
        <v>161</v>
      </c>
      <c r="C22" s="119" t="s">
        <v>162</v>
      </c>
      <c r="D22" s="116">
        <v>1</v>
      </c>
      <c r="E22" s="117">
        <f>'Estudio de Mercado'!N13</f>
        <v>36516.666666666664</v>
      </c>
      <c r="F22" s="3"/>
      <c r="G22" s="3"/>
    </row>
    <row r="23" spans="2:7" ht="33.75" customHeight="1" x14ac:dyDescent="0.25">
      <c r="B23" s="101" t="s">
        <v>163</v>
      </c>
      <c r="C23" s="115" t="s">
        <v>164</v>
      </c>
      <c r="D23" s="103" t="s">
        <v>165</v>
      </c>
      <c r="E23" s="117">
        <f>'Estudio de Mercado'!B71</f>
        <v>77421</v>
      </c>
      <c r="F23" s="118"/>
      <c r="G23" s="3"/>
    </row>
    <row r="24" spans="2:7" ht="15" customHeight="1" x14ac:dyDescent="0.25">
      <c r="B24" s="101" t="s">
        <v>321</v>
      </c>
      <c r="C24" s="115" t="s">
        <v>165</v>
      </c>
      <c r="D24" s="120">
        <v>0.05</v>
      </c>
      <c r="E24" s="121"/>
      <c r="F24" s="3"/>
      <c r="G24" s="3"/>
    </row>
    <row r="25" spans="2:7" ht="19.5" customHeight="1" x14ac:dyDescent="0.25">
      <c r="B25" s="101" t="s">
        <v>322</v>
      </c>
      <c r="C25" s="115" t="s">
        <v>165</v>
      </c>
      <c r="D25" s="120">
        <v>0.05</v>
      </c>
      <c r="E25" s="121"/>
      <c r="F25" s="3"/>
      <c r="G25" s="3"/>
    </row>
    <row r="26" spans="2:7" x14ac:dyDescent="0.25">
      <c r="B26" s="101" t="s">
        <v>166</v>
      </c>
      <c r="C26" s="115" t="s">
        <v>167</v>
      </c>
      <c r="D26" s="122">
        <v>85000</v>
      </c>
      <c r="E26" s="121"/>
      <c r="F26" s="3"/>
      <c r="G26" s="3"/>
    </row>
    <row r="27" spans="2:7" ht="22.5" x14ac:dyDescent="0.25">
      <c r="B27" s="101" t="s">
        <v>323</v>
      </c>
      <c r="C27" s="115" t="s">
        <v>165</v>
      </c>
      <c r="D27" s="123">
        <v>0.15</v>
      </c>
      <c r="E27" s="121"/>
      <c r="F27" s="3"/>
      <c r="G27" s="3"/>
    </row>
    <row r="28" spans="2:7" ht="15.75" thickBot="1" x14ac:dyDescent="0.3">
      <c r="B28" s="124"/>
      <c r="C28" s="3"/>
      <c r="D28" s="125"/>
      <c r="E28" s="126"/>
      <c r="F28" s="127"/>
      <c r="G28" s="128"/>
    </row>
    <row r="29" spans="2:7" x14ac:dyDescent="0.25">
      <c r="B29" s="373" t="s">
        <v>337</v>
      </c>
      <c r="C29" s="374"/>
      <c r="D29" s="375"/>
      <c r="E29" s="129"/>
      <c r="F29" s="129"/>
      <c r="G29" s="130"/>
    </row>
    <row r="30" spans="2:7" ht="30" customHeight="1" x14ac:dyDescent="0.25">
      <c r="B30" s="131" t="s">
        <v>168</v>
      </c>
      <c r="C30" s="132" t="s">
        <v>58</v>
      </c>
      <c r="D30" s="133" t="s">
        <v>169</v>
      </c>
      <c r="E30" s="133" t="s">
        <v>170</v>
      </c>
      <c r="F30" s="133" t="s">
        <v>171</v>
      </c>
      <c r="G30" s="134" t="s">
        <v>172</v>
      </c>
    </row>
    <row r="31" spans="2:7" x14ac:dyDescent="0.25">
      <c r="B31" s="135" t="s">
        <v>173</v>
      </c>
      <c r="C31" s="136"/>
      <c r="D31" s="137"/>
      <c r="E31" s="137"/>
      <c r="F31" s="137"/>
      <c r="G31" s="138"/>
    </row>
    <row r="32" spans="2:7" x14ac:dyDescent="0.25">
      <c r="B32" s="131" t="s">
        <v>174</v>
      </c>
      <c r="C32" s="132"/>
      <c r="D32" s="133"/>
      <c r="E32" s="133"/>
      <c r="F32" s="133"/>
      <c r="G32" s="134"/>
    </row>
    <row r="33" spans="2:8" x14ac:dyDescent="0.25">
      <c r="B33" s="139" t="s">
        <v>175</v>
      </c>
      <c r="C33" s="119" t="s">
        <v>176</v>
      </c>
      <c r="D33" s="140">
        <v>10000</v>
      </c>
      <c r="E33" s="141">
        <f t="shared" ref="E33:E38" si="0">+(($E$23*D69)/D33)</f>
        <v>77.421000000000006</v>
      </c>
      <c r="F33" s="142">
        <f>+D33*E33</f>
        <v>774210.00000000012</v>
      </c>
      <c r="G33" s="143">
        <f>+F33</f>
        <v>774210.00000000012</v>
      </c>
    </row>
    <row r="34" spans="2:8" x14ac:dyDescent="0.25">
      <c r="B34" s="139" t="s">
        <v>177</v>
      </c>
      <c r="C34" s="119" t="s">
        <v>178</v>
      </c>
      <c r="D34" s="144">
        <f>+$D$12</f>
        <v>11126</v>
      </c>
      <c r="E34" s="141">
        <f t="shared" si="0"/>
        <v>41.75139313320151</v>
      </c>
      <c r="F34" s="142">
        <f t="shared" ref="F34:F44" si="1">+D34*E34</f>
        <v>464526</v>
      </c>
      <c r="G34" s="143">
        <f>+F34</f>
        <v>464526</v>
      </c>
    </row>
    <row r="35" spans="2:8" x14ac:dyDescent="0.25">
      <c r="B35" s="145" t="s">
        <v>179</v>
      </c>
      <c r="C35" s="115" t="s">
        <v>180</v>
      </c>
      <c r="D35" s="144">
        <f>+$D$12</f>
        <v>11126</v>
      </c>
      <c r="E35" s="142">
        <f t="shared" si="0"/>
        <v>83.502786266403021</v>
      </c>
      <c r="F35" s="142">
        <f t="shared" si="1"/>
        <v>929052</v>
      </c>
      <c r="G35" s="143">
        <f>+F35*2</f>
        <v>1858104</v>
      </c>
    </row>
    <row r="36" spans="2:8" ht="14.25" customHeight="1" x14ac:dyDescent="0.25">
      <c r="B36" s="145" t="s">
        <v>181</v>
      </c>
      <c r="C36" s="115" t="s">
        <v>178</v>
      </c>
      <c r="D36" s="144">
        <f>+$D$12</f>
        <v>11126</v>
      </c>
      <c r="E36" s="142">
        <f t="shared" si="0"/>
        <v>97.419917310803527</v>
      </c>
      <c r="F36" s="142">
        <f t="shared" si="1"/>
        <v>1083894</v>
      </c>
      <c r="G36" s="143">
        <f>+F36</f>
        <v>1083894</v>
      </c>
    </row>
    <row r="37" spans="2:8" ht="14.25" customHeight="1" x14ac:dyDescent="0.25">
      <c r="B37" s="145" t="s">
        <v>182</v>
      </c>
      <c r="C37" s="115" t="s">
        <v>178</v>
      </c>
      <c r="D37" s="144">
        <f>+$D$12</f>
        <v>11126</v>
      </c>
      <c r="E37" s="142">
        <f t="shared" si="0"/>
        <v>42.564289278222184</v>
      </c>
      <c r="F37" s="142">
        <f t="shared" si="1"/>
        <v>473570.28250949999</v>
      </c>
      <c r="G37" s="143">
        <f>+F37</f>
        <v>473570.28250949999</v>
      </c>
    </row>
    <row r="38" spans="2:8" ht="14.25" customHeight="1" x14ac:dyDescent="0.25">
      <c r="B38" s="145" t="s">
        <v>183</v>
      </c>
      <c r="C38" s="115" t="s">
        <v>178</v>
      </c>
      <c r="D38" s="144">
        <f>+$D$12</f>
        <v>11126</v>
      </c>
      <c r="E38" s="141">
        <f t="shared" si="0"/>
        <v>41.75139313320151</v>
      </c>
      <c r="F38" s="142">
        <f t="shared" si="1"/>
        <v>464526</v>
      </c>
      <c r="G38" s="143">
        <f>+F38*2</f>
        <v>929052</v>
      </c>
    </row>
    <row r="39" spans="2:8" x14ac:dyDescent="0.25">
      <c r="B39" s="145" t="s">
        <v>215</v>
      </c>
      <c r="C39" s="115" t="s">
        <v>167</v>
      </c>
      <c r="D39" s="144">
        <f>+D75</f>
        <v>243.97566666666665</v>
      </c>
      <c r="E39" s="146">
        <f>+D26</f>
        <v>85000</v>
      </c>
      <c r="F39" s="142">
        <f t="shared" si="1"/>
        <v>20737931.666666664</v>
      </c>
      <c r="G39" s="143">
        <f>+F39</f>
        <v>20737931.666666664</v>
      </c>
    </row>
    <row r="40" spans="2:8" x14ac:dyDescent="0.25">
      <c r="B40" s="145" t="s">
        <v>184</v>
      </c>
      <c r="C40" s="115" t="s">
        <v>178</v>
      </c>
      <c r="D40" s="144">
        <f>+$D$12</f>
        <v>11126</v>
      </c>
      <c r="E40" s="141">
        <f>+(($E$23*D76)/D40)</f>
        <v>104.37848283300377</v>
      </c>
      <c r="F40" s="142">
        <f t="shared" si="1"/>
        <v>1161315</v>
      </c>
      <c r="G40" s="143">
        <f>+F40</f>
        <v>1161315</v>
      </c>
    </row>
    <row r="41" spans="2:8" x14ac:dyDescent="0.25">
      <c r="B41" s="145" t="s">
        <v>185</v>
      </c>
      <c r="C41" s="115" t="s">
        <v>178</v>
      </c>
      <c r="D41" s="144">
        <f>+$D$12</f>
        <v>11126</v>
      </c>
      <c r="E41" s="141">
        <f>+(($E$23*D77)/D41)</f>
        <v>41.75139313320151</v>
      </c>
      <c r="F41" s="142">
        <f t="shared" si="1"/>
        <v>464526</v>
      </c>
      <c r="G41" s="143">
        <f>+F41*2</f>
        <v>929052</v>
      </c>
    </row>
    <row r="42" spans="2:8" x14ac:dyDescent="0.25">
      <c r="B42" s="147" t="s">
        <v>186</v>
      </c>
      <c r="C42" s="115" t="s">
        <v>178</v>
      </c>
      <c r="D42" s="144">
        <f>D13</f>
        <v>1668.8999999999999</v>
      </c>
      <c r="E42" s="146">
        <f>+(($E$23*D78)/D42)</f>
        <v>463.90436814668351</v>
      </c>
      <c r="F42" s="142">
        <f t="shared" si="1"/>
        <v>774210</v>
      </c>
      <c r="G42" s="143">
        <f>+F42</f>
        <v>774210</v>
      </c>
    </row>
    <row r="43" spans="2:8" x14ac:dyDescent="0.25">
      <c r="B43" s="148" t="s">
        <v>187</v>
      </c>
      <c r="C43" s="115" t="s">
        <v>176</v>
      </c>
      <c r="D43" s="144">
        <v>10000</v>
      </c>
      <c r="E43" s="141">
        <f>+(($E$23*D79)/D43)</f>
        <v>76.646789999999996</v>
      </c>
      <c r="F43" s="142">
        <f t="shared" si="1"/>
        <v>766467.89999999991</v>
      </c>
      <c r="G43" s="143">
        <f>+F43*2</f>
        <v>1532935.7999999998</v>
      </c>
    </row>
    <row r="44" spans="2:8" x14ac:dyDescent="0.25">
      <c r="B44" s="148" t="s">
        <v>188</v>
      </c>
      <c r="C44" s="115" t="s">
        <v>189</v>
      </c>
      <c r="D44" s="140">
        <v>1000</v>
      </c>
      <c r="E44" s="141">
        <f>+(($E$23*D80)/D44)</f>
        <v>696.78899999999999</v>
      </c>
      <c r="F44" s="142">
        <f t="shared" si="1"/>
        <v>696789</v>
      </c>
      <c r="G44" s="143">
        <f>+F44*2</f>
        <v>1393578</v>
      </c>
      <c r="H44" s="344"/>
    </row>
    <row r="45" spans="2:8" x14ac:dyDescent="0.25">
      <c r="B45" s="149" t="s">
        <v>190</v>
      </c>
      <c r="C45" s="150"/>
      <c r="D45" s="151"/>
      <c r="E45" s="152"/>
      <c r="F45" s="153">
        <f>+SUM(F33:F44)</f>
        <v>28791017.849176161</v>
      </c>
      <c r="G45" s="154">
        <f>+SUM(G33:G44)</f>
        <v>32112378.749176163</v>
      </c>
    </row>
    <row r="46" spans="2:8" x14ac:dyDescent="0.25">
      <c r="B46" s="376" t="s">
        <v>191</v>
      </c>
      <c r="C46" s="377"/>
      <c r="D46" s="378"/>
      <c r="E46" s="377"/>
      <c r="F46" s="379"/>
      <c r="G46" s="155"/>
    </row>
    <row r="47" spans="2:8" ht="15" customHeight="1" x14ac:dyDescent="0.25">
      <c r="B47" s="145" t="s">
        <v>320</v>
      </c>
      <c r="C47" s="115" t="s">
        <v>192</v>
      </c>
      <c r="D47" s="140">
        <f>+D12+D13</f>
        <v>12794.9</v>
      </c>
      <c r="E47" s="142">
        <f>+E12</f>
        <v>5450</v>
      </c>
      <c r="F47" s="142">
        <f>+D47*E47</f>
        <v>69732205</v>
      </c>
      <c r="G47" s="143">
        <f>F47</f>
        <v>69732205</v>
      </c>
    </row>
    <row r="48" spans="2:8" ht="15" customHeight="1" x14ac:dyDescent="0.25">
      <c r="B48" s="145" t="s">
        <v>193</v>
      </c>
      <c r="C48" s="115" t="s">
        <v>194</v>
      </c>
      <c r="D48" s="156">
        <f>ROUNDUP((D47*D15)/1000,0)</f>
        <v>896</v>
      </c>
      <c r="E48" s="142">
        <f>+E15</f>
        <v>3686.9565217391305</v>
      </c>
      <c r="F48" s="142">
        <f t="shared" ref="F48:F55" si="2">+D48*E48</f>
        <v>3303513.0434782607</v>
      </c>
      <c r="G48" s="143">
        <f t="shared" ref="G48:G54" si="3">F48</f>
        <v>3303513.0434782607</v>
      </c>
      <c r="H48" s="344"/>
    </row>
    <row r="49" spans="2:10" x14ac:dyDescent="0.25">
      <c r="B49" s="145" t="s">
        <v>34</v>
      </c>
      <c r="C49" s="115" t="s">
        <v>194</v>
      </c>
      <c r="D49" s="156">
        <f>ROUNDUP(((D12+D13)*D16)/1000,0)</f>
        <v>960</v>
      </c>
      <c r="E49" s="142">
        <f>+E16</f>
        <v>3191.333333333333</v>
      </c>
      <c r="F49" s="142">
        <f t="shared" si="2"/>
        <v>3063679.9999999995</v>
      </c>
      <c r="G49" s="143">
        <f t="shared" si="3"/>
        <v>3063679.9999999995</v>
      </c>
    </row>
    <row r="50" spans="2:10" x14ac:dyDescent="0.25">
      <c r="B50" s="145" t="s">
        <v>156</v>
      </c>
      <c r="C50" s="115" t="s">
        <v>194</v>
      </c>
      <c r="D50" s="156">
        <f>ROUNDUP(((D12+D13)*D17)/1000,0)</f>
        <v>5118</v>
      </c>
      <c r="E50" s="141">
        <f>+E17</f>
        <v>1359.136</v>
      </c>
      <c r="F50" s="141">
        <f t="shared" si="2"/>
        <v>6956058.0479999995</v>
      </c>
      <c r="G50" s="143">
        <f t="shared" si="3"/>
        <v>6956058.0479999995</v>
      </c>
    </row>
    <row r="51" spans="2:10" x14ac:dyDescent="0.25">
      <c r="B51" s="145" t="s">
        <v>157</v>
      </c>
      <c r="C51" s="115" t="s">
        <v>194</v>
      </c>
      <c r="D51" s="156">
        <f>ROUNDUP(((D12+D13)*D18)/1000,0)</f>
        <v>960</v>
      </c>
      <c r="E51" s="141">
        <f>+E18</f>
        <v>3627.8666666666668</v>
      </c>
      <c r="F51" s="141">
        <f t="shared" si="2"/>
        <v>3482752</v>
      </c>
      <c r="G51" s="143">
        <f t="shared" si="3"/>
        <v>3482752</v>
      </c>
    </row>
    <row r="52" spans="2:10" x14ac:dyDescent="0.25">
      <c r="B52" s="145" t="s">
        <v>42</v>
      </c>
      <c r="C52" s="115" t="s">
        <v>39</v>
      </c>
      <c r="D52" s="156">
        <f>+D21</f>
        <v>1</v>
      </c>
      <c r="E52" s="141">
        <f>+E21</f>
        <v>70390</v>
      </c>
      <c r="F52" s="141">
        <f t="shared" si="2"/>
        <v>70390</v>
      </c>
      <c r="G52" s="143">
        <f t="shared" si="3"/>
        <v>70390</v>
      </c>
    </row>
    <row r="53" spans="2:10" x14ac:dyDescent="0.25">
      <c r="B53" s="145" t="s">
        <v>162</v>
      </c>
      <c r="C53" s="115" t="s">
        <v>39</v>
      </c>
      <c r="D53" s="156">
        <f>+D22</f>
        <v>1</v>
      </c>
      <c r="E53" s="141">
        <f>+E22</f>
        <v>36516.666666666664</v>
      </c>
      <c r="F53" s="142">
        <f t="shared" si="2"/>
        <v>36516.666666666664</v>
      </c>
      <c r="G53" s="143">
        <f t="shared" si="3"/>
        <v>36516.666666666664</v>
      </c>
    </row>
    <row r="54" spans="2:10" x14ac:dyDescent="0.25">
      <c r="B54" s="145" t="s">
        <v>195</v>
      </c>
      <c r="C54" s="115" t="s">
        <v>194</v>
      </c>
      <c r="D54" s="156">
        <f>ROUNDUP(((D12+D13)*D20)/1000,0)</f>
        <v>768</v>
      </c>
      <c r="E54" s="141">
        <f>+E20</f>
        <v>635.33333333333337</v>
      </c>
      <c r="F54" s="142">
        <f t="shared" si="2"/>
        <v>487936</v>
      </c>
      <c r="G54" s="143">
        <f t="shared" si="3"/>
        <v>487936</v>
      </c>
      <c r="I54" s="344"/>
    </row>
    <row r="55" spans="2:10" x14ac:dyDescent="0.25">
      <c r="B55" s="145" t="s">
        <v>159</v>
      </c>
      <c r="C55" s="115" t="s">
        <v>194</v>
      </c>
      <c r="D55" s="156">
        <f>ROUNDUP(((D12+D13)*D19)/1000,0)</f>
        <v>58</v>
      </c>
      <c r="E55" s="146">
        <f>+E19</f>
        <v>67850</v>
      </c>
      <c r="F55" s="146">
        <f t="shared" si="2"/>
        <v>3935300</v>
      </c>
      <c r="G55" s="143">
        <f>F55</f>
        <v>3935300</v>
      </c>
    </row>
    <row r="56" spans="2:10" x14ac:dyDescent="0.25">
      <c r="B56" s="376" t="s">
        <v>196</v>
      </c>
      <c r="C56" s="377"/>
      <c r="D56" s="377"/>
      <c r="E56" s="379"/>
      <c r="F56" s="157">
        <f>+SUM(F47:F55)</f>
        <v>91068350.75814493</v>
      </c>
      <c r="G56" s="158">
        <f>+SUM(G47:G55)</f>
        <v>91068350.75814493</v>
      </c>
    </row>
    <row r="57" spans="2:10" x14ac:dyDescent="0.25">
      <c r="B57" s="380" t="s">
        <v>197</v>
      </c>
      <c r="C57" s="381"/>
      <c r="D57" s="381"/>
      <c r="E57" s="382"/>
      <c r="F57" s="159">
        <f>+F45+F56</f>
        <v>119859368.60732108</v>
      </c>
      <c r="G57" s="160">
        <f>+G45+G56</f>
        <v>123180729.50732109</v>
      </c>
    </row>
    <row r="58" spans="2:10" ht="15.75" customHeight="1" x14ac:dyDescent="0.25">
      <c r="B58" s="161" t="s">
        <v>198</v>
      </c>
      <c r="C58" s="162"/>
      <c r="D58" s="162"/>
      <c r="E58" s="162"/>
      <c r="F58" s="163"/>
      <c r="G58" s="164"/>
    </row>
    <row r="59" spans="2:10" x14ac:dyDescent="0.25">
      <c r="B59" s="366" t="s">
        <v>325</v>
      </c>
      <c r="C59" s="367"/>
      <c r="D59" s="367"/>
      <c r="E59" s="368"/>
      <c r="F59" s="165">
        <f>ROUND($F$45*$D$24,0)</f>
        <v>1439551</v>
      </c>
      <c r="G59" s="143">
        <f>G45*D24</f>
        <v>1605618.9374588083</v>
      </c>
    </row>
    <row r="60" spans="2:10" x14ac:dyDescent="0.25">
      <c r="B60" s="366" t="s">
        <v>326</v>
      </c>
      <c r="C60" s="367"/>
      <c r="D60" s="367"/>
      <c r="E60" s="368"/>
      <c r="F60" s="165">
        <f>ROUND($F$45*$D$25,0)</f>
        <v>1439551</v>
      </c>
      <c r="G60" s="143">
        <f>G45*D25</f>
        <v>1605618.9374588083</v>
      </c>
      <c r="J60" s="166"/>
    </row>
    <row r="61" spans="2:10" x14ac:dyDescent="0.25">
      <c r="B61" s="366" t="s">
        <v>324</v>
      </c>
      <c r="C61" s="367"/>
      <c r="D61" s="367"/>
      <c r="E61" s="368"/>
      <c r="F61" s="167">
        <f>ROUNDUP(F56*D27,0)</f>
        <v>13660253</v>
      </c>
      <c r="G61" s="143">
        <f>G56*D27</f>
        <v>13660252.61372174</v>
      </c>
    </row>
    <row r="62" spans="2:10" x14ac:dyDescent="0.25">
      <c r="B62" s="383" t="s">
        <v>199</v>
      </c>
      <c r="C62" s="384"/>
      <c r="D62" s="384"/>
      <c r="E62" s="384"/>
      <c r="F62" s="168">
        <f>SUM(F59:F61)</f>
        <v>16539355</v>
      </c>
      <c r="G62" s="169">
        <f>SUM(G59:G61)</f>
        <v>16871490.488639355</v>
      </c>
      <c r="I62" s="333"/>
    </row>
    <row r="63" spans="2:10" x14ac:dyDescent="0.25">
      <c r="B63" s="385" t="s">
        <v>200</v>
      </c>
      <c r="C63" s="386"/>
      <c r="D63" s="170"/>
      <c r="E63" s="171"/>
      <c r="F63" s="168">
        <f>+F57+F62</f>
        <v>136398723.60732108</v>
      </c>
      <c r="G63" s="169">
        <f>+G57+G62</f>
        <v>140052219.99596044</v>
      </c>
      <c r="H63" s="333"/>
      <c r="I63" s="344"/>
    </row>
    <row r="64" spans="2:10" ht="15.75" thickBot="1" x14ac:dyDescent="0.3">
      <c r="B64" s="3"/>
      <c r="C64" s="3"/>
      <c r="D64" s="3"/>
      <c r="E64" s="3"/>
      <c r="F64" s="3"/>
      <c r="G64" s="3"/>
    </row>
    <row r="65" spans="2:10" ht="15.75" thickBot="1" x14ac:dyDescent="0.3">
      <c r="B65" s="387" t="s">
        <v>201</v>
      </c>
      <c r="C65" s="388"/>
      <c r="D65" s="388"/>
      <c r="E65" s="389"/>
      <c r="F65" s="3"/>
    </row>
    <row r="66" spans="2:10" ht="23.25" thickBot="1" x14ac:dyDescent="0.3">
      <c r="B66" s="390" t="s">
        <v>202</v>
      </c>
      <c r="C66" s="393" t="s">
        <v>3</v>
      </c>
      <c r="D66" s="396" t="s">
        <v>203</v>
      </c>
      <c r="E66" s="397"/>
      <c r="F66" s="3"/>
      <c r="G66" s="402" t="s">
        <v>204</v>
      </c>
      <c r="H66" s="403"/>
      <c r="I66" s="172">
        <v>1.5</v>
      </c>
      <c r="J66" s="173" t="s">
        <v>205</v>
      </c>
    </row>
    <row r="67" spans="2:10" ht="21.75" customHeight="1" thickBot="1" x14ac:dyDescent="0.3">
      <c r="B67" s="391"/>
      <c r="C67" s="394"/>
      <c r="D67" s="398"/>
      <c r="E67" s="399"/>
      <c r="F67" s="3"/>
      <c r="G67" s="402" t="s">
        <v>206</v>
      </c>
      <c r="H67" s="403"/>
      <c r="I67" s="174">
        <v>100</v>
      </c>
      <c r="J67" s="175"/>
    </row>
    <row r="68" spans="2:10" ht="15.75" thickBot="1" x14ac:dyDescent="0.3">
      <c r="B68" s="392"/>
      <c r="C68" s="395"/>
      <c r="D68" s="404" t="s">
        <v>207</v>
      </c>
      <c r="E68" s="405"/>
      <c r="F68" s="3"/>
      <c r="G68" s="176" t="s">
        <v>2</v>
      </c>
      <c r="H68" s="177" t="s">
        <v>208</v>
      </c>
      <c r="I68" s="178" t="s">
        <v>209</v>
      </c>
      <c r="J68" s="179" t="s">
        <v>210</v>
      </c>
    </row>
    <row r="69" spans="2:10" ht="14.25" customHeight="1" x14ac:dyDescent="0.25">
      <c r="B69" s="180" t="s">
        <v>175</v>
      </c>
      <c r="C69" s="181" t="s">
        <v>164</v>
      </c>
      <c r="D69" s="406">
        <v>10</v>
      </c>
      <c r="E69" s="407"/>
      <c r="F69" s="3"/>
      <c r="G69" s="182" t="s">
        <v>34</v>
      </c>
      <c r="H69" s="183">
        <f>+D49</f>
        <v>960</v>
      </c>
      <c r="I69" s="184">
        <f t="shared" ref="I69:I73" si="4">+H69/50</f>
        <v>19.2</v>
      </c>
      <c r="J69" s="185">
        <f>+I69/I66</f>
        <v>12.799999999999999</v>
      </c>
    </row>
    <row r="70" spans="2:10" ht="13.5" customHeight="1" x14ac:dyDescent="0.25">
      <c r="B70" s="145" t="s">
        <v>211</v>
      </c>
      <c r="C70" s="115" t="s">
        <v>164</v>
      </c>
      <c r="D70" s="400">
        <v>6</v>
      </c>
      <c r="E70" s="401"/>
      <c r="F70" s="3"/>
      <c r="G70" s="182" t="s">
        <v>156</v>
      </c>
      <c r="H70" s="183">
        <f>+D50</f>
        <v>5118</v>
      </c>
      <c r="I70" s="184">
        <f t="shared" si="4"/>
        <v>102.36</v>
      </c>
      <c r="J70" s="185">
        <f>+I70/I66</f>
        <v>68.239999999999995</v>
      </c>
    </row>
    <row r="71" spans="2:10" ht="12" customHeight="1" x14ac:dyDescent="0.25">
      <c r="B71" s="145" t="s">
        <v>180</v>
      </c>
      <c r="C71" s="115" t="s">
        <v>164</v>
      </c>
      <c r="D71" s="400">
        <v>12</v>
      </c>
      <c r="E71" s="401"/>
      <c r="F71" s="3"/>
      <c r="G71" s="182" t="s">
        <v>157</v>
      </c>
      <c r="H71" s="183">
        <f>+D51</f>
        <v>960</v>
      </c>
      <c r="I71" s="184">
        <f t="shared" si="4"/>
        <v>19.2</v>
      </c>
      <c r="J71" s="185">
        <f>+I71/I66</f>
        <v>12.799999999999999</v>
      </c>
    </row>
    <row r="72" spans="2:10" ht="22.5" x14ac:dyDescent="0.25">
      <c r="B72" s="145" t="s">
        <v>181</v>
      </c>
      <c r="C72" s="115" t="s">
        <v>164</v>
      </c>
      <c r="D72" s="400">
        <v>14</v>
      </c>
      <c r="E72" s="401"/>
      <c r="F72" s="3"/>
      <c r="G72" s="186" t="s">
        <v>212</v>
      </c>
      <c r="H72" s="187">
        <f>+D48</f>
        <v>896</v>
      </c>
      <c r="I72" s="184">
        <f>+H72/50</f>
        <v>17.920000000000002</v>
      </c>
      <c r="J72" s="185">
        <f>+I72/I66</f>
        <v>11.946666666666667</v>
      </c>
    </row>
    <row r="73" spans="2:10" ht="13.5" customHeight="1" x14ac:dyDescent="0.25">
      <c r="B73" s="145" t="s">
        <v>182</v>
      </c>
      <c r="C73" s="115" t="s">
        <v>164</v>
      </c>
      <c r="D73" s="400">
        <v>6.1168195000000001</v>
      </c>
      <c r="E73" s="401"/>
      <c r="F73" s="3"/>
      <c r="G73" s="182" t="s">
        <v>213</v>
      </c>
      <c r="H73" s="183">
        <f>+D54</f>
        <v>768</v>
      </c>
      <c r="I73" s="184">
        <f t="shared" si="4"/>
        <v>15.36</v>
      </c>
      <c r="J73" s="185">
        <f>+I73/I66</f>
        <v>10.24</v>
      </c>
    </row>
    <row r="74" spans="2:10" ht="12.75" customHeight="1" thickBot="1" x14ac:dyDescent="0.3">
      <c r="B74" s="145" t="s">
        <v>214</v>
      </c>
      <c r="C74" s="115" t="s">
        <v>164</v>
      </c>
      <c r="D74" s="400">
        <v>6</v>
      </c>
      <c r="E74" s="401"/>
      <c r="F74" s="3"/>
      <c r="G74" s="188" t="s">
        <v>192</v>
      </c>
      <c r="H74" s="189"/>
      <c r="I74" s="190"/>
      <c r="J74" s="185">
        <f>+D47/I67</f>
        <v>127.949</v>
      </c>
    </row>
    <row r="75" spans="2:10" ht="15" customHeight="1" thickBot="1" x14ac:dyDescent="0.3">
      <c r="B75" s="145" t="s">
        <v>215</v>
      </c>
      <c r="C75" s="115" t="s">
        <v>167</v>
      </c>
      <c r="D75" s="408">
        <f>J76</f>
        <v>243.97566666666665</v>
      </c>
      <c r="E75" s="409"/>
      <c r="F75" s="3"/>
      <c r="G75" s="188" t="str">
        <f>B55</f>
        <v>Hidroretenedor</v>
      </c>
      <c r="H75" s="189">
        <f>D55</f>
        <v>58</v>
      </c>
      <c r="I75" s="190"/>
      <c r="J75" s="346"/>
    </row>
    <row r="76" spans="2:10" ht="12" customHeight="1" thickBot="1" x14ac:dyDescent="0.3">
      <c r="B76" s="145" t="s">
        <v>184</v>
      </c>
      <c r="C76" s="115" t="s">
        <v>164</v>
      </c>
      <c r="D76" s="400">
        <v>15</v>
      </c>
      <c r="E76" s="401"/>
      <c r="F76" s="3"/>
      <c r="G76" s="191" t="s">
        <v>216</v>
      </c>
      <c r="H76" s="192"/>
      <c r="I76" s="193">
        <f>SUM(I69:I74)</f>
        <v>174.04000000000002</v>
      </c>
      <c r="J76" s="345">
        <f>SUM(J69:J74)</f>
        <v>243.97566666666665</v>
      </c>
    </row>
    <row r="77" spans="2:10" ht="13.5" customHeight="1" x14ac:dyDescent="0.25">
      <c r="B77" s="145" t="s">
        <v>217</v>
      </c>
      <c r="C77" s="115" t="s">
        <v>164</v>
      </c>
      <c r="D77" s="400">
        <v>6</v>
      </c>
      <c r="E77" s="401"/>
      <c r="F77" s="3"/>
      <c r="G77" s="3"/>
      <c r="I77" s="194"/>
    </row>
    <row r="78" spans="2:10" ht="13.5" customHeight="1" x14ac:dyDescent="0.25">
      <c r="B78" s="145" t="s">
        <v>218</v>
      </c>
      <c r="C78" s="115" t="s">
        <v>164</v>
      </c>
      <c r="D78" s="400">
        <v>10</v>
      </c>
      <c r="E78" s="401"/>
      <c r="F78" s="3"/>
      <c r="G78" s="74"/>
    </row>
    <row r="79" spans="2:10" x14ac:dyDescent="0.25">
      <c r="B79" s="145" t="s">
        <v>219</v>
      </c>
      <c r="C79" s="115" t="s">
        <v>164</v>
      </c>
      <c r="D79" s="400">
        <v>9.9</v>
      </c>
      <c r="E79" s="401"/>
      <c r="F79" s="3"/>
      <c r="G79" s="3"/>
    </row>
    <row r="80" spans="2:10" ht="14.25" customHeight="1" x14ac:dyDescent="0.25">
      <c r="B80" s="195" t="s">
        <v>220</v>
      </c>
      <c r="C80" s="196" t="s">
        <v>164</v>
      </c>
      <c r="D80" s="410">
        <v>9</v>
      </c>
      <c r="E80" s="411"/>
      <c r="F80" s="3"/>
      <c r="G80" s="3"/>
    </row>
    <row r="81" spans="2:7" ht="15.75" thickBot="1" x14ac:dyDescent="0.3">
      <c r="B81" s="197" t="s">
        <v>221</v>
      </c>
      <c r="C81" s="198"/>
      <c r="D81" s="412">
        <f>D69+D70+D71+D72+D74+D73+D76+D77+D78+D79+D80</f>
        <v>104.0168195</v>
      </c>
      <c r="E81" s="413"/>
      <c r="F81" s="3"/>
      <c r="G81" s="3"/>
    </row>
    <row r="82" spans="2:7" x14ac:dyDescent="0.25">
      <c r="B82" s="3"/>
      <c r="C82" s="199"/>
      <c r="D82" s="414"/>
      <c r="E82" s="414"/>
      <c r="F82" s="3"/>
      <c r="G82" s="3"/>
    </row>
    <row r="83" spans="2:7" x14ac:dyDescent="0.25">
      <c r="B83" s="3"/>
      <c r="C83" s="3"/>
      <c r="D83" s="3"/>
      <c r="E83" s="3"/>
      <c r="F83" s="3"/>
      <c r="G83" s="3"/>
    </row>
    <row r="84" spans="2:7" ht="15.75" thickBot="1" x14ac:dyDescent="0.3">
      <c r="B84" s="3"/>
      <c r="C84" s="3"/>
      <c r="D84" s="3"/>
      <c r="E84" s="3"/>
      <c r="F84" s="3"/>
      <c r="G84" s="3"/>
    </row>
    <row r="85" spans="2:7" ht="15.75" thickBot="1" x14ac:dyDescent="0.3">
      <c r="B85" s="341" t="s">
        <v>222</v>
      </c>
      <c r="C85" s="342"/>
      <c r="D85" s="342"/>
      <c r="E85" s="342"/>
      <c r="F85" s="342"/>
      <c r="G85" s="343"/>
    </row>
    <row r="86" spans="2:7" ht="15.75" thickBot="1" x14ac:dyDescent="0.3">
      <c r="B86" s="338" t="s">
        <v>223</v>
      </c>
      <c r="C86" s="339"/>
      <c r="D86" s="339"/>
      <c r="E86" s="339"/>
      <c r="F86" s="339"/>
      <c r="G86" s="340"/>
    </row>
    <row r="87" spans="2:7" x14ac:dyDescent="0.25">
      <c r="B87" s="200"/>
      <c r="C87" s="201"/>
      <c r="D87" s="201"/>
      <c r="E87" s="201"/>
      <c r="F87" s="201"/>
      <c r="G87" s="202"/>
    </row>
    <row r="88" spans="2:7" x14ac:dyDescent="0.25">
      <c r="B88" s="200"/>
      <c r="C88" s="201"/>
      <c r="D88" s="201"/>
      <c r="E88" s="201"/>
      <c r="F88" s="201"/>
      <c r="G88" s="202"/>
    </row>
    <row r="89" spans="2:7" x14ac:dyDescent="0.25">
      <c r="B89" s="200"/>
      <c r="C89" s="201"/>
      <c r="D89" s="201"/>
      <c r="E89" s="201"/>
      <c r="F89" s="201"/>
      <c r="G89" s="202"/>
    </row>
    <row r="90" spans="2:7" ht="15.75" thickBot="1" x14ac:dyDescent="0.3">
      <c r="B90" s="203"/>
      <c r="C90" s="204"/>
      <c r="D90" s="204"/>
      <c r="E90" s="204"/>
      <c r="F90" s="204"/>
      <c r="G90" s="205"/>
    </row>
    <row r="91" spans="2:7" ht="15.75" thickBot="1" x14ac:dyDescent="0.3">
      <c r="B91" s="341" t="s">
        <v>222</v>
      </c>
      <c r="C91" s="342"/>
      <c r="D91" s="342"/>
      <c r="E91" s="342"/>
      <c r="F91" s="342"/>
      <c r="G91" s="343"/>
    </row>
    <row r="92" spans="2:7" ht="15.75" thickBot="1" x14ac:dyDescent="0.3">
      <c r="B92" s="338" t="s">
        <v>223</v>
      </c>
      <c r="C92" s="339"/>
      <c r="D92" s="339"/>
      <c r="E92" s="339"/>
      <c r="F92" s="339"/>
      <c r="G92" s="340"/>
    </row>
    <row r="93" spans="2:7" x14ac:dyDescent="0.25">
      <c r="B93" s="200"/>
      <c r="C93" s="201"/>
      <c r="D93" s="201"/>
      <c r="E93" s="201"/>
      <c r="F93" s="201"/>
      <c r="G93" s="202"/>
    </row>
    <row r="94" spans="2:7" x14ac:dyDescent="0.25">
      <c r="B94" s="200"/>
      <c r="C94" s="201"/>
      <c r="D94" s="201"/>
      <c r="E94" s="201"/>
      <c r="F94" s="201"/>
      <c r="G94" s="202"/>
    </row>
    <row r="95" spans="2:7" x14ac:dyDescent="0.25">
      <c r="B95" s="200"/>
      <c r="C95" s="201"/>
      <c r="D95" s="201"/>
      <c r="E95" s="201"/>
      <c r="F95" s="201"/>
      <c r="G95" s="202"/>
    </row>
    <row r="96" spans="2:7" ht="15.75" thickBot="1" x14ac:dyDescent="0.3">
      <c r="B96" s="203"/>
      <c r="C96" s="204"/>
      <c r="D96" s="204"/>
      <c r="E96" s="204"/>
      <c r="F96" s="204"/>
      <c r="G96" s="205"/>
    </row>
  </sheetData>
  <mergeCells count="34">
    <mergeCell ref="D78:E78"/>
    <mergeCell ref="D79:E79"/>
    <mergeCell ref="D80:E80"/>
    <mergeCell ref="D81:E81"/>
    <mergeCell ref="D82:E82"/>
    <mergeCell ref="D77:E77"/>
    <mergeCell ref="G66:H66"/>
    <mergeCell ref="G67:H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B62:E62"/>
    <mergeCell ref="B63:C63"/>
    <mergeCell ref="B65:E65"/>
    <mergeCell ref="B66:B68"/>
    <mergeCell ref="C66:C68"/>
    <mergeCell ref="D66:E67"/>
    <mergeCell ref="B61:E61"/>
    <mergeCell ref="B3:G3"/>
    <mergeCell ref="C4:G4"/>
    <mergeCell ref="C5:G5"/>
    <mergeCell ref="C6:G6"/>
    <mergeCell ref="B29:D29"/>
    <mergeCell ref="B46:F46"/>
    <mergeCell ref="B56:E56"/>
    <mergeCell ref="B57:E57"/>
    <mergeCell ref="B59:E59"/>
    <mergeCell ref="B60:E60"/>
  </mergeCells>
  <conditionalFormatting sqref="F62:G63">
    <cfRule type="cellIs" dxfId="7" priority="5" stopIfTrue="1" operator="greaterThan">
      <formula>0</formula>
    </cfRule>
  </conditionalFormatting>
  <pageMargins left="0.7" right="0.7" top="0.75" bottom="0.75" header="0.3" footer="0.3"/>
  <pageSetup orientation="portrait" r:id="rId1"/>
  <ignoredErrors>
    <ignoredError sqref="D39:E3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L82"/>
  <sheetViews>
    <sheetView topLeftCell="A27" workbookViewId="0">
      <selection activeCell="I48" sqref="I48"/>
    </sheetView>
  </sheetViews>
  <sheetFormatPr baseColWidth="10" defaultRowHeight="15" x14ac:dyDescent="0.25"/>
  <cols>
    <col min="1" max="1" width="7.7109375" customWidth="1"/>
    <col min="2" max="2" width="34.28515625" customWidth="1"/>
    <col min="5" max="5" width="13.5703125" customWidth="1"/>
    <col min="6" max="6" width="15" customWidth="1"/>
    <col min="7" max="7" width="23.42578125" bestFit="1" customWidth="1"/>
    <col min="8" max="8" width="15.5703125" bestFit="1" customWidth="1"/>
    <col min="9" max="9" width="16.7109375" bestFit="1" customWidth="1"/>
    <col min="11" max="12" width="16.7109375" bestFit="1" customWidth="1"/>
  </cols>
  <sheetData>
    <row r="3" spans="2:7" x14ac:dyDescent="0.25">
      <c r="B3" s="369" t="s">
        <v>224</v>
      </c>
      <c r="C3" s="369"/>
      <c r="D3" s="369"/>
      <c r="E3" s="369"/>
      <c r="F3" s="369"/>
      <c r="G3" s="369"/>
    </row>
    <row r="4" spans="2:7" x14ac:dyDescent="0.25">
      <c r="B4" s="96" t="s">
        <v>134</v>
      </c>
      <c r="C4" s="370" t="s">
        <v>319</v>
      </c>
      <c r="D4" s="370"/>
      <c r="E4" s="370"/>
      <c r="F4" s="370"/>
      <c r="G4" s="370"/>
    </row>
    <row r="5" spans="2:7" x14ac:dyDescent="0.25">
      <c r="B5" s="96" t="s">
        <v>135</v>
      </c>
      <c r="C5" s="371" t="s">
        <v>136</v>
      </c>
      <c r="D5" s="371"/>
      <c r="E5" s="371"/>
      <c r="F5" s="371"/>
      <c r="G5" s="371"/>
    </row>
    <row r="6" spans="2:7" ht="24" customHeight="1" x14ac:dyDescent="0.25">
      <c r="B6" s="96" t="s">
        <v>137</v>
      </c>
      <c r="C6" s="372" t="s">
        <v>335</v>
      </c>
      <c r="D6" s="372"/>
      <c r="E6" s="372"/>
      <c r="F6" s="372"/>
      <c r="G6" s="372"/>
    </row>
    <row r="8" spans="2:7" ht="24" customHeight="1" x14ac:dyDescent="0.25">
      <c r="B8" s="206" t="s">
        <v>225</v>
      </c>
      <c r="C8" s="207">
        <v>0</v>
      </c>
      <c r="D8" s="420" t="s">
        <v>226</v>
      </c>
      <c r="E8" s="421"/>
      <c r="F8" s="208"/>
    </row>
    <row r="9" spans="2:7" ht="15.75" thickBot="1" x14ac:dyDescent="0.3">
      <c r="B9" s="209"/>
      <c r="C9" s="208"/>
      <c r="D9" s="208"/>
      <c r="E9" s="208"/>
      <c r="F9" s="208"/>
    </row>
    <row r="10" spans="2:7" ht="23.25" thickBot="1" x14ac:dyDescent="0.3">
      <c r="B10" s="210" t="s">
        <v>227</v>
      </c>
      <c r="C10" s="211"/>
      <c r="D10" s="212" t="s">
        <v>228</v>
      </c>
      <c r="E10" s="422" t="s">
        <v>229</v>
      </c>
      <c r="F10" s="423"/>
      <c r="G10" s="424"/>
    </row>
    <row r="11" spans="2:7" x14ac:dyDescent="0.25">
      <c r="B11" s="213" t="s">
        <v>230</v>
      </c>
      <c r="C11" s="214">
        <v>400</v>
      </c>
      <c r="D11" s="215">
        <f>'Estudio de Mercado'!N46</f>
        <v>45166.666666666664</v>
      </c>
      <c r="E11" s="425" t="s">
        <v>231</v>
      </c>
      <c r="F11" s="426"/>
      <c r="G11" s="216" t="s">
        <v>232</v>
      </c>
    </row>
    <row r="12" spans="2:7" x14ac:dyDescent="0.25">
      <c r="B12" s="217" t="s">
        <v>233</v>
      </c>
      <c r="C12" s="218">
        <v>47</v>
      </c>
      <c r="D12" s="219">
        <f>'Estudio de Mercado'!N47</f>
        <v>29550</v>
      </c>
      <c r="E12" s="427" t="s">
        <v>234</v>
      </c>
      <c r="F12" s="428"/>
      <c r="G12" s="220" t="s">
        <v>235</v>
      </c>
    </row>
    <row r="13" spans="2:7" x14ac:dyDescent="0.25">
      <c r="B13" s="217" t="s">
        <v>236</v>
      </c>
      <c r="C13" s="221">
        <f>+C11*5%</f>
        <v>20</v>
      </c>
      <c r="D13" s="219">
        <f>+'[1]Estudio de Mercado'!N47</f>
        <v>29333.333333333332</v>
      </c>
      <c r="E13" s="418" t="s">
        <v>237</v>
      </c>
      <c r="F13" s="419"/>
      <c r="G13" s="222">
        <v>10</v>
      </c>
    </row>
    <row r="14" spans="2:7" x14ac:dyDescent="0.25">
      <c r="B14" s="217" t="s">
        <v>238</v>
      </c>
      <c r="C14" s="223">
        <v>9</v>
      </c>
      <c r="D14" s="219">
        <f>'Estudio de Mercado'!N27</f>
        <v>279560</v>
      </c>
      <c r="E14" s="418" t="s">
        <v>239</v>
      </c>
      <c r="F14" s="419"/>
      <c r="G14" s="222">
        <v>16</v>
      </c>
    </row>
    <row r="15" spans="2:7" x14ac:dyDescent="0.25">
      <c r="B15" s="217" t="s">
        <v>240</v>
      </c>
      <c r="C15" s="223">
        <v>42</v>
      </c>
      <c r="D15" s="224">
        <f>+'[1]Estudio de Mercado'!O28</f>
        <v>10391.08</v>
      </c>
      <c r="E15" s="418" t="s">
        <v>241</v>
      </c>
      <c r="F15" s="419"/>
      <c r="G15" s="225">
        <v>2.5</v>
      </c>
    </row>
    <row r="16" spans="2:7" x14ac:dyDescent="0.25">
      <c r="B16" s="217" t="s">
        <v>242</v>
      </c>
      <c r="C16" s="226">
        <v>7.5</v>
      </c>
      <c r="D16" s="219">
        <f>+'[1]Estudio de Mercado'!N30</f>
        <v>8283.3333333333339</v>
      </c>
      <c r="E16" s="418" t="s">
        <v>243</v>
      </c>
      <c r="F16" s="419"/>
      <c r="G16" s="225">
        <v>20</v>
      </c>
    </row>
    <row r="17" spans="2:7" ht="24" customHeight="1" x14ac:dyDescent="0.25">
      <c r="B17" s="227" t="s">
        <v>244</v>
      </c>
      <c r="C17" s="226">
        <v>4.5</v>
      </c>
      <c r="D17" s="219">
        <f>+'[1]Estudio de Mercado'!H29</f>
        <v>31535</v>
      </c>
      <c r="E17" s="418" t="s">
        <v>245</v>
      </c>
      <c r="F17" s="419"/>
      <c r="G17" s="225">
        <v>12.5</v>
      </c>
    </row>
    <row r="18" spans="2:7" x14ac:dyDescent="0.25">
      <c r="B18" s="217" t="s">
        <v>246</v>
      </c>
      <c r="C18" s="223">
        <v>1</v>
      </c>
      <c r="D18" s="219">
        <f>+'[1]Estudio de Mercado'!N18</f>
        <v>49050</v>
      </c>
      <c r="E18" s="418" t="s">
        <v>247</v>
      </c>
      <c r="F18" s="419"/>
      <c r="G18" s="225">
        <v>12.5</v>
      </c>
    </row>
    <row r="19" spans="2:7" x14ac:dyDescent="0.25">
      <c r="B19" s="217" t="s">
        <v>248</v>
      </c>
      <c r="C19" s="223">
        <v>1</v>
      </c>
      <c r="D19" s="219">
        <f>+'[1]Estudio de Mercado'!N19</f>
        <v>39050</v>
      </c>
      <c r="E19" s="418" t="s">
        <v>249</v>
      </c>
      <c r="F19" s="419"/>
      <c r="G19" s="225">
        <v>27</v>
      </c>
    </row>
    <row r="20" spans="2:7" x14ac:dyDescent="0.25">
      <c r="B20" s="217" t="s">
        <v>250</v>
      </c>
      <c r="C20" s="223"/>
      <c r="D20" s="224">
        <v>85000</v>
      </c>
      <c r="E20" s="418" t="s">
        <v>251</v>
      </c>
      <c r="F20" s="419"/>
      <c r="G20" s="225">
        <v>350</v>
      </c>
    </row>
    <row r="21" spans="2:7" x14ac:dyDescent="0.25">
      <c r="B21" s="217" t="s">
        <v>252</v>
      </c>
      <c r="C21" s="228"/>
      <c r="D21" s="229">
        <f>'Estudio de Mercado'!B71</f>
        <v>77421</v>
      </c>
      <c r="E21" s="418" t="s">
        <v>253</v>
      </c>
      <c r="F21" s="419"/>
      <c r="G21" s="225">
        <v>3</v>
      </c>
    </row>
    <row r="22" spans="2:7" x14ac:dyDescent="0.25">
      <c r="B22" s="217" t="s">
        <v>254</v>
      </c>
      <c r="C22" s="230">
        <v>0.15</v>
      </c>
      <c r="E22" s="418" t="s">
        <v>255</v>
      </c>
      <c r="F22" s="419"/>
      <c r="G22" s="225">
        <v>1</v>
      </c>
    </row>
    <row r="23" spans="2:7" x14ac:dyDescent="0.25">
      <c r="B23" s="217" t="s">
        <v>256</v>
      </c>
      <c r="C23" s="231">
        <v>0.05</v>
      </c>
      <c r="E23" s="418" t="s">
        <v>257</v>
      </c>
      <c r="F23" s="419"/>
      <c r="G23" s="225" t="s">
        <v>258</v>
      </c>
    </row>
    <row r="24" spans="2:7" ht="15.75" thickBot="1" x14ac:dyDescent="0.3">
      <c r="B24" s="335" t="s">
        <v>259</v>
      </c>
      <c r="C24" s="232">
        <v>0.05</v>
      </c>
      <c r="D24" s="233"/>
      <c r="E24" s="418" t="s">
        <v>260</v>
      </c>
      <c r="F24" s="419"/>
      <c r="G24" s="225" t="s">
        <v>261</v>
      </c>
    </row>
    <row r="25" spans="2:7" x14ac:dyDescent="0.25">
      <c r="C25" s="234"/>
      <c r="E25" s="429" t="s">
        <v>262</v>
      </c>
      <c r="F25" s="430"/>
      <c r="G25" s="235">
        <v>3</v>
      </c>
    </row>
    <row r="26" spans="2:7" ht="15.75" thickBot="1" x14ac:dyDescent="0.3">
      <c r="C26" s="234"/>
      <c r="E26" s="431" t="s">
        <v>263</v>
      </c>
      <c r="F26" s="432"/>
      <c r="G26" s="236">
        <v>1</v>
      </c>
    </row>
    <row r="27" spans="2:7" x14ac:dyDescent="0.25">
      <c r="C27" s="234"/>
      <c r="E27" s="237"/>
      <c r="F27" s="237"/>
      <c r="G27" s="238"/>
    </row>
    <row r="28" spans="2:7" ht="15.75" thickBot="1" x14ac:dyDescent="0.3"/>
    <row r="29" spans="2:7" ht="15.75" thickBot="1" x14ac:dyDescent="0.3">
      <c r="E29" s="415" t="s">
        <v>264</v>
      </c>
      <c r="F29" s="416"/>
      <c r="G29" s="417"/>
    </row>
    <row r="30" spans="2:7" ht="15.75" thickBot="1" x14ac:dyDescent="0.3">
      <c r="E30" s="337">
        <v>12</v>
      </c>
      <c r="F30" s="239"/>
      <c r="G30" s="240" t="s">
        <v>265</v>
      </c>
    </row>
    <row r="32" spans="2:7" x14ac:dyDescent="0.25">
      <c r="B32" s="441" t="s">
        <v>266</v>
      </c>
      <c r="C32" s="442" t="s">
        <v>267</v>
      </c>
      <c r="D32" s="442"/>
      <c r="E32" s="442"/>
      <c r="F32" s="241"/>
      <c r="G32" s="441" t="s">
        <v>268</v>
      </c>
    </row>
    <row r="33" spans="2:9" ht="22.5" x14ac:dyDescent="0.25">
      <c r="B33" s="441"/>
      <c r="C33" s="242" t="s">
        <v>58</v>
      </c>
      <c r="D33" s="243" t="s">
        <v>269</v>
      </c>
      <c r="E33" s="244" t="s">
        <v>270</v>
      </c>
      <c r="F33" s="244" t="s">
        <v>271</v>
      </c>
      <c r="G33" s="441"/>
    </row>
    <row r="34" spans="2:9" x14ac:dyDescent="0.25">
      <c r="B34" s="245" t="s">
        <v>272</v>
      </c>
      <c r="C34" s="246"/>
      <c r="D34" s="246"/>
      <c r="E34" s="247"/>
      <c r="F34" s="247"/>
      <c r="G34" s="248"/>
    </row>
    <row r="35" spans="2:9" x14ac:dyDescent="0.25">
      <c r="B35" s="245" t="s">
        <v>273</v>
      </c>
      <c r="C35" s="246"/>
      <c r="D35" s="246"/>
      <c r="E35" s="247"/>
      <c r="F35" s="247"/>
      <c r="G35" s="248"/>
    </row>
    <row r="36" spans="2:9" x14ac:dyDescent="0.25">
      <c r="B36" s="249" t="s">
        <v>219</v>
      </c>
      <c r="C36" s="250" t="s">
        <v>274</v>
      </c>
      <c r="D36" s="251">
        <v>1000</v>
      </c>
      <c r="E36" s="252">
        <f>+(($D$21*D75)/D36)</f>
        <v>154.84200000000001</v>
      </c>
      <c r="F36" s="252">
        <f t="shared" ref="F36:F42" si="0">+D36*E36</f>
        <v>154842</v>
      </c>
      <c r="G36" s="253">
        <f>+F36*$E$30</f>
        <v>1858104</v>
      </c>
    </row>
    <row r="37" spans="2:9" x14ac:dyDescent="0.25">
      <c r="B37" s="254" t="s">
        <v>177</v>
      </c>
      <c r="C37" s="255" t="s">
        <v>274</v>
      </c>
      <c r="D37" s="251">
        <v>1000</v>
      </c>
      <c r="E37" s="252">
        <f>+(($D$21*D76)/D37)</f>
        <v>154.84200000000001</v>
      </c>
      <c r="F37" s="252">
        <f t="shared" si="0"/>
        <v>154842</v>
      </c>
      <c r="G37" s="253">
        <f>+F37*$E$30</f>
        <v>1858104</v>
      </c>
    </row>
    <row r="38" spans="2:9" x14ac:dyDescent="0.25">
      <c r="B38" s="254" t="s">
        <v>275</v>
      </c>
      <c r="C38" s="255" t="s">
        <v>274</v>
      </c>
      <c r="D38" s="251">
        <v>1000</v>
      </c>
      <c r="E38" s="252">
        <f>+(($D$21*D77)/D38)</f>
        <v>372.89152542814804</v>
      </c>
      <c r="F38" s="252">
        <f t="shared" si="0"/>
        <v>372891.52542814804</v>
      </c>
      <c r="G38" s="256">
        <f>+F38*$E$30</f>
        <v>4474698.3051377768</v>
      </c>
    </row>
    <row r="39" spans="2:9" x14ac:dyDescent="0.25">
      <c r="B39" s="254" t="s">
        <v>276</v>
      </c>
      <c r="C39" s="255" t="s">
        <v>167</v>
      </c>
      <c r="D39" s="251">
        <f>D82</f>
        <v>102.14974652133334</v>
      </c>
      <c r="E39" s="257">
        <f>+D20</f>
        <v>85000</v>
      </c>
      <c r="F39" s="252">
        <f t="shared" si="0"/>
        <v>8682728.4543133341</v>
      </c>
      <c r="G39" s="253">
        <f t="shared" ref="G39:G42" si="1">+F39*$E$30</f>
        <v>104192741.45176001</v>
      </c>
      <c r="I39" s="344"/>
    </row>
    <row r="40" spans="2:9" x14ac:dyDescent="0.25">
      <c r="B40" s="254" t="s">
        <v>277</v>
      </c>
      <c r="C40" s="255" t="s">
        <v>274</v>
      </c>
      <c r="D40" s="251">
        <v>1000</v>
      </c>
      <c r="E40" s="252">
        <f>+(($D$21*D79)/D40)</f>
        <v>387.10500000000002</v>
      </c>
      <c r="F40" s="252">
        <f t="shared" si="0"/>
        <v>387105</v>
      </c>
      <c r="G40" s="253">
        <f>+F40*$E$30</f>
        <v>4645260</v>
      </c>
      <c r="I40" s="344"/>
    </row>
    <row r="41" spans="2:9" x14ac:dyDescent="0.25">
      <c r="B41" s="254" t="s">
        <v>278</v>
      </c>
      <c r="C41" s="255" t="s">
        <v>274</v>
      </c>
      <c r="D41" s="251">
        <v>1000</v>
      </c>
      <c r="E41" s="252">
        <f>+(($D$21*D80)/D41)</f>
        <v>232.26300000000001</v>
      </c>
      <c r="F41" s="252">
        <f t="shared" si="0"/>
        <v>232263</v>
      </c>
      <c r="G41" s="253">
        <f t="shared" si="1"/>
        <v>2787156</v>
      </c>
      <c r="I41" s="344"/>
    </row>
    <row r="42" spans="2:9" x14ac:dyDescent="0.25">
      <c r="B42" s="254" t="s">
        <v>279</v>
      </c>
      <c r="C42" s="255" t="s">
        <v>274</v>
      </c>
      <c r="D42" s="251">
        <v>1000</v>
      </c>
      <c r="E42" s="252">
        <f>+(($D$21*D81)/D42)</f>
        <v>154.84200000000001</v>
      </c>
      <c r="F42" s="252">
        <f t="shared" si="0"/>
        <v>154842</v>
      </c>
      <c r="G42" s="253">
        <f t="shared" si="1"/>
        <v>1858104</v>
      </c>
    </row>
    <row r="43" spans="2:9" x14ac:dyDescent="0.25">
      <c r="B43" s="258" t="s">
        <v>280</v>
      </c>
      <c r="C43" s="259"/>
      <c r="D43" s="260"/>
      <c r="E43" s="261"/>
      <c r="F43" s="262">
        <f>+SUM(F36:F42)</f>
        <v>10139513.979741482</v>
      </c>
      <c r="G43" s="261">
        <f>+SUM(G36:G42)</f>
        <v>121674167.75689779</v>
      </c>
    </row>
    <row r="44" spans="2:9" x14ac:dyDescent="0.25">
      <c r="B44" s="245" t="s">
        <v>281</v>
      </c>
      <c r="C44" s="263"/>
      <c r="D44" s="264"/>
      <c r="E44" s="265"/>
      <c r="F44" s="265"/>
      <c r="G44" s="266"/>
    </row>
    <row r="45" spans="2:9" x14ac:dyDescent="0.25">
      <c r="B45" s="267" t="s">
        <v>282</v>
      </c>
      <c r="C45" s="268" t="s">
        <v>69</v>
      </c>
      <c r="D45" s="269">
        <f>+C14</f>
        <v>9</v>
      </c>
      <c r="E45" s="270">
        <f>+D14</f>
        <v>279560</v>
      </c>
      <c r="F45" s="256">
        <f t="shared" ref="F45:F52" si="2">+D45*E45</f>
        <v>2516040</v>
      </c>
      <c r="G45" s="256">
        <f t="shared" ref="G45:G52" si="3">+F45*$E$30</f>
        <v>30192480</v>
      </c>
      <c r="H45" s="344"/>
    </row>
    <row r="46" spans="2:9" x14ac:dyDescent="0.25">
      <c r="B46" s="267" t="s">
        <v>283</v>
      </c>
      <c r="C46" s="268" t="s">
        <v>284</v>
      </c>
      <c r="D46" s="269">
        <f>+C15</f>
        <v>42</v>
      </c>
      <c r="E46" s="270">
        <f>+D15</f>
        <v>10391.08</v>
      </c>
      <c r="F46" s="256">
        <f t="shared" si="2"/>
        <v>436425.36</v>
      </c>
      <c r="G46" s="256">
        <f t="shared" si="3"/>
        <v>5237104.32</v>
      </c>
      <c r="H46" s="344"/>
    </row>
    <row r="47" spans="2:9" x14ac:dyDescent="0.25">
      <c r="B47" s="254" t="s">
        <v>285</v>
      </c>
      <c r="C47" s="271" t="s">
        <v>286</v>
      </c>
      <c r="D47" s="272">
        <f>+C11</f>
        <v>400</v>
      </c>
      <c r="E47" s="273">
        <f>+D11</f>
        <v>45166.666666666664</v>
      </c>
      <c r="F47" s="256">
        <f t="shared" si="2"/>
        <v>18066666.666666664</v>
      </c>
      <c r="G47" s="256">
        <f t="shared" si="3"/>
        <v>216799999.99999997</v>
      </c>
      <c r="H47" s="344"/>
      <c r="I47" s="334"/>
    </row>
    <row r="48" spans="2:9" x14ac:dyDescent="0.25">
      <c r="B48" s="254" t="s">
        <v>287</v>
      </c>
      <c r="C48" s="271" t="s">
        <v>286</v>
      </c>
      <c r="D48" s="272">
        <f>+C12</f>
        <v>47</v>
      </c>
      <c r="E48" s="273">
        <f>+D12</f>
        <v>29550</v>
      </c>
      <c r="F48" s="256">
        <f t="shared" si="2"/>
        <v>1388850</v>
      </c>
      <c r="G48" s="256">
        <f t="shared" si="3"/>
        <v>16666200</v>
      </c>
      <c r="H48" s="344"/>
      <c r="I48" s="334"/>
    </row>
    <row r="49" spans="2:12" x14ac:dyDescent="0.25">
      <c r="B49" s="267" t="s">
        <v>288</v>
      </c>
      <c r="C49" s="268" t="s">
        <v>284</v>
      </c>
      <c r="D49" s="269">
        <f t="shared" ref="D49:E52" si="4">+C16</f>
        <v>7.5</v>
      </c>
      <c r="E49" s="270">
        <f t="shared" si="4"/>
        <v>8283.3333333333339</v>
      </c>
      <c r="F49" s="256">
        <f t="shared" si="2"/>
        <v>62125.000000000007</v>
      </c>
      <c r="G49" s="256">
        <f>+F49*$E$30</f>
        <v>745500.00000000012</v>
      </c>
      <c r="H49" s="344"/>
    </row>
    <row r="50" spans="2:12" x14ac:dyDescent="0.25">
      <c r="B50" s="267" t="s">
        <v>289</v>
      </c>
      <c r="C50" s="268" t="s">
        <v>74</v>
      </c>
      <c r="D50" s="269">
        <f t="shared" si="4"/>
        <v>4.5</v>
      </c>
      <c r="E50" s="270">
        <f t="shared" si="4"/>
        <v>31535</v>
      </c>
      <c r="F50" s="256">
        <f t="shared" si="2"/>
        <v>141907.5</v>
      </c>
      <c r="G50" s="256">
        <f>+F50*$E$30</f>
        <v>1702890</v>
      </c>
      <c r="H50" s="344"/>
    </row>
    <row r="51" spans="2:12" x14ac:dyDescent="0.25">
      <c r="B51" s="274" t="s">
        <v>290</v>
      </c>
      <c r="C51" s="268" t="s">
        <v>52</v>
      </c>
      <c r="D51" s="269">
        <f t="shared" si="4"/>
        <v>1</v>
      </c>
      <c r="E51" s="270">
        <f t="shared" si="4"/>
        <v>49050</v>
      </c>
      <c r="F51" s="256">
        <f t="shared" si="2"/>
        <v>49050</v>
      </c>
      <c r="G51" s="256">
        <f t="shared" si="3"/>
        <v>588600</v>
      </c>
    </row>
    <row r="52" spans="2:12" x14ac:dyDescent="0.25">
      <c r="B52" s="274" t="s">
        <v>291</v>
      </c>
      <c r="C52" s="268" t="s">
        <v>52</v>
      </c>
      <c r="D52" s="269">
        <f t="shared" si="4"/>
        <v>1</v>
      </c>
      <c r="E52" s="270">
        <f t="shared" si="4"/>
        <v>39050</v>
      </c>
      <c r="F52" s="256">
        <f t="shared" si="2"/>
        <v>39050</v>
      </c>
      <c r="G52" s="256">
        <f t="shared" si="3"/>
        <v>468600</v>
      </c>
    </row>
    <row r="53" spans="2:12" x14ac:dyDescent="0.25">
      <c r="B53" s="258" t="s">
        <v>292</v>
      </c>
      <c r="C53" s="275"/>
      <c r="D53" s="260"/>
      <c r="E53" s="276"/>
      <c r="F53" s="277">
        <f>+SUM(F45:F52)</f>
        <v>22700114.526666664</v>
      </c>
      <c r="G53" s="276">
        <f>SUM(G45:G52)</f>
        <v>272401374.31999993</v>
      </c>
    </row>
    <row r="54" spans="2:12" x14ac:dyDescent="0.25">
      <c r="B54" s="258" t="s">
        <v>293</v>
      </c>
      <c r="C54" s="275"/>
      <c r="D54" s="260"/>
      <c r="E54" s="276"/>
      <c r="F54" s="276">
        <f>+F43+F53</f>
        <v>32839628.506408148</v>
      </c>
      <c r="G54" s="276">
        <f>+G43+G53</f>
        <v>394075542.07689774</v>
      </c>
    </row>
    <row r="55" spans="2:12" x14ac:dyDescent="0.25">
      <c r="B55" s="245" t="s">
        <v>198</v>
      </c>
      <c r="C55" s="278"/>
      <c r="D55" s="279"/>
      <c r="E55" s="280"/>
      <c r="F55" s="280"/>
      <c r="G55" s="280"/>
    </row>
    <row r="56" spans="2:12" x14ac:dyDescent="0.25">
      <c r="B56" s="281" t="s">
        <v>294</v>
      </c>
      <c r="C56" s="282"/>
      <c r="D56" s="283"/>
      <c r="E56" s="284"/>
      <c r="F56" s="285">
        <f>+F43*C23</f>
        <v>506975.69898707414</v>
      </c>
      <c r="G56" s="256">
        <f>+F56*$E$30</f>
        <v>6083708.3878448894</v>
      </c>
    </row>
    <row r="57" spans="2:12" x14ac:dyDescent="0.25">
      <c r="B57" s="286" t="s">
        <v>295</v>
      </c>
      <c r="C57" s="269"/>
      <c r="D57" s="251"/>
      <c r="E57" s="256"/>
      <c r="F57" s="285">
        <f>+F43*C24</f>
        <v>506975.69898707414</v>
      </c>
      <c r="G57" s="256">
        <f>+F57*$E$30</f>
        <v>6083708.3878448894</v>
      </c>
    </row>
    <row r="58" spans="2:12" x14ac:dyDescent="0.25">
      <c r="B58" s="286" t="s">
        <v>296</v>
      </c>
      <c r="C58" s="269"/>
      <c r="D58" s="251"/>
      <c r="E58" s="256"/>
      <c r="F58" s="285">
        <f>+F53*C22</f>
        <v>3405017.1789999995</v>
      </c>
      <c r="G58" s="256">
        <f>+F58*$E$30</f>
        <v>40860206.147999994</v>
      </c>
    </row>
    <row r="59" spans="2:12" x14ac:dyDescent="0.25">
      <c r="B59" s="287" t="s">
        <v>297</v>
      </c>
      <c r="C59" s="288"/>
      <c r="D59" s="289"/>
      <c r="E59" s="261"/>
      <c r="F59" s="290">
        <f>SUM(F56:F58)</f>
        <v>4418968.5769741479</v>
      </c>
      <c r="G59" s="291">
        <f>SUM(G56:G58)</f>
        <v>53027622.923689775</v>
      </c>
      <c r="K59" s="333"/>
    </row>
    <row r="60" spans="2:12" x14ac:dyDescent="0.25">
      <c r="B60" s="433" t="s">
        <v>298</v>
      </c>
      <c r="C60" s="434"/>
      <c r="D60" s="434"/>
      <c r="E60" s="435"/>
      <c r="F60" s="290">
        <f>+F54+F59</f>
        <v>37258597.083382294</v>
      </c>
      <c r="G60" s="355">
        <f>+G54+G59</f>
        <v>447103165.00058752</v>
      </c>
      <c r="H60" s="333"/>
      <c r="I60" s="356">
        <v>447103164.83335888</v>
      </c>
      <c r="K60" s="333"/>
    </row>
    <row r="61" spans="2:12" x14ac:dyDescent="0.25">
      <c r="B61" s="292"/>
      <c r="C61" s="293"/>
      <c r="D61" s="294"/>
      <c r="E61" s="294"/>
      <c r="F61" s="294"/>
      <c r="G61" s="294"/>
      <c r="I61" s="333">
        <v>447103165</v>
      </c>
      <c r="K61" s="333"/>
    </row>
    <row r="62" spans="2:12" ht="15.75" thickBot="1" x14ac:dyDescent="0.3">
      <c r="B62" s="295"/>
      <c r="C62" s="296"/>
      <c r="D62" s="297"/>
      <c r="E62" s="297"/>
      <c r="F62" s="297"/>
      <c r="G62" s="297"/>
      <c r="K62" s="333"/>
      <c r="L62" s="333"/>
    </row>
    <row r="63" spans="2:12" ht="15.75" thickBot="1" x14ac:dyDescent="0.3">
      <c r="B63" s="298" t="s">
        <v>2</v>
      </c>
      <c r="C63" s="299" t="s">
        <v>208</v>
      </c>
      <c r="D63" s="436" t="s">
        <v>299</v>
      </c>
      <c r="E63" s="436"/>
      <c r="F63" s="436"/>
      <c r="G63" s="437"/>
      <c r="L63" s="336"/>
    </row>
    <row r="64" spans="2:12" ht="23.25" thickBot="1" x14ac:dyDescent="0.3">
      <c r="B64" s="176" t="s">
        <v>300</v>
      </c>
      <c r="C64" s="300">
        <v>85</v>
      </c>
      <c r="D64" s="301" t="s">
        <v>301</v>
      </c>
      <c r="E64" s="302" t="s">
        <v>302</v>
      </c>
      <c r="F64" s="303" t="s">
        <v>303</v>
      </c>
      <c r="G64" s="303" t="s">
        <v>210</v>
      </c>
      <c r="L64" s="333"/>
    </row>
    <row r="65" spans="2:9" ht="22.5" x14ac:dyDescent="0.25">
      <c r="B65" s="186" t="s">
        <v>304</v>
      </c>
      <c r="C65" s="304">
        <v>12</v>
      </c>
      <c r="D65" s="305" t="s">
        <v>305</v>
      </c>
      <c r="E65" s="306">
        <v>8</v>
      </c>
      <c r="F65" s="307">
        <v>8</v>
      </c>
      <c r="G65" s="308">
        <f>D47/F65</f>
        <v>50</v>
      </c>
    </row>
    <row r="66" spans="2:9" ht="15.75" customHeight="1" x14ac:dyDescent="0.25">
      <c r="B66" s="182" t="s">
        <v>306</v>
      </c>
      <c r="C66" s="309">
        <v>16</v>
      </c>
      <c r="D66" s="310" t="s">
        <v>307</v>
      </c>
      <c r="E66" s="311">
        <v>6</v>
      </c>
      <c r="F66" s="312">
        <v>6</v>
      </c>
      <c r="G66" s="308">
        <f>D48/F66</f>
        <v>7.833333333333333</v>
      </c>
    </row>
    <row r="67" spans="2:9" ht="21" customHeight="1" x14ac:dyDescent="0.25">
      <c r="B67" s="182" t="s">
        <v>308</v>
      </c>
      <c r="C67" s="309">
        <v>33.5</v>
      </c>
      <c r="D67" s="310" t="s">
        <v>309</v>
      </c>
      <c r="E67" s="311">
        <v>2</v>
      </c>
      <c r="F67" s="312">
        <v>2</v>
      </c>
      <c r="G67" s="308">
        <f>D45/F67</f>
        <v>4.5</v>
      </c>
    </row>
    <row r="68" spans="2:9" ht="23.25" thickBot="1" x14ac:dyDescent="0.3">
      <c r="B68" s="182" t="s">
        <v>310</v>
      </c>
      <c r="C68" s="309">
        <v>42</v>
      </c>
      <c r="D68" s="313" t="s">
        <v>311</v>
      </c>
      <c r="E68" s="314">
        <f>+C64/C68</f>
        <v>2.0238095238095237</v>
      </c>
      <c r="F68" s="315">
        <v>2</v>
      </c>
      <c r="G68" s="308">
        <f>D46/F68</f>
        <v>21</v>
      </c>
    </row>
    <row r="69" spans="2:9" ht="16.5" customHeight="1" thickBot="1" x14ac:dyDescent="0.3">
      <c r="B69" s="316" t="s">
        <v>312</v>
      </c>
      <c r="C69" s="317">
        <v>1</v>
      </c>
      <c r="D69" s="438" t="s">
        <v>313</v>
      </c>
      <c r="E69" s="439"/>
      <c r="F69" s="318">
        <f>SUM(F65:F68)</f>
        <v>18</v>
      </c>
      <c r="G69" s="319">
        <f>SUM(G65:G68)</f>
        <v>83.333333333333343</v>
      </c>
    </row>
    <row r="70" spans="2:9" x14ac:dyDescent="0.25">
      <c r="B70" s="182" t="s">
        <v>314</v>
      </c>
      <c r="C70" s="309">
        <v>6</v>
      </c>
    </row>
    <row r="71" spans="2:9" ht="15.75" thickBot="1" x14ac:dyDescent="0.3">
      <c r="B71" s="320" t="s">
        <v>315</v>
      </c>
      <c r="C71" s="321">
        <v>3</v>
      </c>
      <c r="I71" s="344"/>
    </row>
    <row r="73" spans="2:9" ht="15.75" thickBot="1" x14ac:dyDescent="0.3">
      <c r="B73" s="440" t="s">
        <v>316</v>
      </c>
      <c r="C73" s="440"/>
      <c r="D73" s="440"/>
    </row>
    <row r="74" spans="2:9" ht="15.75" thickBot="1" x14ac:dyDescent="0.3">
      <c r="B74" s="322" t="s">
        <v>202</v>
      </c>
      <c r="C74" s="323" t="s">
        <v>3</v>
      </c>
      <c r="D74" s="324" t="s">
        <v>203</v>
      </c>
    </row>
    <row r="75" spans="2:9" x14ac:dyDescent="0.25">
      <c r="B75" s="325" t="s">
        <v>219</v>
      </c>
      <c r="C75" s="326" t="s">
        <v>164</v>
      </c>
      <c r="D75" s="327">
        <v>2</v>
      </c>
    </row>
    <row r="76" spans="2:9" x14ac:dyDescent="0.25">
      <c r="B76" s="325" t="s">
        <v>177</v>
      </c>
      <c r="C76" s="326" t="s">
        <v>164</v>
      </c>
      <c r="D76" s="327">
        <v>2</v>
      </c>
    </row>
    <row r="77" spans="2:9" ht="14.25" customHeight="1" x14ac:dyDescent="0.25">
      <c r="B77" s="145" t="s">
        <v>317</v>
      </c>
      <c r="C77" s="115" t="s">
        <v>164</v>
      </c>
      <c r="D77" s="328">
        <v>4.8164131880000003</v>
      </c>
    </row>
    <row r="78" spans="2:9" ht="13.5" customHeight="1" x14ac:dyDescent="0.25">
      <c r="B78" s="145" t="s">
        <v>276</v>
      </c>
      <c r="C78" s="115" t="s">
        <v>167</v>
      </c>
      <c r="D78" s="359">
        <f>G69</f>
        <v>83.333333333333343</v>
      </c>
    </row>
    <row r="79" spans="2:9" x14ac:dyDescent="0.25">
      <c r="B79" s="145" t="s">
        <v>277</v>
      </c>
      <c r="C79" s="115" t="s">
        <v>164</v>
      </c>
      <c r="D79" s="328">
        <v>5</v>
      </c>
    </row>
    <row r="80" spans="2:9" ht="14.25" customHeight="1" x14ac:dyDescent="0.25">
      <c r="B80" s="145" t="s">
        <v>278</v>
      </c>
      <c r="C80" s="115" t="s">
        <v>164</v>
      </c>
      <c r="D80" s="328">
        <v>3</v>
      </c>
    </row>
    <row r="81" spans="2:4" ht="15.75" thickBot="1" x14ac:dyDescent="0.3">
      <c r="B81" s="195" t="s">
        <v>318</v>
      </c>
      <c r="C81" s="196" t="s">
        <v>164</v>
      </c>
      <c r="D81" s="329">
        <v>2</v>
      </c>
    </row>
    <row r="82" spans="2:4" ht="15.75" thickBot="1" x14ac:dyDescent="0.3">
      <c r="B82" s="330" t="s">
        <v>313</v>
      </c>
      <c r="C82" s="331"/>
      <c r="D82" s="332">
        <f>SUM(D75:D81)</f>
        <v>102.14974652133334</v>
      </c>
    </row>
  </sheetData>
  <mergeCells count="30">
    <mergeCell ref="B60:E60"/>
    <mergeCell ref="D63:G63"/>
    <mergeCell ref="D69:E69"/>
    <mergeCell ref="B73:D73"/>
    <mergeCell ref="B32:B33"/>
    <mergeCell ref="C32:E32"/>
    <mergeCell ref="G32:G33"/>
    <mergeCell ref="E25:F25"/>
    <mergeCell ref="E26:F26"/>
    <mergeCell ref="E17:F17"/>
    <mergeCell ref="E18:F18"/>
    <mergeCell ref="E19:F19"/>
    <mergeCell ref="E20:F20"/>
    <mergeCell ref="E21:F21"/>
    <mergeCell ref="E29:G29"/>
    <mergeCell ref="E16:F16"/>
    <mergeCell ref="B3:G3"/>
    <mergeCell ref="C4:G4"/>
    <mergeCell ref="C5:G5"/>
    <mergeCell ref="C6:G6"/>
    <mergeCell ref="D8:E8"/>
    <mergeCell ref="E10:G10"/>
    <mergeCell ref="E11:F11"/>
    <mergeCell ref="E12:F12"/>
    <mergeCell ref="E13:F13"/>
    <mergeCell ref="E14:F14"/>
    <mergeCell ref="E15:F15"/>
    <mergeCell ref="E22:F22"/>
    <mergeCell ref="E23:F23"/>
    <mergeCell ref="E24:F24"/>
  </mergeCells>
  <conditionalFormatting sqref="C11:C13 E53 G53 E54:G55 E61:G61">
    <cfRule type="cellIs" dxfId="6" priority="11" stopIfTrue="1" operator="greaterThan">
      <formula>0</formula>
    </cfRule>
  </conditionalFormatting>
  <conditionalFormatting sqref="C48">
    <cfRule type="cellIs" dxfId="5" priority="10" stopIfTrue="1" operator="greaterThan">
      <formula>0</formula>
    </cfRule>
  </conditionalFormatting>
  <conditionalFormatting sqref="D48">
    <cfRule type="cellIs" dxfId="4" priority="9" stopIfTrue="1" operator="greaterThan">
      <formula>0</formula>
    </cfRule>
  </conditionalFormatting>
  <conditionalFormatting sqref="F59">
    <cfRule type="cellIs" dxfId="3" priority="8" stopIfTrue="1" operator="greaterThan">
      <formula>0</formula>
    </cfRule>
  </conditionalFormatting>
  <conditionalFormatting sqref="G59">
    <cfRule type="cellIs" dxfId="2" priority="7" stopIfTrue="1" operator="greaterThan">
      <formula>0</formula>
    </cfRule>
  </conditionalFormatting>
  <conditionalFormatting sqref="C47">
    <cfRule type="cellIs" dxfId="1" priority="6" stopIfTrue="1" operator="greaterThan">
      <formula>0</formula>
    </cfRule>
  </conditionalFormatting>
  <conditionalFormatting sqref="D47">
    <cfRule type="cellIs" dxfId="0" priority="5" stopIfTrue="1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H18"/>
  <sheetViews>
    <sheetView workbookViewId="0">
      <selection activeCell="D7" sqref="D7:H10"/>
    </sheetView>
  </sheetViews>
  <sheetFormatPr baseColWidth="10" defaultRowHeight="15" x14ac:dyDescent="0.25"/>
  <cols>
    <col min="4" max="4" width="13.140625" bestFit="1" customWidth="1"/>
    <col min="6" max="6" width="13.140625" bestFit="1" customWidth="1"/>
    <col min="7" max="7" width="16.28515625" bestFit="1" customWidth="1"/>
    <col min="8" max="8" width="23.85546875" bestFit="1" customWidth="1"/>
  </cols>
  <sheetData>
    <row r="7" spans="3:8" x14ac:dyDescent="0.25">
      <c r="C7" s="348"/>
      <c r="D7" s="354" t="s">
        <v>328</v>
      </c>
      <c r="E7" s="354" t="s">
        <v>3</v>
      </c>
      <c r="F7" s="354" t="s">
        <v>333</v>
      </c>
      <c r="G7" s="354" t="s">
        <v>329</v>
      </c>
      <c r="H7" s="354" t="s">
        <v>332</v>
      </c>
    </row>
    <row r="8" spans="3:8" ht="45" x14ac:dyDescent="0.25">
      <c r="C8" s="348"/>
      <c r="D8" s="444" t="s">
        <v>338</v>
      </c>
      <c r="E8" s="349" t="s">
        <v>330</v>
      </c>
      <c r="F8" s="350">
        <f>'CERCA VIVA'!D12</f>
        <v>11126</v>
      </c>
      <c r="G8" s="351">
        <f>'CERCA VIVA'!G63/'CERCA VIVA'!D12</f>
        <v>12587.832104616255</v>
      </c>
      <c r="H8" s="351">
        <f>'CERCA VIVA'!G63</f>
        <v>140052219.99596044</v>
      </c>
    </row>
    <row r="9" spans="3:8" x14ac:dyDescent="0.25">
      <c r="C9" s="348"/>
      <c r="D9" s="349" t="s">
        <v>327</v>
      </c>
      <c r="E9" s="349" t="s">
        <v>331</v>
      </c>
      <c r="F9" s="350">
        <f>AISLAMIENTO!E30</f>
        <v>12</v>
      </c>
      <c r="G9" s="352">
        <f>AISLAMIENTO!G60/AISLAMIENTO!E30</f>
        <v>37258597.083382294</v>
      </c>
      <c r="H9" s="353">
        <f>AISLAMIENTO!G60</f>
        <v>447103165.00058752</v>
      </c>
    </row>
    <row r="10" spans="3:8" x14ac:dyDescent="0.25">
      <c r="D10" s="443" t="s">
        <v>334</v>
      </c>
      <c r="E10" s="443"/>
      <c r="F10" s="443"/>
      <c r="G10" s="443"/>
      <c r="H10" s="360">
        <f>SUM(H8:H9)</f>
        <v>587155384.99654794</v>
      </c>
    </row>
    <row r="14" spans="3:8" x14ac:dyDescent="0.25">
      <c r="H14" s="333"/>
    </row>
    <row r="16" spans="3:8" x14ac:dyDescent="0.25">
      <c r="H16" s="357"/>
    </row>
    <row r="17" spans="8:8" x14ac:dyDescent="0.25">
      <c r="H17" s="357"/>
    </row>
    <row r="18" spans="8:8" x14ac:dyDescent="0.25">
      <c r="H18" s="358"/>
    </row>
  </sheetData>
  <mergeCells count="1">
    <mergeCell ref="D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CERCA VIVA</vt:lpstr>
      <vt:lpstr>AISLAMIENTO</vt:lpstr>
      <vt:lpstr>TOTAL PROYECTO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Janus</dc:creator>
  <cp:lastModifiedBy>jorge-montealegre</cp:lastModifiedBy>
  <dcterms:created xsi:type="dcterms:W3CDTF">2024-09-30T23:00:58Z</dcterms:created>
  <dcterms:modified xsi:type="dcterms:W3CDTF">2026-02-05T12:06:32Z</dcterms:modified>
</cp:coreProperties>
</file>